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showInkAnnotation="0"/>
  <mc:AlternateContent xmlns:mc="http://schemas.openxmlformats.org/markup-compatibility/2006">
    <mc:Choice Requires="x15">
      <x15ac:absPath xmlns:x15ac="http://schemas.microsoft.com/office/spreadsheetml/2010/11/ac" url="C:\Users\Brian\Dropbox\BoaVida MHP Pipeline\Closed\BVG Parks Managed By BVC\1 - BoaVida MHRV 2019 Fund\Stonecroft\0. Investment Package\"/>
    </mc:Choice>
  </mc:AlternateContent>
  <xr:revisionPtr revIDLastSave="0" documentId="13_ncr:1_{A283F57D-F7CA-46D0-A1F7-58F4DDBC8567}" xr6:coauthVersionLast="43" xr6:coauthVersionMax="43" xr10:uidLastSave="{00000000-0000-0000-0000-000000000000}"/>
  <bookViews>
    <workbookView xWindow="-28920" yWindow="-120" windowWidth="29040" windowHeight="15990" xr2:uid="{CC933360-CAEE-4057-9D90-04E3192352C1}"/>
  </bookViews>
  <sheets>
    <sheet name="Executive Summary" sheetId="8" r:id="rId1"/>
    <sheet name="Financial Summary" sheetId="7" r:id="rId2"/>
    <sheet name="Star Rating" sheetId="9" r:id="rId3"/>
    <sheet name="Park Images" sheetId="5" r:id="rId4"/>
    <sheet name="Proforma" sheetId="1" r:id="rId5"/>
    <sheet name="Notes" sheetId="2" r:id="rId6"/>
    <sheet name="Rent Roll " sheetId="10" state="hidden" r:id="rId7"/>
    <sheet name="Closing Funds" sheetId="17" state="hidden" r:id="rId8"/>
    <sheet name="Comps" sheetId="4" state="hidden" r:id="rId9"/>
    <sheet name="IE Data Entry" sheetId="11" state="hidden" r:id="rId10"/>
    <sheet name="IE SUMMARY" sheetId="12" state="hidden" r:id="rId11"/>
    <sheet name="Inc-Exp-NOI Compare Chart" sheetId="13" state="hidden" r:id="rId12"/>
    <sheet name="Expense Compare Chart" sheetId="14" state="hidden" r:id="rId13"/>
    <sheet name="BVG Chart Of Accounts" sheetId="15" state="hidden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\H">#REF!</definedName>
    <definedName name="_Fill" hidden="1">#REF!</definedName>
    <definedName name="_Order1" hidden="1">0</definedName>
    <definedName name="_Table2_Out" hidden="1">[1]Matrix!#REF!</definedName>
    <definedName name="Base_Year">[2]Title!$C$30</definedName>
    <definedName name="ChartOfAccounts">'BVG Chart Of Accounts'!$A$18:$B$41</definedName>
    <definedName name="Current_Year">'IE Data Entry'!$B$3</definedName>
    <definedName name="Days">#REF!</definedName>
    <definedName name="DAYS_PARTIAL_YR">#REF!</definedName>
    <definedName name="DCF">#REF!</definedName>
    <definedName name="direction">#REF!</definedName>
    <definedName name="DIRECTIONS">#REF!</definedName>
    <definedName name="General_Overview">#REF!</definedName>
    <definedName name="golf_analysis">#REF!</definedName>
    <definedName name="Hilton" hidden="1">{#N/A,#N/A,FALSE,"ExecSum";#N/A,#N/A,FALSE,"Summary";#N/A,#N/A,FALSE,"Budget";#N/A,#N/A,FALSE,"CashFlow"}</definedName>
    <definedName name="ht">#REF!</definedName>
    <definedName name="Income_Account_Codes">'BVG Chart Of Accounts'!$A$2:$B$13</definedName>
    <definedName name="inflation">'[3]Input Projected'!$R$11</definedName>
    <definedName name="INPUT_HISTORICA">'[3]Input Historical'!$A$1:$K$61</definedName>
    <definedName name="INPUT_PART_L_YR">#REF!</definedName>
    <definedName name="INPUT_PROJECTED">'[3]Input Projected'!$A$1:$AA$68</definedName>
    <definedName name="Inputs_DCF">#REF!</definedName>
    <definedName name="Inputs_Financing_Terms">'[4]Expense Inputs'!#REF!</definedName>
    <definedName name="Inputs_Overview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42145.5554861111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OCATION">[1]Title!#REF!</definedName>
    <definedName name="MgmtFee">Proforma!$I$5</definedName>
    <definedName name="MgmtFeeLimit">Proforma!$I$6</definedName>
    <definedName name="ncci08">[5]Summary!$H$3</definedName>
    <definedName name="NoOfSpaces">Proforma!$C$14</definedName>
    <definedName name="OpexInflation">Proforma!$I$4</definedName>
    <definedName name="PRINT_ALL">#REF!</definedName>
    <definedName name="PRINT_DIRECTION">#REF!</definedName>
    <definedName name="PRINT_INPUT">#REF!</definedName>
    <definedName name="PRINT_PART_L_YR">#REF!</definedName>
    <definedName name="PRINT_RETURNS">#REF!</definedName>
    <definedName name="PRINT_STANDARD">#REF!</definedName>
    <definedName name="_xlnm.Print_Titles" localSheetId="4">Proforma!$33:$34</definedName>
    <definedName name="PROFORMA">[3]Proforma!$B$2:$AD$63</definedName>
    <definedName name="RETaxRate">Proforma!$I$7</definedName>
    <definedName name="RETURNS">#REF!</definedName>
    <definedName name="rms">'[3]Input Historical'!$C$7</definedName>
    <definedName name="ROOMS">'[3]Input Projected'!$R$9</definedName>
    <definedName name="SewerInflation">Proforma!$D$47</definedName>
    <definedName name="STATISTICS">[3]Statistics!$A$1:$AB$64</definedName>
    <definedName name="Summary_BaseMgmt">'[4]Hist &amp; Comp Dept Summ - Output'!#REF!</definedName>
    <definedName name="Summary_Franchise">'[4]Hist &amp; Comp Dept Summ - Output'!#REF!</definedName>
    <definedName name="VALUE_MATRIX">#REF!</definedName>
    <definedName name="wrn.bankrep." hidden="1">{#N/A,#N/A,FALSE,"ExecSum";#N/A,#N/A,FALSE,"Summary";#N/A,#N/A,FALSE,"Budget";#N/A,#N/A,FALSE,"CashFlow"}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" i="2" l="1"/>
  <c r="D32" i="2" l="1"/>
  <c r="D30" i="2"/>
  <c r="D35" i="2" l="1"/>
  <c r="D27" i="2"/>
  <c r="D22" i="2"/>
  <c r="D23" i="2"/>
  <c r="D24" i="2"/>
  <c r="D25" i="2"/>
  <c r="D21" i="2"/>
  <c r="C27" i="2"/>
  <c r="B27" i="2"/>
  <c r="E92" i="1" l="1"/>
  <c r="C7" i="2" l="1"/>
  <c r="C5" i="2"/>
  <c r="C6" i="2"/>
  <c r="C15" i="2" l="1"/>
  <c r="B6" i="17" s="1"/>
  <c r="B9" i="17" l="1"/>
  <c r="B12" i="17"/>
  <c r="O69" i="10"/>
  <c r="O71" i="10"/>
  <c r="K69" i="10"/>
  <c r="L69" i="10"/>
  <c r="M69" i="10"/>
  <c r="N69" i="10"/>
  <c r="J69" i="10"/>
  <c r="G69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3" i="10"/>
  <c r="L25" i="10"/>
  <c r="O25" i="10" s="1"/>
  <c r="J12" i="10"/>
  <c r="J66" i="10"/>
  <c r="J45" i="10"/>
  <c r="O45" i="10" s="1"/>
  <c r="B14" i="17" l="1"/>
  <c r="E40" i="11" l="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O3" i="11" l="1"/>
  <c r="C56" i="1" s="1"/>
  <c r="E28" i="1"/>
  <c r="F28" i="1" s="1"/>
  <c r="C55" i="1"/>
  <c r="E93" i="1" l="1"/>
  <c r="E91" i="1" s="1"/>
  <c r="E96" i="1" l="1"/>
  <c r="F104" i="1" l="1"/>
  <c r="G104" i="1" s="1"/>
  <c r="H104" i="1" s="1"/>
  <c r="I104" i="1" s="1"/>
  <c r="D49" i="2" l="1"/>
  <c r="D48" i="2"/>
  <c r="D47" i="2"/>
  <c r="D45" i="2"/>
  <c r="D39" i="2"/>
  <c r="C5" i="1"/>
  <c r="D51" i="2" l="1"/>
  <c r="D52" i="2"/>
  <c r="D55" i="2" s="1"/>
  <c r="F134" i="1" l="1"/>
  <c r="E134" i="1"/>
  <c r="G134" i="1"/>
  <c r="H134" i="1"/>
  <c r="I134" i="1"/>
  <c r="F90" i="1"/>
  <c r="G90" i="1" l="1"/>
  <c r="H90" i="1" l="1"/>
  <c r="I90" i="1" l="1"/>
  <c r="J90" i="1" l="1"/>
  <c r="K90" i="1" l="1"/>
  <c r="K93" i="1" l="1"/>
  <c r="L90" i="1"/>
  <c r="L93" i="1" l="1"/>
  <c r="K91" i="1" s="1"/>
  <c r="M90" i="1"/>
  <c r="M93" i="1" l="1"/>
  <c r="L91" i="1" s="1"/>
  <c r="N90" i="1"/>
  <c r="N93" i="1" l="1"/>
  <c r="O90" i="1"/>
  <c r="M91" i="1"/>
  <c r="O93" i="1" l="1"/>
  <c r="N91" i="1" s="1"/>
  <c r="P90" i="1"/>
  <c r="P93" i="1" l="1"/>
  <c r="O91" i="1" s="1"/>
  <c r="Q90" i="1"/>
  <c r="Q93" i="1" l="1"/>
  <c r="R90" i="1"/>
  <c r="P91" i="1"/>
  <c r="R93" i="1" l="1"/>
  <c r="Q91" i="1" s="1"/>
  <c r="S90" i="1"/>
  <c r="S93" i="1" l="1"/>
  <c r="R91" i="1" s="1"/>
  <c r="T90" i="1"/>
  <c r="T93" i="1" l="1"/>
  <c r="S91" i="1" s="1"/>
  <c r="U90" i="1"/>
  <c r="U93" i="1" l="1"/>
  <c r="T91" i="1" s="1"/>
  <c r="V90" i="1"/>
  <c r="V93" i="1" l="1"/>
  <c r="U91" i="1" s="1"/>
  <c r="W90" i="1"/>
  <c r="W93" i="1" l="1"/>
  <c r="V91" i="1" s="1"/>
  <c r="X90" i="1"/>
  <c r="X93" i="1" l="1"/>
  <c r="Y90" i="1"/>
  <c r="W91" i="1"/>
  <c r="Y93" i="1" l="1"/>
  <c r="X91" i="1" s="1"/>
  <c r="Z90" i="1"/>
  <c r="Z93" i="1" l="1"/>
  <c r="Y91" i="1" s="1"/>
  <c r="AA90" i="1"/>
  <c r="AA93" i="1" l="1"/>
  <c r="AB90" i="1"/>
  <c r="Z91" i="1"/>
  <c r="AB93" i="1" l="1"/>
  <c r="AA91" i="1" s="1"/>
  <c r="AC90" i="1"/>
  <c r="AC93" i="1" l="1"/>
  <c r="AB91" i="1" s="1"/>
  <c r="AD90" i="1"/>
  <c r="AD93" i="1" l="1"/>
  <c r="AC91" i="1" s="1"/>
  <c r="AE90" i="1"/>
  <c r="AE93" i="1" l="1"/>
  <c r="AD91" i="1" s="1"/>
  <c r="AF90" i="1"/>
  <c r="AF93" i="1" l="1"/>
  <c r="AG90" i="1"/>
  <c r="AE91" i="1"/>
  <c r="B81" i="12"/>
  <c r="B80" i="12"/>
  <c r="B75" i="12"/>
  <c r="B74" i="12"/>
  <c r="B69" i="12"/>
  <c r="B68" i="12"/>
  <c r="AG93" i="1" l="1"/>
  <c r="AF91" i="1" s="1"/>
  <c r="AH90" i="1"/>
  <c r="F27" i="1"/>
  <c r="F25" i="1"/>
  <c r="AH93" i="1" l="1"/>
  <c r="AH91" i="1" s="1"/>
  <c r="I53" i="11"/>
  <c r="G55" i="12" s="1"/>
  <c r="I49" i="11"/>
  <c r="G51" i="12" s="1"/>
  <c r="I45" i="11"/>
  <c r="G47" i="12" s="1"/>
  <c r="I41" i="11"/>
  <c r="G43" i="12" s="1"/>
  <c r="I37" i="11"/>
  <c r="G39" i="12" s="1"/>
  <c r="I33" i="11"/>
  <c r="G35" i="12" s="1"/>
  <c r="C79" i="1"/>
  <c r="C78" i="1"/>
  <c r="E53" i="12"/>
  <c r="C76" i="1"/>
  <c r="C75" i="1"/>
  <c r="E50" i="12"/>
  <c r="C73" i="1"/>
  <c r="E48" i="12"/>
  <c r="C71" i="1"/>
  <c r="C70" i="1"/>
  <c r="E45" i="12"/>
  <c r="C68" i="1"/>
  <c r="C67" i="1"/>
  <c r="E42" i="12"/>
  <c r="C65" i="1"/>
  <c r="E40" i="12"/>
  <c r="C63" i="1"/>
  <c r="C62" i="1"/>
  <c r="E37" i="12"/>
  <c r="C60" i="1"/>
  <c r="C59" i="1"/>
  <c r="E34" i="12"/>
  <c r="C57" i="1"/>
  <c r="F59" i="12"/>
  <c r="H56" i="12"/>
  <c r="E55" i="12"/>
  <c r="D55" i="12"/>
  <c r="C55" i="12"/>
  <c r="B55" i="12"/>
  <c r="D54" i="12"/>
  <c r="C54" i="12"/>
  <c r="B54" i="12"/>
  <c r="D53" i="12"/>
  <c r="C53" i="12"/>
  <c r="B53" i="12"/>
  <c r="E52" i="12"/>
  <c r="D52" i="12"/>
  <c r="C52" i="12"/>
  <c r="B52" i="12"/>
  <c r="E51" i="12"/>
  <c r="D51" i="12"/>
  <c r="C51" i="12"/>
  <c r="B51" i="12"/>
  <c r="D50" i="12"/>
  <c r="C50" i="12"/>
  <c r="B50" i="12"/>
  <c r="E49" i="12"/>
  <c r="D49" i="12"/>
  <c r="C49" i="12"/>
  <c r="B49" i="12"/>
  <c r="D48" i="12"/>
  <c r="C48" i="12"/>
  <c r="B48" i="12"/>
  <c r="E47" i="12"/>
  <c r="D47" i="12"/>
  <c r="C47" i="12"/>
  <c r="B47" i="12"/>
  <c r="E46" i="12"/>
  <c r="D46" i="12"/>
  <c r="C46" i="12"/>
  <c r="B46" i="12"/>
  <c r="D45" i="12"/>
  <c r="C45" i="12"/>
  <c r="B45" i="12"/>
  <c r="E44" i="12"/>
  <c r="D44" i="12"/>
  <c r="C44" i="12"/>
  <c r="B44" i="12"/>
  <c r="E43" i="12"/>
  <c r="D43" i="12"/>
  <c r="C43" i="12"/>
  <c r="B43" i="12"/>
  <c r="D42" i="12"/>
  <c r="C42" i="12"/>
  <c r="B42" i="12"/>
  <c r="E41" i="12"/>
  <c r="D41" i="12"/>
  <c r="C41" i="12"/>
  <c r="B41" i="12"/>
  <c r="D40" i="12"/>
  <c r="C40" i="12"/>
  <c r="B40" i="12"/>
  <c r="E39" i="12"/>
  <c r="D39" i="12"/>
  <c r="C39" i="12"/>
  <c r="B39" i="12"/>
  <c r="D38" i="12"/>
  <c r="C38" i="12"/>
  <c r="B38" i="12"/>
  <c r="D37" i="12"/>
  <c r="C37" i="12"/>
  <c r="B37" i="12"/>
  <c r="E36" i="12"/>
  <c r="D36" i="12"/>
  <c r="C36" i="12"/>
  <c r="B36" i="12"/>
  <c r="E35" i="12"/>
  <c r="D35" i="12"/>
  <c r="C35" i="12"/>
  <c r="B35" i="12"/>
  <c r="D34" i="12"/>
  <c r="C34" i="12"/>
  <c r="B34" i="12"/>
  <c r="E33" i="12"/>
  <c r="D33" i="12"/>
  <c r="C33" i="12"/>
  <c r="B33" i="12"/>
  <c r="E32" i="12"/>
  <c r="D32" i="12"/>
  <c r="C32" i="12"/>
  <c r="B32" i="12"/>
  <c r="F31" i="12"/>
  <c r="F90" i="12" s="1"/>
  <c r="G24" i="12"/>
  <c r="F24" i="12"/>
  <c r="E24" i="12"/>
  <c r="D24" i="12"/>
  <c r="C24" i="12"/>
  <c r="B24" i="12"/>
  <c r="H21" i="12"/>
  <c r="G20" i="12"/>
  <c r="F20" i="12"/>
  <c r="E20" i="12"/>
  <c r="D20" i="12"/>
  <c r="C20" i="12"/>
  <c r="B20" i="12"/>
  <c r="G19" i="12"/>
  <c r="F19" i="12"/>
  <c r="E19" i="12"/>
  <c r="D19" i="12"/>
  <c r="C19" i="12"/>
  <c r="B19" i="12"/>
  <c r="G18" i="12"/>
  <c r="F18" i="12"/>
  <c r="E18" i="12"/>
  <c r="D18" i="12"/>
  <c r="C18" i="12"/>
  <c r="B18" i="12"/>
  <c r="G17" i="12"/>
  <c r="F17" i="12"/>
  <c r="E17" i="12"/>
  <c r="D17" i="12"/>
  <c r="C17" i="12"/>
  <c r="B17" i="12"/>
  <c r="G16" i="12"/>
  <c r="F16" i="12"/>
  <c r="E16" i="12"/>
  <c r="D16" i="12"/>
  <c r="C16" i="12"/>
  <c r="B16" i="12"/>
  <c r="G15" i="12"/>
  <c r="F15" i="12"/>
  <c r="E15" i="12"/>
  <c r="D15" i="12"/>
  <c r="D21" i="12" s="1"/>
  <c r="C15" i="12"/>
  <c r="B15" i="12"/>
  <c r="H11" i="12"/>
  <c r="H26" i="12" s="1"/>
  <c r="G10" i="12"/>
  <c r="F10" i="12"/>
  <c r="E10" i="12"/>
  <c r="D10" i="12"/>
  <c r="C10" i="12"/>
  <c r="B10" i="12"/>
  <c r="G9" i="12"/>
  <c r="F9" i="12"/>
  <c r="E9" i="12"/>
  <c r="D9" i="12"/>
  <c r="C9" i="12"/>
  <c r="B9" i="12"/>
  <c r="G8" i="12"/>
  <c r="F8" i="12"/>
  <c r="E8" i="12"/>
  <c r="D8" i="12"/>
  <c r="C8" i="12"/>
  <c r="B8" i="12"/>
  <c r="G7" i="12"/>
  <c r="E7" i="12"/>
  <c r="D7" i="12"/>
  <c r="C7" i="12"/>
  <c r="B7" i="12"/>
  <c r="F4" i="12"/>
  <c r="A1" i="12"/>
  <c r="E101" i="11"/>
  <c r="D101" i="11"/>
  <c r="C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H29" i="11"/>
  <c r="G29" i="11"/>
  <c r="F29" i="11"/>
  <c r="E31" i="12" s="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H9" i="11"/>
  <c r="G9" i="11"/>
  <c r="H5" i="11"/>
  <c r="H99" i="11" s="1"/>
  <c r="A5" i="11"/>
  <c r="B4" i="11"/>
  <c r="J56" i="12" s="1"/>
  <c r="AG91" i="1" l="1"/>
  <c r="E21" i="12"/>
  <c r="E11" i="12"/>
  <c r="I34" i="11"/>
  <c r="G36" i="12" s="1"/>
  <c r="I42" i="11"/>
  <c r="G44" i="12" s="1"/>
  <c r="I50" i="11"/>
  <c r="G52" i="12" s="1"/>
  <c r="E38" i="12"/>
  <c r="E54" i="12"/>
  <c r="I31" i="11"/>
  <c r="G33" i="12" s="1"/>
  <c r="I39" i="11"/>
  <c r="G41" i="12" s="1"/>
  <c r="I47" i="11"/>
  <c r="G49" i="12" s="1"/>
  <c r="I36" i="11"/>
  <c r="G38" i="12" s="1"/>
  <c r="I44" i="11"/>
  <c r="G46" i="12" s="1"/>
  <c r="I52" i="11"/>
  <c r="G54" i="12" s="1"/>
  <c r="B11" i="12"/>
  <c r="B21" i="12"/>
  <c r="C11" i="12"/>
  <c r="C21" i="12"/>
  <c r="C26" i="12" s="1"/>
  <c r="G11" i="12"/>
  <c r="I9" i="12" s="1"/>
  <c r="G21" i="12"/>
  <c r="I19" i="12" s="1"/>
  <c r="E22" i="12"/>
  <c r="D11" i="12"/>
  <c r="D12" i="12" s="1"/>
  <c r="I30" i="11"/>
  <c r="F21" i="12"/>
  <c r="F22" i="12" s="1"/>
  <c r="B56" i="12"/>
  <c r="C56" i="12"/>
  <c r="D56" i="12"/>
  <c r="E9" i="11"/>
  <c r="C4" i="11"/>
  <c r="D9" i="11" s="1"/>
  <c r="H58" i="12"/>
  <c r="H61" i="12"/>
  <c r="E5" i="12"/>
  <c r="E60" i="12"/>
  <c r="E90" i="12" s="1"/>
  <c r="C12" i="12"/>
  <c r="E26" i="12"/>
  <c r="C57" i="12"/>
  <c r="D4" i="11"/>
  <c r="H10" i="11"/>
  <c r="F7" i="12" s="1"/>
  <c r="F11" i="12" s="1"/>
  <c r="H14" i="11"/>
  <c r="H18" i="11"/>
  <c r="H22" i="11"/>
  <c r="E29" i="11"/>
  <c r="D31" i="12" s="1"/>
  <c r="H32" i="11"/>
  <c r="F34" i="12" s="1"/>
  <c r="H36" i="11"/>
  <c r="F38" i="12" s="1"/>
  <c r="H40" i="11"/>
  <c r="F42" i="12" s="1"/>
  <c r="H44" i="11"/>
  <c r="F46" i="12" s="1"/>
  <c r="H52" i="11"/>
  <c r="F54" i="12" s="1"/>
  <c r="H56" i="11"/>
  <c r="H60" i="11"/>
  <c r="H64" i="11"/>
  <c r="H68" i="11"/>
  <c r="H72" i="11"/>
  <c r="H76" i="11"/>
  <c r="H80" i="11"/>
  <c r="H84" i="11"/>
  <c r="H88" i="11"/>
  <c r="H92" i="11"/>
  <c r="H96" i="11"/>
  <c r="H100" i="11"/>
  <c r="J11" i="12"/>
  <c r="H11" i="11"/>
  <c r="H15" i="11"/>
  <c r="H19" i="11"/>
  <c r="H23" i="11"/>
  <c r="H33" i="11"/>
  <c r="F35" i="12" s="1"/>
  <c r="H37" i="11"/>
  <c r="F39" i="12" s="1"/>
  <c r="H41" i="11"/>
  <c r="F43" i="12" s="1"/>
  <c r="H45" i="11"/>
  <c r="F47" i="12" s="1"/>
  <c r="H49" i="11"/>
  <c r="F51" i="12" s="1"/>
  <c r="H53" i="11"/>
  <c r="F55" i="12" s="1"/>
  <c r="H57" i="11"/>
  <c r="H61" i="11"/>
  <c r="H65" i="11"/>
  <c r="H69" i="11"/>
  <c r="H73" i="11"/>
  <c r="H77" i="11"/>
  <c r="H81" i="11"/>
  <c r="H85" i="11"/>
  <c r="H89" i="11"/>
  <c r="H93" i="11"/>
  <c r="H97" i="11"/>
  <c r="J62" i="12"/>
  <c r="J21" i="12"/>
  <c r="D29" i="11"/>
  <c r="C31" i="12" s="1"/>
  <c r="H12" i="11"/>
  <c r="H16" i="11"/>
  <c r="H20" i="11"/>
  <c r="H24" i="11"/>
  <c r="H30" i="11"/>
  <c r="F32" i="12" s="1"/>
  <c r="H34" i="11"/>
  <c r="F36" i="12" s="1"/>
  <c r="H38" i="11"/>
  <c r="F40" i="12" s="1"/>
  <c r="H42" i="11"/>
  <c r="F44" i="12" s="1"/>
  <c r="H46" i="11"/>
  <c r="F48" i="12" s="1"/>
  <c r="H50" i="11"/>
  <c r="F52" i="12" s="1"/>
  <c r="H54" i="11"/>
  <c r="H58" i="11"/>
  <c r="H62" i="11"/>
  <c r="H66" i="11"/>
  <c r="H70" i="11"/>
  <c r="H74" i="11"/>
  <c r="H78" i="11"/>
  <c r="H82" i="11"/>
  <c r="H86" i="11"/>
  <c r="H90" i="11"/>
  <c r="H94" i="11"/>
  <c r="H98" i="11"/>
  <c r="J27" i="12"/>
  <c r="H13" i="11"/>
  <c r="H17" i="11"/>
  <c r="H21" i="11"/>
  <c r="H31" i="11"/>
  <c r="F33" i="12" s="1"/>
  <c r="H35" i="11"/>
  <c r="F37" i="12" s="1"/>
  <c r="H39" i="11"/>
  <c r="F41" i="12" s="1"/>
  <c r="H47" i="11"/>
  <c r="F49" i="12" s="1"/>
  <c r="H55" i="11"/>
  <c r="H59" i="11"/>
  <c r="H63" i="11"/>
  <c r="H67" i="11"/>
  <c r="H71" i="11"/>
  <c r="H75" i="11"/>
  <c r="H79" i="11"/>
  <c r="H83" i="11"/>
  <c r="H87" i="11"/>
  <c r="H91" i="11"/>
  <c r="H95" i="11"/>
  <c r="I11" i="12" l="1"/>
  <c r="C22" i="12"/>
  <c r="E56" i="12"/>
  <c r="E61" i="12" s="1"/>
  <c r="C74" i="1"/>
  <c r="I48" i="11"/>
  <c r="G50" i="12" s="1"/>
  <c r="C69" i="1"/>
  <c r="I43" i="11"/>
  <c r="G45" i="12" s="1"/>
  <c r="H43" i="11"/>
  <c r="F45" i="12" s="1"/>
  <c r="H48" i="11"/>
  <c r="F50" i="12" s="1"/>
  <c r="I21" i="12"/>
  <c r="G26" i="12"/>
  <c r="C66" i="1"/>
  <c r="I40" i="11"/>
  <c r="G42" i="12" s="1"/>
  <c r="C61" i="1"/>
  <c r="I35" i="11"/>
  <c r="G37" i="12" s="1"/>
  <c r="C58" i="12"/>
  <c r="G101" i="11"/>
  <c r="C58" i="1"/>
  <c r="I32" i="11"/>
  <c r="G34" i="12" s="1"/>
  <c r="C72" i="1"/>
  <c r="I46" i="11"/>
  <c r="G48" i="12" s="1"/>
  <c r="H51" i="11"/>
  <c r="F53" i="12" s="1"/>
  <c r="C77" i="1"/>
  <c r="I51" i="11"/>
  <c r="G53" i="12" s="1"/>
  <c r="C64" i="1"/>
  <c r="I38" i="11"/>
  <c r="G40" i="12" s="1"/>
  <c r="D22" i="12"/>
  <c r="E57" i="12"/>
  <c r="D26" i="12"/>
  <c r="D61" i="12" s="1"/>
  <c r="E12" i="12"/>
  <c r="B26" i="12"/>
  <c r="C27" i="12" s="1"/>
  <c r="I20" i="12"/>
  <c r="G32" i="12"/>
  <c r="D57" i="12"/>
  <c r="D27" i="12"/>
  <c r="C61" i="12"/>
  <c r="D5" i="12"/>
  <c r="D60" i="12"/>
  <c r="D90" i="12" s="1"/>
  <c r="E27" i="12"/>
  <c r="I25" i="12" s="1"/>
  <c r="F12" i="12"/>
  <c r="F26" i="12"/>
  <c r="C5" i="12"/>
  <c r="C60" i="12"/>
  <c r="C90" i="12" s="1"/>
  <c r="C29" i="11"/>
  <c r="B31" i="12" s="1"/>
  <c r="C9" i="11"/>
  <c r="I10" i="12"/>
  <c r="I27" i="12" l="1"/>
  <c r="F56" i="12"/>
  <c r="F61" i="12" s="1"/>
  <c r="F62" i="12" s="1"/>
  <c r="H101" i="11"/>
  <c r="E58" i="12"/>
  <c r="G56" i="12"/>
  <c r="I56" i="12" s="1"/>
  <c r="I101" i="11"/>
  <c r="I26" i="12"/>
  <c r="D58" i="12"/>
  <c r="E62" i="12"/>
  <c r="I60" i="12" s="1"/>
  <c r="B58" i="12"/>
  <c r="B61" i="12"/>
  <c r="C62" i="12" s="1"/>
  <c r="F27" i="12"/>
  <c r="D62" i="12"/>
  <c r="B5" i="12"/>
  <c r="B60" i="12"/>
  <c r="B90" i="12" s="1"/>
  <c r="G61" i="12" l="1"/>
  <c r="I62" i="12" s="1"/>
  <c r="F58" i="12"/>
  <c r="F57" i="12"/>
  <c r="I54" i="12"/>
  <c r="I55" i="12"/>
  <c r="I61" i="12"/>
  <c r="D76" i="1"/>
  <c r="D71" i="1"/>
  <c r="D68" i="1"/>
  <c r="D64" i="1"/>
  <c r="D63" i="1"/>
  <c r="D62" i="1"/>
  <c r="D61" i="1"/>
  <c r="D60" i="1"/>
  <c r="D59" i="1"/>
  <c r="D57" i="1"/>
  <c r="E45" i="1"/>
  <c r="E44" i="1"/>
  <c r="B79" i="1" l="1"/>
  <c r="C1" i="1" l="1"/>
  <c r="E51" i="1" l="1"/>
  <c r="C20" i="1" l="1"/>
  <c r="B11" i="7"/>
  <c r="E29" i="1"/>
  <c r="E30" i="1"/>
  <c r="F30" i="1" s="1"/>
  <c r="C80" i="1"/>
  <c r="E64" i="1"/>
  <c r="F64" i="1" s="1"/>
  <c r="G64" i="1" s="1"/>
  <c r="H64" i="1" s="1"/>
  <c r="I64" i="1" s="1"/>
  <c r="J64" i="1" s="1"/>
  <c r="K64" i="1" s="1"/>
  <c r="L64" i="1" s="1"/>
  <c r="M64" i="1" s="1"/>
  <c r="N64" i="1" s="1"/>
  <c r="O64" i="1" s="1"/>
  <c r="P64" i="1" s="1"/>
  <c r="Q64" i="1" s="1"/>
  <c r="R64" i="1" s="1"/>
  <c r="S64" i="1" s="1"/>
  <c r="T64" i="1" s="1"/>
  <c r="U64" i="1" s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AG64" i="1" s="1"/>
  <c r="AH64" i="1" s="1"/>
  <c r="AI64" i="1" s="1"/>
  <c r="E62" i="1"/>
  <c r="E61" i="1"/>
  <c r="E60" i="1"/>
  <c r="F60" i="1" s="1"/>
  <c r="G60" i="1" s="1"/>
  <c r="H60" i="1" s="1"/>
  <c r="I60" i="1" s="1"/>
  <c r="J60" i="1" s="1"/>
  <c r="K60" i="1" s="1"/>
  <c r="L60" i="1" s="1"/>
  <c r="M60" i="1" s="1"/>
  <c r="N60" i="1" s="1"/>
  <c r="O60" i="1" s="1"/>
  <c r="P60" i="1" s="1"/>
  <c r="Q60" i="1" s="1"/>
  <c r="R60" i="1" s="1"/>
  <c r="S60" i="1" s="1"/>
  <c r="T60" i="1" s="1"/>
  <c r="U60" i="1" s="1"/>
  <c r="V60" i="1" s="1"/>
  <c r="W60" i="1" s="1"/>
  <c r="X60" i="1" s="1"/>
  <c r="Y60" i="1" s="1"/>
  <c r="Z60" i="1" s="1"/>
  <c r="AA60" i="1" s="1"/>
  <c r="AB60" i="1" s="1"/>
  <c r="AC60" i="1" s="1"/>
  <c r="AD60" i="1" s="1"/>
  <c r="AE60" i="1" s="1"/>
  <c r="AF60" i="1" s="1"/>
  <c r="AG60" i="1" s="1"/>
  <c r="AH60" i="1" s="1"/>
  <c r="AI60" i="1" s="1"/>
  <c r="E56" i="1"/>
  <c r="F56" i="1" s="1"/>
  <c r="G56" i="1" s="1"/>
  <c r="H56" i="1" s="1"/>
  <c r="I56" i="1" s="1"/>
  <c r="J56" i="1" s="1"/>
  <c r="K56" i="1" s="1"/>
  <c r="L56" i="1" s="1"/>
  <c r="M56" i="1" s="1"/>
  <c r="N56" i="1" s="1"/>
  <c r="O56" i="1" s="1"/>
  <c r="P56" i="1" s="1"/>
  <c r="Q56" i="1" s="1"/>
  <c r="R56" i="1" s="1"/>
  <c r="S56" i="1" s="1"/>
  <c r="T56" i="1" s="1"/>
  <c r="U56" i="1" s="1"/>
  <c r="V56" i="1" s="1"/>
  <c r="W56" i="1" s="1"/>
  <c r="X56" i="1" s="1"/>
  <c r="Y56" i="1" s="1"/>
  <c r="Z56" i="1" s="1"/>
  <c r="AA56" i="1" s="1"/>
  <c r="AB56" i="1" s="1"/>
  <c r="AC56" i="1" s="1"/>
  <c r="AD56" i="1" s="1"/>
  <c r="AE56" i="1" s="1"/>
  <c r="AF56" i="1" s="1"/>
  <c r="AG56" i="1" s="1"/>
  <c r="AH56" i="1" s="1"/>
  <c r="AI56" i="1" s="1"/>
  <c r="C14" i="1"/>
  <c r="D14" i="1"/>
  <c r="E12" i="1"/>
  <c r="F12" i="1" s="1"/>
  <c r="E31" i="1"/>
  <c r="F31" i="1" s="1"/>
  <c r="G31" i="1" s="1"/>
  <c r="H31" i="1" s="1"/>
  <c r="I31" i="1" s="1"/>
  <c r="J31" i="1" s="1"/>
  <c r="K31" i="1" s="1"/>
  <c r="L31" i="1" s="1"/>
  <c r="M31" i="1" s="1"/>
  <c r="N31" i="1" s="1"/>
  <c r="O31" i="1" s="1"/>
  <c r="P31" i="1" s="1"/>
  <c r="Q31" i="1" s="1"/>
  <c r="R31" i="1" s="1"/>
  <c r="S31" i="1" s="1"/>
  <c r="T31" i="1" s="1"/>
  <c r="U31" i="1" s="1"/>
  <c r="V31" i="1" s="1"/>
  <c r="W31" i="1" s="1"/>
  <c r="X31" i="1" s="1"/>
  <c r="Y31" i="1" s="1"/>
  <c r="Z31" i="1" s="1"/>
  <c r="AA31" i="1" s="1"/>
  <c r="AB31" i="1" s="1"/>
  <c r="AC31" i="1" s="1"/>
  <c r="AD31" i="1" s="1"/>
  <c r="AE31" i="1" s="1"/>
  <c r="AF31" i="1" s="1"/>
  <c r="AG31" i="1" s="1"/>
  <c r="AH31" i="1" s="1"/>
  <c r="AI31" i="1" s="1"/>
  <c r="F51" i="1"/>
  <c r="E13" i="1"/>
  <c r="B35" i="1"/>
  <c r="B36" i="1"/>
  <c r="B34" i="1"/>
  <c r="E72" i="1"/>
  <c r="F72" i="1" s="1"/>
  <c r="G72" i="1" s="1"/>
  <c r="H72" i="1" s="1"/>
  <c r="I72" i="1" s="1"/>
  <c r="J72" i="1" s="1"/>
  <c r="K72" i="1" s="1"/>
  <c r="L72" i="1" s="1"/>
  <c r="M72" i="1" s="1"/>
  <c r="N72" i="1" s="1"/>
  <c r="O72" i="1" s="1"/>
  <c r="P72" i="1" s="1"/>
  <c r="Q72" i="1" s="1"/>
  <c r="R72" i="1" s="1"/>
  <c r="S72" i="1" s="1"/>
  <c r="T72" i="1" s="1"/>
  <c r="U72" i="1" s="1"/>
  <c r="V72" i="1" s="1"/>
  <c r="W72" i="1" s="1"/>
  <c r="X72" i="1" s="1"/>
  <c r="Y72" i="1" s="1"/>
  <c r="Z72" i="1" s="1"/>
  <c r="AA72" i="1" s="1"/>
  <c r="AB72" i="1" s="1"/>
  <c r="AC72" i="1" s="1"/>
  <c r="AD72" i="1" s="1"/>
  <c r="AE72" i="1" s="1"/>
  <c r="AF72" i="1" s="1"/>
  <c r="AG72" i="1" s="1"/>
  <c r="AH72" i="1" s="1"/>
  <c r="AI72" i="1" s="1"/>
  <c r="E59" i="1"/>
  <c r="F59" i="1" s="1"/>
  <c r="G59" i="1" s="1"/>
  <c r="H59" i="1" s="1"/>
  <c r="I59" i="1" s="1"/>
  <c r="J59" i="1" s="1"/>
  <c r="K59" i="1" s="1"/>
  <c r="L59" i="1" s="1"/>
  <c r="M59" i="1" s="1"/>
  <c r="N59" i="1" s="1"/>
  <c r="O59" i="1" s="1"/>
  <c r="P59" i="1" s="1"/>
  <c r="Q59" i="1" s="1"/>
  <c r="R59" i="1" s="1"/>
  <c r="S59" i="1" s="1"/>
  <c r="T59" i="1" s="1"/>
  <c r="U59" i="1" s="1"/>
  <c r="V59" i="1" s="1"/>
  <c r="W59" i="1" s="1"/>
  <c r="X59" i="1" s="1"/>
  <c r="Y59" i="1" s="1"/>
  <c r="Z59" i="1" s="1"/>
  <c r="AA59" i="1" s="1"/>
  <c r="AB59" i="1" s="1"/>
  <c r="AC59" i="1" s="1"/>
  <c r="AD59" i="1" s="1"/>
  <c r="AE59" i="1" s="1"/>
  <c r="AF59" i="1" s="1"/>
  <c r="AG59" i="1" s="1"/>
  <c r="AH59" i="1" s="1"/>
  <c r="AI59" i="1" s="1"/>
  <c r="F45" i="1"/>
  <c r="G45" i="1" s="1"/>
  <c r="H45" i="1" s="1"/>
  <c r="I45" i="1" s="1"/>
  <c r="J45" i="1" s="1"/>
  <c r="K45" i="1" s="1"/>
  <c r="L45" i="1" s="1"/>
  <c r="M45" i="1" s="1"/>
  <c r="N45" i="1" s="1"/>
  <c r="O45" i="1" s="1"/>
  <c r="P45" i="1" s="1"/>
  <c r="Q45" i="1" s="1"/>
  <c r="R45" i="1" s="1"/>
  <c r="S45" i="1" s="1"/>
  <c r="T45" i="1" s="1"/>
  <c r="U45" i="1" s="1"/>
  <c r="V45" i="1" s="1"/>
  <c r="W45" i="1" s="1"/>
  <c r="X45" i="1" s="1"/>
  <c r="Y45" i="1" s="1"/>
  <c r="Z45" i="1" s="1"/>
  <c r="AA45" i="1" s="1"/>
  <c r="AB45" i="1" s="1"/>
  <c r="AC45" i="1" s="1"/>
  <c r="AD45" i="1" s="1"/>
  <c r="AE45" i="1" s="1"/>
  <c r="AF45" i="1" s="1"/>
  <c r="AG45" i="1" s="1"/>
  <c r="AH45" i="1" s="1"/>
  <c r="AI45" i="1" s="1"/>
  <c r="J13" i="7"/>
  <c r="B5" i="7"/>
  <c r="B9" i="8" s="1"/>
  <c r="F49" i="1"/>
  <c r="G49" i="1" s="1"/>
  <c r="H49" i="1" s="1"/>
  <c r="I49" i="1" s="1"/>
  <c r="J49" i="1" s="1"/>
  <c r="K49" i="1" s="1"/>
  <c r="L49" i="1" s="1"/>
  <c r="M49" i="1" s="1"/>
  <c r="N49" i="1" s="1"/>
  <c r="O49" i="1" s="1"/>
  <c r="P49" i="1" s="1"/>
  <c r="Q49" i="1" s="1"/>
  <c r="R49" i="1" s="1"/>
  <c r="S49" i="1" s="1"/>
  <c r="T49" i="1" s="1"/>
  <c r="U49" i="1" s="1"/>
  <c r="V49" i="1" s="1"/>
  <c r="W49" i="1" s="1"/>
  <c r="X49" i="1" s="1"/>
  <c r="Y49" i="1" s="1"/>
  <c r="Z49" i="1" s="1"/>
  <c r="AA49" i="1" s="1"/>
  <c r="AB49" i="1" s="1"/>
  <c r="AC49" i="1" s="1"/>
  <c r="AD49" i="1" s="1"/>
  <c r="AE49" i="1" s="1"/>
  <c r="AF49" i="1" s="1"/>
  <c r="AG49" i="1" s="1"/>
  <c r="AH49" i="1" s="1"/>
  <c r="AI49" i="1" s="1"/>
  <c r="A1" i="5"/>
  <c r="C50" i="1"/>
  <c r="E65" i="1"/>
  <c r="F65" i="1" s="1"/>
  <c r="G65" i="1" s="1"/>
  <c r="H65" i="1" s="1"/>
  <c r="I65" i="1" s="1"/>
  <c r="J65" i="1" s="1"/>
  <c r="K65" i="1" s="1"/>
  <c r="L65" i="1" s="1"/>
  <c r="M65" i="1" s="1"/>
  <c r="N65" i="1" s="1"/>
  <c r="O65" i="1" s="1"/>
  <c r="P65" i="1" s="1"/>
  <c r="Q65" i="1" s="1"/>
  <c r="R65" i="1" s="1"/>
  <c r="S65" i="1" s="1"/>
  <c r="T65" i="1" s="1"/>
  <c r="U65" i="1" s="1"/>
  <c r="V65" i="1" s="1"/>
  <c r="W65" i="1" s="1"/>
  <c r="X65" i="1" s="1"/>
  <c r="Y65" i="1" s="1"/>
  <c r="Z65" i="1" s="1"/>
  <c r="AA65" i="1" s="1"/>
  <c r="AB65" i="1" s="1"/>
  <c r="AC65" i="1" s="1"/>
  <c r="AD65" i="1" s="1"/>
  <c r="AE65" i="1" s="1"/>
  <c r="AF65" i="1" s="1"/>
  <c r="AG65" i="1" s="1"/>
  <c r="AH65" i="1" s="1"/>
  <c r="AI65" i="1" s="1"/>
  <c r="E67" i="1"/>
  <c r="F67" i="1" s="1"/>
  <c r="G67" i="1" s="1"/>
  <c r="H67" i="1" s="1"/>
  <c r="I67" i="1" s="1"/>
  <c r="J67" i="1" s="1"/>
  <c r="K67" i="1" s="1"/>
  <c r="L67" i="1" s="1"/>
  <c r="M67" i="1" s="1"/>
  <c r="N67" i="1" s="1"/>
  <c r="O67" i="1" s="1"/>
  <c r="P67" i="1" s="1"/>
  <c r="Q67" i="1" s="1"/>
  <c r="R67" i="1" s="1"/>
  <c r="S67" i="1" s="1"/>
  <c r="T67" i="1" s="1"/>
  <c r="U67" i="1" s="1"/>
  <c r="V67" i="1" s="1"/>
  <c r="W67" i="1" s="1"/>
  <c r="X67" i="1" s="1"/>
  <c r="Y67" i="1" s="1"/>
  <c r="Z67" i="1" s="1"/>
  <c r="AA67" i="1" s="1"/>
  <c r="AB67" i="1" s="1"/>
  <c r="AC67" i="1" s="1"/>
  <c r="AD67" i="1" s="1"/>
  <c r="AE67" i="1" s="1"/>
  <c r="AF67" i="1" s="1"/>
  <c r="AG67" i="1" s="1"/>
  <c r="AH67" i="1" s="1"/>
  <c r="AI67" i="1" s="1"/>
  <c r="E68" i="1"/>
  <c r="F68" i="1" s="1"/>
  <c r="G68" i="1" s="1"/>
  <c r="H68" i="1" s="1"/>
  <c r="I68" i="1" s="1"/>
  <c r="J68" i="1" s="1"/>
  <c r="K68" i="1" s="1"/>
  <c r="L68" i="1" s="1"/>
  <c r="M68" i="1" s="1"/>
  <c r="N68" i="1" s="1"/>
  <c r="O68" i="1" s="1"/>
  <c r="P68" i="1" s="1"/>
  <c r="Q68" i="1" s="1"/>
  <c r="R68" i="1" s="1"/>
  <c r="S68" i="1" s="1"/>
  <c r="T68" i="1" s="1"/>
  <c r="U68" i="1" s="1"/>
  <c r="V68" i="1" s="1"/>
  <c r="W68" i="1" s="1"/>
  <c r="X68" i="1" s="1"/>
  <c r="Y68" i="1" s="1"/>
  <c r="Z68" i="1" s="1"/>
  <c r="AA68" i="1" s="1"/>
  <c r="AB68" i="1" s="1"/>
  <c r="AC68" i="1" s="1"/>
  <c r="AD68" i="1" s="1"/>
  <c r="AE68" i="1" s="1"/>
  <c r="AF68" i="1" s="1"/>
  <c r="AG68" i="1" s="1"/>
  <c r="AH68" i="1" s="1"/>
  <c r="AI68" i="1" s="1"/>
  <c r="E70" i="1"/>
  <c r="F70" i="1" s="1"/>
  <c r="G70" i="1" s="1"/>
  <c r="H70" i="1" s="1"/>
  <c r="I70" i="1" s="1"/>
  <c r="J70" i="1" s="1"/>
  <c r="K70" i="1" s="1"/>
  <c r="L70" i="1" s="1"/>
  <c r="M70" i="1" s="1"/>
  <c r="N70" i="1" s="1"/>
  <c r="O70" i="1" s="1"/>
  <c r="P70" i="1" s="1"/>
  <c r="Q70" i="1" s="1"/>
  <c r="R70" i="1" s="1"/>
  <c r="S70" i="1" s="1"/>
  <c r="T70" i="1" s="1"/>
  <c r="U70" i="1" s="1"/>
  <c r="V70" i="1" s="1"/>
  <c r="W70" i="1" s="1"/>
  <c r="X70" i="1" s="1"/>
  <c r="Y70" i="1" s="1"/>
  <c r="Z70" i="1" s="1"/>
  <c r="AA70" i="1" s="1"/>
  <c r="AB70" i="1" s="1"/>
  <c r="AC70" i="1" s="1"/>
  <c r="AD70" i="1" s="1"/>
  <c r="AE70" i="1" s="1"/>
  <c r="AF70" i="1" s="1"/>
  <c r="AG70" i="1" s="1"/>
  <c r="AH70" i="1" s="1"/>
  <c r="AI70" i="1" s="1"/>
  <c r="E71" i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E73" i="1"/>
  <c r="F73" i="1" s="1"/>
  <c r="G73" i="1" s="1"/>
  <c r="H73" i="1" s="1"/>
  <c r="I73" i="1" s="1"/>
  <c r="J73" i="1" s="1"/>
  <c r="K73" i="1" s="1"/>
  <c r="L73" i="1" s="1"/>
  <c r="M73" i="1" s="1"/>
  <c r="N73" i="1" s="1"/>
  <c r="O73" i="1" s="1"/>
  <c r="P73" i="1" s="1"/>
  <c r="Q73" i="1" s="1"/>
  <c r="R73" i="1" s="1"/>
  <c r="S73" i="1" s="1"/>
  <c r="T73" i="1" s="1"/>
  <c r="U73" i="1" s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AG73" i="1" s="1"/>
  <c r="AH73" i="1" s="1"/>
  <c r="AI73" i="1" s="1"/>
  <c r="E74" i="1"/>
  <c r="F74" i="1" s="1"/>
  <c r="G74" i="1" s="1"/>
  <c r="H74" i="1" s="1"/>
  <c r="I74" i="1" s="1"/>
  <c r="J74" i="1" s="1"/>
  <c r="K74" i="1" s="1"/>
  <c r="L74" i="1" s="1"/>
  <c r="M74" i="1" s="1"/>
  <c r="N74" i="1" s="1"/>
  <c r="O74" i="1" s="1"/>
  <c r="P74" i="1" s="1"/>
  <c r="Q74" i="1" s="1"/>
  <c r="R74" i="1" s="1"/>
  <c r="S74" i="1" s="1"/>
  <c r="T74" i="1" s="1"/>
  <c r="U74" i="1" s="1"/>
  <c r="V74" i="1" s="1"/>
  <c r="W74" i="1" s="1"/>
  <c r="X74" i="1" s="1"/>
  <c r="Y74" i="1" s="1"/>
  <c r="Z74" i="1" s="1"/>
  <c r="AA74" i="1" s="1"/>
  <c r="AB74" i="1" s="1"/>
  <c r="AC74" i="1" s="1"/>
  <c r="AD74" i="1" s="1"/>
  <c r="AE74" i="1" s="1"/>
  <c r="AF74" i="1" s="1"/>
  <c r="AG74" i="1" s="1"/>
  <c r="AH74" i="1" s="1"/>
  <c r="AI74" i="1" s="1"/>
  <c r="E75" i="1"/>
  <c r="F75" i="1" s="1"/>
  <c r="G75" i="1" s="1"/>
  <c r="H75" i="1" s="1"/>
  <c r="I75" i="1" s="1"/>
  <c r="J75" i="1" s="1"/>
  <c r="K75" i="1" s="1"/>
  <c r="L75" i="1" s="1"/>
  <c r="M75" i="1" s="1"/>
  <c r="N75" i="1" s="1"/>
  <c r="O75" i="1" s="1"/>
  <c r="P75" i="1" s="1"/>
  <c r="Q75" i="1" s="1"/>
  <c r="R75" i="1" s="1"/>
  <c r="S75" i="1" s="1"/>
  <c r="T75" i="1" s="1"/>
  <c r="U75" i="1" s="1"/>
  <c r="V75" i="1" s="1"/>
  <c r="W75" i="1" s="1"/>
  <c r="X75" i="1" s="1"/>
  <c r="Y75" i="1" s="1"/>
  <c r="Z75" i="1" s="1"/>
  <c r="AA75" i="1" s="1"/>
  <c r="AB75" i="1" s="1"/>
  <c r="AC75" i="1" s="1"/>
  <c r="AD75" i="1" s="1"/>
  <c r="AE75" i="1" s="1"/>
  <c r="AF75" i="1" s="1"/>
  <c r="AG75" i="1" s="1"/>
  <c r="AH75" i="1" s="1"/>
  <c r="AI75" i="1" s="1"/>
  <c r="E76" i="1"/>
  <c r="F76" i="1" s="1"/>
  <c r="G76" i="1" s="1"/>
  <c r="H76" i="1" s="1"/>
  <c r="I76" i="1" s="1"/>
  <c r="J76" i="1" s="1"/>
  <c r="K76" i="1" s="1"/>
  <c r="L76" i="1" s="1"/>
  <c r="M76" i="1" s="1"/>
  <c r="N76" i="1" s="1"/>
  <c r="O76" i="1" s="1"/>
  <c r="P76" i="1" s="1"/>
  <c r="Q76" i="1" s="1"/>
  <c r="R76" i="1" s="1"/>
  <c r="S76" i="1" s="1"/>
  <c r="T76" i="1" s="1"/>
  <c r="U76" i="1" s="1"/>
  <c r="V76" i="1" s="1"/>
  <c r="W76" i="1" s="1"/>
  <c r="X76" i="1" s="1"/>
  <c r="Y76" i="1" s="1"/>
  <c r="Z76" i="1" s="1"/>
  <c r="AA76" i="1" s="1"/>
  <c r="AB76" i="1" s="1"/>
  <c r="AC76" i="1" s="1"/>
  <c r="AD76" i="1" s="1"/>
  <c r="AE76" i="1" s="1"/>
  <c r="AF76" i="1" s="1"/>
  <c r="AG76" i="1" s="1"/>
  <c r="AH76" i="1" s="1"/>
  <c r="AI76" i="1" s="1"/>
  <c r="E77" i="1"/>
  <c r="F77" i="1" s="1"/>
  <c r="G77" i="1" s="1"/>
  <c r="H77" i="1" s="1"/>
  <c r="I77" i="1" s="1"/>
  <c r="J77" i="1" s="1"/>
  <c r="K77" i="1" s="1"/>
  <c r="L77" i="1" s="1"/>
  <c r="M77" i="1" s="1"/>
  <c r="N77" i="1" s="1"/>
  <c r="O77" i="1" s="1"/>
  <c r="P77" i="1" s="1"/>
  <c r="Q77" i="1" s="1"/>
  <c r="R77" i="1" s="1"/>
  <c r="S77" i="1" s="1"/>
  <c r="T77" i="1" s="1"/>
  <c r="U77" i="1" s="1"/>
  <c r="V77" i="1" s="1"/>
  <c r="W77" i="1" s="1"/>
  <c r="X77" i="1" s="1"/>
  <c r="Y77" i="1" s="1"/>
  <c r="Z77" i="1" s="1"/>
  <c r="AA77" i="1" s="1"/>
  <c r="AB77" i="1" s="1"/>
  <c r="AC77" i="1" s="1"/>
  <c r="AD77" i="1" s="1"/>
  <c r="AE77" i="1" s="1"/>
  <c r="AF77" i="1" s="1"/>
  <c r="AG77" i="1" s="1"/>
  <c r="AH77" i="1" s="1"/>
  <c r="AI77" i="1" s="1"/>
  <c r="E78" i="1"/>
  <c r="F78" i="1" s="1"/>
  <c r="G78" i="1" s="1"/>
  <c r="H78" i="1" s="1"/>
  <c r="I78" i="1" s="1"/>
  <c r="J78" i="1" s="1"/>
  <c r="K78" i="1" s="1"/>
  <c r="L78" i="1" s="1"/>
  <c r="M78" i="1" s="1"/>
  <c r="N78" i="1" s="1"/>
  <c r="O78" i="1" s="1"/>
  <c r="P78" i="1" s="1"/>
  <c r="Q78" i="1" s="1"/>
  <c r="R78" i="1" s="1"/>
  <c r="S78" i="1" s="1"/>
  <c r="T78" i="1" s="1"/>
  <c r="U78" i="1" s="1"/>
  <c r="V78" i="1" s="1"/>
  <c r="W78" i="1" s="1"/>
  <c r="X78" i="1" s="1"/>
  <c r="Y78" i="1" s="1"/>
  <c r="Z78" i="1" s="1"/>
  <c r="AA78" i="1" s="1"/>
  <c r="AB78" i="1" s="1"/>
  <c r="AC78" i="1" s="1"/>
  <c r="AD78" i="1" s="1"/>
  <c r="AE78" i="1" s="1"/>
  <c r="AF78" i="1" s="1"/>
  <c r="AG78" i="1" s="1"/>
  <c r="AH78" i="1" s="1"/>
  <c r="AI78" i="1" s="1"/>
  <c r="AG136" i="1"/>
  <c r="AH136" i="1"/>
  <c r="AI136" i="1"/>
  <c r="H20" i="1"/>
  <c r="C9" i="1"/>
  <c r="E41" i="8" s="1"/>
  <c r="F12" i="7"/>
  <c r="F26" i="1"/>
  <c r="G26" i="1" s="1"/>
  <c r="H26" i="1" s="1"/>
  <c r="I26" i="1" s="1"/>
  <c r="J26" i="1" s="1"/>
  <c r="K26" i="1" s="1"/>
  <c r="L26" i="1" s="1"/>
  <c r="M26" i="1" s="1"/>
  <c r="N26" i="1" s="1"/>
  <c r="O26" i="1" s="1"/>
  <c r="P26" i="1" s="1"/>
  <c r="Q26" i="1" s="1"/>
  <c r="R26" i="1" s="1"/>
  <c r="S26" i="1" s="1"/>
  <c r="T26" i="1" s="1"/>
  <c r="U26" i="1" s="1"/>
  <c r="V26" i="1" s="1"/>
  <c r="W26" i="1" s="1"/>
  <c r="X26" i="1" s="1"/>
  <c r="Y26" i="1" s="1"/>
  <c r="Z26" i="1" s="1"/>
  <c r="AA26" i="1" s="1"/>
  <c r="AB26" i="1" s="1"/>
  <c r="AC26" i="1" s="1"/>
  <c r="AD26" i="1" s="1"/>
  <c r="AE26" i="1" s="1"/>
  <c r="AF26" i="1" s="1"/>
  <c r="AG26" i="1" s="1"/>
  <c r="AH26" i="1" s="1"/>
  <c r="D22" i="1"/>
  <c r="C22" i="1"/>
  <c r="D21" i="1"/>
  <c r="C21" i="1"/>
  <c r="D20" i="1"/>
  <c r="F13" i="7"/>
  <c r="E13" i="7"/>
  <c r="J12" i="7"/>
  <c r="I12" i="7"/>
  <c r="H12" i="7"/>
  <c r="G12" i="7"/>
  <c r="E12" i="7"/>
  <c r="A2" i="7"/>
  <c r="A35" i="9"/>
  <c r="A26" i="9"/>
  <c r="A18" i="9"/>
  <c r="A10" i="9"/>
  <c r="A1" i="9"/>
  <c r="D41" i="8"/>
  <c r="G9" i="8"/>
  <c r="B6" i="8"/>
  <c r="W136" i="1"/>
  <c r="R136" i="1"/>
  <c r="AA136" i="1"/>
  <c r="V136" i="1"/>
  <c r="Q136" i="1"/>
  <c r="K136" i="1"/>
  <c r="AE136" i="1"/>
  <c r="Z136" i="1"/>
  <c r="U136" i="1"/>
  <c r="O136" i="1"/>
  <c r="J136" i="1"/>
  <c r="E57" i="1"/>
  <c r="F57" i="1" s="1"/>
  <c r="G57" i="1" s="1"/>
  <c r="H57" i="1" s="1"/>
  <c r="I57" i="1" s="1"/>
  <c r="J57" i="1" s="1"/>
  <c r="K57" i="1" s="1"/>
  <c r="L57" i="1" s="1"/>
  <c r="M57" i="1" s="1"/>
  <c r="N57" i="1" s="1"/>
  <c r="O57" i="1" s="1"/>
  <c r="P57" i="1" s="1"/>
  <c r="Q57" i="1" s="1"/>
  <c r="R57" i="1" s="1"/>
  <c r="S57" i="1" s="1"/>
  <c r="T57" i="1" s="1"/>
  <c r="U57" i="1" s="1"/>
  <c r="V57" i="1" s="1"/>
  <c r="W57" i="1" s="1"/>
  <c r="X57" i="1" s="1"/>
  <c r="Y57" i="1" s="1"/>
  <c r="Z57" i="1" s="1"/>
  <c r="AA57" i="1" s="1"/>
  <c r="AB57" i="1" s="1"/>
  <c r="AC57" i="1" s="1"/>
  <c r="AD57" i="1" s="1"/>
  <c r="AE57" i="1" s="1"/>
  <c r="AF57" i="1" s="1"/>
  <c r="AG57" i="1" s="1"/>
  <c r="AH57" i="1" s="1"/>
  <c r="AI57" i="1" s="1"/>
  <c r="E58" i="1"/>
  <c r="F58" i="1" s="1"/>
  <c r="G58" i="1" s="1"/>
  <c r="H58" i="1" s="1"/>
  <c r="I58" i="1" s="1"/>
  <c r="J58" i="1" s="1"/>
  <c r="K58" i="1" s="1"/>
  <c r="L58" i="1" s="1"/>
  <c r="M58" i="1" s="1"/>
  <c r="N58" i="1" s="1"/>
  <c r="O58" i="1" s="1"/>
  <c r="P58" i="1" s="1"/>
  <c r="Q58" i="1" s="1"/>
  <c r="R58" i="1" s="1"/>
  <c r="S58" i="1" s="1"/>
  <c r="T58" i="1" s="1"/>
  <c r="U58" i="1" s="1"/>
  <c r="V58" i="1" s="1"/>
  <c r="W58" i="1" s="1"/>
  <c r="X58" i="1" s="1"/>
  <c r="Y58" i="1" s="1"/>
  <c r="Z58" i="1" s="1"/>
  <c r="AA58" i="1" s="1"/>
  <c r="AB58" i="1" s="1"/>
  <c r="AC58" i="1" s="1"/>
  <c r="AD58" i="1" s="1"/>
  <c r="AE58" i="1" s="1"/>
  <c r="AF58" i="1" s="1"/>
  <c r="AG58" i="1" s="1"/>
  <c r="AH58" i="1" s="1"/>
  <c r="AI58" i="1" s="1"/>
  <c r="AD136" i="1"/>
  <c r="Y136" i="1"/>
  <c r="S136" i="1"/>
  <c r="N136" i="1"/>
  <c r="AF136" i="1"/>
  <c r="AB136" i="1"/>
  <c r="X136" i="1"/>
  <c r="T136" i="1"/>
  <c r="P136" i="1"/>
  <c r="L136" i="1"/>
  <c r="C9" i="8"/>
  <c r="D51" i="1"/>
  <c r="AC136" i="1"/>
  <c r="M136" i="1"/>
  <c r="D4" i="1"/>
  <c r="E69" i="1"/>
  <c r="F69" i="1" s="1"/>
  <c r="G69" i="1" s="1"/>
  <c r="H69" i="1" s="1"/>
  <c r="I69" i="1" s="1"/>
  <c r="J69" i="1" s="1"/>
  <c r="K69" i="1" s="1"/>
  <c r="L69" i="1" s="1"/>
  <c r="M69" i="1" s="1"/>
  <c r="N69" i="1" s="1"/>
  <c r="O69" i="1" s="1"/>
  <c r="P69" i="1" s="1"/>
  <c r="Q69" i="1" s="1"/>
  <c r="R69" i="1" s="1"/>
  <c r="S69" i="1" s="1"/>
  <c r="T69" i="1" s="1"/>
  <c r="U69" i="1" s="1"/>
  <c r="V69" i="1" s="1"/>
  <c r="W69" i="1" s="1"/>
  <c r="X69" i="1" s="1"/>
  <c r="Y69" i="1" s="1"/>
  <c r="Z69" i="1" s="1"/>
  <c r="AA69" i="1" s="1"/>
  <c r="AB69" i="1" s="1"/>
  <c r="AC69" i="1" s="1"/>
  <c r="AD69" i="1" s="1"/>
  <c r="AE69" i="1" s="1"/>
  <c r="AF69" i="1" s="1"/>
  <c r="AG69" i="1" s="1"/>
  <c r="AH69" i="1" s="1"/>
  <c r="AI69" i="1" s="1"/>
  <c r="A37" i="9" l="1"/>
  <c r="E94" i="1"/>
  <c r="E95" i="1" s="1"/>
  <c r="E97" i="1" s="1"/>
  <c r="F92" i="1" s="1"/>
  <c r="B17" i="7"/>
  <c r="E136" i="1"/>
  <c r="E36" i="1"/>
  <c r="D66" i="1"/>
  <c r="E66" i="1" s="1"/>
  <c r="F66" i="1" s="1"/>
  <c r="G66" i="1" s="1"/>
  <c r="H66" i="1" s="1"/>
  <c r="I66" i="1" s="1"/>
  <c r="J66" i="1" s="1"/>
  <c r="K66" i="1" s="1"/>
  <c r="L66" i="1" s="1"/>
  <c r="M66" i="1" s="1"/>
  <c r="N66" i="1" s="1"/>
  <c r="O66" i="1" s="1"/>
  <c r="P66" i="1" s="1"/>
  <c r="Q66" i="1" s="1"/>
  <c r="R66" i="1" s="1"/>
  <c r="S66" i="1" s="1"/>
  <c r="T66" i="1" s="1"/>
  <c r="U66" i="1" s="1"/>
  <c r="V66" i="1" s="1"/>
  <c r="W66" i="1" s="1"/>
  <c r="X66" i="1" s="1"/>
  <c r="Y66" i="1" s="1"/>
  <c r="Z66" i="1" s="1"/>
  <c r="AA66" i="1" s="1"/>
  <c r="AB66" i="1" s="1"/>
  <c r="AC66" i="1" s="1"/>
  <c r="AD66" i="1" s="1"/>
  <c r="AE66" i="1" s="1"/>
  <c r="AF66" i="1" s="1"/>
  <c r="AG66" i="1" s="1"/>
  <c r="AH66" i="1" s="1"/>
  <c r="AI66" i="1" s="1"/>
  <c r="F61" i="1"/>
  <c r="G61" i="1" s="1"/>
  <c r="H61" i="1" s="1"/>
  <c r="I61" i="1" s="1"/>
  <c r="J61" i="1" s="1"/>
  <c r="K61" i="1" s="1"/>
  <c r="L61" i="1" s="1"/>
  <c r="M61" i="1" s="1"/>
  <c r="N61" i="1" s="1"/>
  <c r="O61" i="1" s="1"/>
  <c r="P61" i="1" s="1"/>
  <c r="Q61" i="1" s="1"/>
  <c r="R61" i="1" s="1"/>
  <c r="S61" i="1" s="1"/>
  <c r="T61" i="1" s="1"/>
  <c r="U61" i="1" s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AG61" i="1" s="1"/>
  <c r="AH61" i="1" s="1"/>
  <c r="AI61" i="1" s="1"/>
  <c r="E46" i="1"/>
  <c r="F62" i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E47" i="1"/>
  <c r="F47" i="1" s="1"/>
  <c r="G47" i="1" s="1"/>
  <c r="H47" i="1" s="1"/>
  <c r="I47" i="1" s="1"/>
  <c r="J47" i="1" s="1"/>
  <c r="K47" i="1" s="1"/>
  <c r="L47" i="1" s="1"/>
  <c r="M47" i="1" s="1"/>
  <c r="N47" i="1" s="1"/>
  <c r="O47" i="1" s="1"/>
  <c r="P47" i="1" s="1"/>
  <c r="Q47" i="1" s="1"/>
  <c r="R47" i="1" s="1"/>
  <c r="S47" i="1" s="1"/>
  <c r="T47" i="1" s="1"/>
  <c r="U47" i="1" s="1"/>
  <c r="V47" i="1" s="1"/>
  <c r="W47" i="1" s="1"/>
  <c r="X47" i="1" s="1"/>
  <c r="Y47" i="1" s="1"/>
  <c r="Z47" i="1" s="1"/>
  <c r="AA47" i="1" s="1"/>
  <c r="AB47" i="1" s="1"/>
  <c r="AC47" i="1" s="1"/>
  <c r="AD47" i="1" s="1"/>
  <c r="AE47" i="1" s="1"/>
  <c r="AF47" i="1" s="1"/>
  <c r="AG47" i="1" s="1"/>
  <c r="AH47" i="1" s="1"/>
  <c r="AI47" i="1" s="1"/>
  <c r="F63" i="1"/>
  <c r="G63" i="1" s="1"/>
  <c r="H63" i="1" s="1"/>
  <c r="I63" i="1" s="1"/>
  <c r="J63" i="1" s="1"/>
  <c r="K63" i="1" s="1"/>
  <c r="L63" i="1" s="1"/>
  <c r="M63" i="1" s="1"/>
  <c r="N63" i="1" s="1"/>
  <c r="O63" i="1" s="1"/>
  <c r="P63" i="1" s="1"/>
  <c r="Q63" i="1" s="1"/>
  <c r="R63" i="1" s="1"/>
  <c r="S63" i="1" s="1"/>
  <c r="T63" i="1" s="1"/>
  <c r="U63" i="1" s="1"/>
  <c r="V63" i="1" s="1"/>
  <c r="W63" i="1" s="1"/>
  <c r="X63" i="1" s="1"/>
  <c r="Y63" i="1" s="1"/>
  <c r="Z63" i="1" s="1"/>
  <c r="AA63" i="1" s="1"/>
  <c r="AB63" i="1" s="1"/>
  <c r="AC63" i="1" s="1"/>
  <c r="AD63" i="1" s="1"/>
  <c r="AE63" i="1" s="1"/>
  <c r="AF63" i="1" s="1"/>
  <c r="AG63" i="1" s="1"/>
  <c r="AH63" i="1" s="1"/>
  <c r="AI63" i="1" s="1"/>
  <c r="E48" i="1"/>
  <c r="F48" i="1" s="1"/>
  <c r="G48" i="1" s="1"/>
  <c r="H48" i="1" s="1"/>
  <c r="I48" i="1" s="1"/>
  <c r="J48" i="1" s="1"/>
  <c r="K48" i="1" s="1"/>
  <c r="L48" i="1" s="1"/>
  <c r="M48" i="1" s="1"/>
  <c r="N48" i="1" s="1"/>
  <c r="O48" i="1" s="1"/>
  <c r="P48" i="1" s="1"/>
  <c r="Q48" i="1" s="1"/>
  <c r="R48" i="1" s="1"/>
  <c r="S48" i="1" s="1"/>
  <c r="T48" i="1" s="1"/>
  <c r="U48" i="1" s="1"/>
  <c r="V48" i="1" s="1"/>
  <c r="W48" i="1" s="1"/>
  <c r="X48" i="1" s="1"/>
  <c r="Y48" i="1" s="1"/>
  <c r="Z48" i="1" s="1"/>
  <c r="AA48" i="1" s="1"/>
  <c r="AB48" i="1" s="1"/>
  <c r="AC48" i="1" s="1"/>
  <c r="AD48" i="1" s="1"/>
  <c r="AE48" i="1" s="1"/>
  <c r="AF48" i="1" s="1"/>
  <c r="AG48" i="1" s="1"/>
  <c r="AH48" i="1" s="1"/>
  <c r="AI48" i="1" s="1"/>
  <c r="C6" i="1"/>
  <c r="D109" i="1"/>
  <c r="B18" i="7"/>
  <c r="G28" i="1"/>
  <c r="D34" i="1"/>
  <c r="F34" i="1" s="1"/>
  <c r="E14" i="1"/>
  <c r="C52" i="1"/>
  <c r="C81" i="1" s="1"/>
  <c r="E9" i="7"/>
  <c r="D9" i="8"/>
  <c r="B10" i="7"/>
  <c r="E9" i="8"/>
  <c r="B6" i="7"/>
  <c r="E35" i="1"/>
  <c r="E39" i="1" s="1"/>
  <c r="F29" i="1"/>
  <c r="F44" i="1"/>
  <c r="E34" i="1"/>
  <c r="E40" i="1"/>
  <c r="F36" i="1"/>
  <c r="G30" i="1"/>
  <c r="G136" i="1"/>
  <c r="H136" i="1"/>
  <c r="I136" i="1"/>
  <c r="E115" i="1"/>
  <c r="F14" i="1" l="1"/>
  <c r="F9" i="8" s="1"/>
  <c r="D37" i="1"/>
  <c r="G34" i="1"/>
  <c r="G27" i="1"/>
  <c r="C53" i="1"/>
  <c r="H28" i="1"/>
  <c r="G51" i="1"/>
  <c r="E50" i="1"/>
  <c r="D50" i="1" s="1"/>
  <c r="H30" i="1"/>
  <c r="I30" i="1" s="1"/>
  <c r="G36" i="1"/>
  <c r="D124" i="1"/>
  <c r="D45" i="8"/>
  <c r="D47" i="8" s="1"/>
  <c r="D48" i="8" s="1"/>
  <c r="B12" i="7"/>
  <c r="C10" i="7" s="1"/>
  <c r="F40" i="1"/>
  <c r="E116" i="1"/>
  <c r="G44" i="1"/>
  <c r="F35" i="1"/>
  <c r="G29" i="1"/>
  <c r="B14" i="7"/>
  <c r="B15" i="7" s="1"/>
  <c r="B7" i="7"/>
  <c r="E37" i="1" l="1"/>
  <c r="F37" i="1" s="1"/>
  <c r="E38" i="1"/>
  <c r="E41" i="1" s="1"/>
  <c r="D41" i="1" s="1"/>
  <c r="F39" i="1"/>
  <c r="H51" i="1"/>
  <c r="H27" i="1"/>
  <c r="C83" i="1"/>
  <c r="C85" i="1" s="1"/>
  <c r="I28" i="1"/>
  <c r="I27" i="1" s="1"/>
  <c r="H34" i="1"/>
  <c r="G40" i="1"/>
  <c r="H29" i="1"/>
  <c r="G35" i="1"/>
  <c r="G39" i="1" s="1"/>
  <c r="H36" i="1"/>
  <c r="H44" i="1"/>
  <c r="G55" i="8"/>
  <c r="I55" i="8"/>
  <c r="H55" i="8"/>
  <c r="F55" i="8"/>
  <c r="E55" i="8"/>
  <c r="D137" i="1"/>
  <c r="D126" i="1"/>
  <c r="G37" i="1" l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F46" i="1"/>
  <c r="G38" i="1"/>
  <c r="G41" i="1" s="1"/>
  <c r="F38" i="1"/>
  <c r="E53" i="1"/>
  <c r="E79" i="1" s="1"/>
  <c r="D79" i="1" s="1"/>
  <c r="F41" i="1"/>
  <c r="J28" i="1"/>
  <c r="J27" i="1" s="1"/>
  <c r="I51" i="1"/>
  <c r="I34" i="1"/>
  <c r="I44" i="1"/>
  <c r="I36" i="1"/>
  <c r="J30" i="1"/>
  <c r="H40" i="1"/>
  <c r="I29" i="1"/>
  <c r="H35" i="1"/>
  <c r="H39" i="1" s="1"/>
  <c r="G46" i="1" l="1"/>
  <c r="F50" i="1"/>
  <c r="F53" i="1" s="1"/>
  <c r="E4" i="7"/>
  <c r="H38" i="1"/>
  <c r="E52" i="1"/>
  <c r="D52" i="1"/>
  <c r="D53" i="1" s="1"/>
  <c r="I38" i="1"/>
  <c r="J51" i="1"/>
  <c r="K28" i="1"/>
  <c r="K27" i="1" s="1"/>
  <c r="J34" i="1"/>
  <c r="I40" i="1"/>
  <c r="H41" i="1"/>
  <c r="I35" i="1"/>
  <c r="I39" i="1" s="1"/>
  <c r="J29" i="1"/>
  <c r="E80" i="1"/>
  <c r="K30" i="1"/>
  <c r="J36" i="1"/>
  <c r="J44" i="1"/>
  <c r="F52" i="1" l="1"/>
  <c r="F4" i="7"/>
  <c r="F79" i="1"/>
  <c r="F80" i="1" s="1"/>
  <c r="F81" i="1" s="1"/>
  <c r="H46" i="1"/>
  <c r="G50" i="1"/>
  <c r="G53" i="1" s="1"/>
  <c r="J38" i="1"/>
  <c r="E81" i="1"/>
  <c r="L28" i="1"/>
  <c r="L27" i="1" s="1"/>
  <c r="K34" i="1"/>
  <c r="K51" i="1"/>
  <c r="L30" i="1"/>
  <c r="K36" i="1"/>
  <c r="J40" i="1"/>
  <c r="J35" i="1"/>
  <c r="J39" i="1" s="1"/>
  <c r="K29" i="1"/>
  <c r="D80" i="1"/>
  <c r="E5" i="7"/>
  <c r="E6" i="7" s="1"/>
  <c r="E83" i="1"/>
  <c r="I41" i="1"/>
  <c r="K44" i="1"/>
  <c r="E98" i="1" l="1"/>
  <c r="F5" i="7"/>
  <c r="F6" i="7" s="1"/>
  <c r="F7" i="7" s="1"/>
  <c r="F83" i="1"/>
  <c r="I46" i="1"/>
  <c r="H50" i="1"/>
  <c r="H53" i="1" s="1"/>
  <c r="G79" i="1"/>
  <c r="G80" i="1" s="1"/>
  <c r="G52" i="1"/>
  <c r="G4" i="7"/>
  <c r="K38" i="1"/>
  <c r="L51" i="1"/>
  <c r="L34" i="1"/>
  <c r="M28" i="1"/>
  <c r="M27" i="1" s="1"/>
  <c r="L44" i="1"/>
  <c r="L36" i="1"/>
  <c r="M30" i="1"/>
  <c r="E85" i="1"/>
  <c r="D56" i="2" s="1"/>
  <c r="D57" i="2" s="1"/>
  <c r="D59" i="2" s="1"/>
  <c r="F136" i="1" s="1"/>
  <c r="E86" i="1"/>
  <c r="E11" i="7"/>
  <c r="E14" i="7" s="1"/>
  <c r="E7" i="7"/>
  <c r="K35" i="1"/>
  <c r="K39" i="1" s="1"/>
  <c r="L29" i="1"/>
  <c r="D81" i="1"/>
  <c r="D83" i="1"/>
  <c r="D85" i="1" s="1"/>
  <c r="J41" i="1"/>
  <c r="K40" i="1"/>
  <c r="F86" i="1" l="1"/>
  <c r="F85" i="1"/>
  <c r="G83" i="1"/>
  <c r="G81" i="1"/>
  <c r="G5" i="7"/>
  <c r="G6" i="7" s="1"/>
  <c r="G7" i="7" s="1"/>
  <c r="H79" i="1"/>
  <c r="H80" i="1" s="1"/>
  <c r="H52" i="1"/>
  <c r="H4" i="7"/>
  <c r="J46" i="1"/>
  <c r="I50" i="1"/>
  <c r="I53" i="1" s="1"/>
  <c r="L38" i="1"/>
  <c r="E88" i="1"/>
  <c r="E87" i="1"/>
  <c r="F88" i="1"/>
  <c r="M51" i="1"/>
  <c r="M34" i="1"/>
  <c r="N28" i="1"/>
  <c r="N27" i="1" s="1"/>
  <c r="L40" i="1"/>
  <c r="L35" i="1"/>
  <c r="L39" i="1" s="1"/>
  <c r="M29" i="1"/>
  <c r="E102" i="1"/>
  <c r="E109" i="1" s="1"/>
  <c r="C8" i="1"/>
  <c r="E100" i="1"/>
  <c r="E135" i="1"/>
  <c r="K41" i="1"/>
  <c r="M36" i="1"/>
  <c r="N30" i="1"/>
  <c r="M44" i="1"/>
  <c r="F100" i="1" l="1"/>
  <c r="F101" i="1" s="1"/>
  <c r="F87" i="1"/>
  <c r="K46" i="1"/>
  <c r="J50" i="1"/>
  <c r="J53" i="1" s="1"/>
  <c r="H81" i="1"/>
  <c r="H5" i="7"/>
  <c r="H6" i="7" s="1"/>
  <c r="H7" i="7" s="1"/>
  <c r="H83" i="1"/>
  <c r="I79" i="1"/>
  <c r="I80" i="1" s="1"/>
  <c r="I52" i="1"/>
  <c r="I4" i="7"/>
  <c r="G86" i="1"/>
  <c r="G85" i="1"/>
  <c r="E101" i="1"/>
  <c r="F93" i="1"/>
  <c r="M38" i="1"/>
  <c r="N34" i="1"/>
  <c r="O28" i="1"/>
  <c r="O27" i="1" s="1"/>
  <c r="N51" i="1"/>
  <c r="E110" i="1"/>
  <c r="E117" i="1"/>
  <c r="E119" i="1" s="1"/>
  <c r="L41" i="1"/>
  <c r="N44" i="1"/>
  <c r="H9" i="8"/>
  <c r="B8" i="7"/>
  <c r="O30" i="1"/>
  <c r="N36" i="1"/>
  <c r="M40" i="1"/>
  <c r="N29" i="1"/>
  <c r="M35" i="1"/>
  <c r="M39" i="1" s="1"/>
  <c r="I81" i="1" l="1"/>
  <c r="I83" i="1"/>
  <c r="I5" i="7"/>
  <c r="I6" i="7" s="1"/>
  <c r="I7" i="7" s="1"/>
  <c r="G88" i="1"/>
  <c r="G87" i="1"/>
  <c r="G100" i="1"/>
  <c r="G101" i="1" s="1"/>
  <c r="J79" i="1"/>
  <c r="J80" i="1" s="1"/>
  <c r="J52" i="1"/>
  <c r="J4" i="7"/>
  <c r="H85" i="1"/>
  <c r="H86" i="1"/>
  <c r="L46" i="1"/>
  <c r="K50" i="1"/>
  <c r="K53" i="1" s="1"/>
  <c r="K79" i="1" s="1"/>
  <c r="K80" i="1" s="1"/>
  <c r="K83" i="1" s="1"/>
  <c r="K86" i="1" s="1"/>
  <c r="F96" i="1"/>
  <c r="F135" i="1" s="1"/>
  <c r="F94" i="1"/>
  <c r="F98" i="1" s="1"/>
  <c r="N38" i="1"/>
  <c r="O34" i="1"/>
  <c r="P28" i="1"/>
  <c r="P27" i="1" s="1"/>
  <c r="O51" i="1"/>
  <c r="M41" i="1"/>
  <c r="O44" i="1"/>
  <c r="N35" i="1"/>
  <c r="N39" i="1" s="1"/>
  <c r="O29" i="1"/>
  <c r="N40" i="1"/>
  <c r="E121" i="1"/>
  <c r="E124" i="1" s="1"/>
  <c r="E122" i="1"/>
  <c r="E125" i="1" s="1"/>
  <c r="P30" i="1"/>
  <c r="O36" i="1"/>
  <c r="E118" i="1"/>
  <c r="F115" i="1" s="1"/>
  <c r="K85" i="1" l="1"/>
  <c r="H88" i="1"/>
  <c r="H87" i="1"/>
  <c r="H100" i="1"/>
  <c r="H101" i="1" s="1"/>
  <c r="J81" i="1"/>
  <c r="J5" i="7"/>
  <c r="J6" i="7" s="1"/>
  <c r="J7" i="7" s="1"/>
  <c r="J83" i="1"/>
  <c r="I86" i="1"/>
  <c r="I85" i="1"/>
  <c r="M46" i="1"/>
  <c r="L50" i="1"/>
  <c r="L53" i="1" s="1"/>
  <c r="L79" i="1" s="1"/>
  <c r="L80" i="1" s="1"/>
  <c r="L83" i="1" s="1"/>
  <c r="L86" i="1" s="1"/>
  <c r="F95" i="1"/>
  <c r="F97" i="1" s="1"/>
  <c r="G92" i="1" s="1"/>
  <c r="G93" i="1" s="1"/>
  <c r="F9" i="7"/>
  <c r="F11" i="7" s="1"/>
  <c r="F14" i="7" s="1"/>
  <c r="F102" i="1"/>
  <c r="F109" i="1" s="1"/>
  <c r="F110" i="1" s="1"/>
  <c r="F111" i="1" s="1"/>
  <c r="O38" i="1"/>
  <c r="K87" i="1"/>
  <c r="P51" i="1"/>
  <c r="P34" i="1"/>
  <c r="Q28" i="1"/>
  <c r="Q27" i="1" s="1"/>
  <c r="E127" i="1"/>
  <c r="E126" i="1"/>
  <c r="E16" i="7"/>
  <c r="E137" i="1"/>
  <c r="P44" i="1"/>
  <c r="F116" i="1"/>
  <c r="N41" i="1"/>
  <c r="P36" i="1"/>
  <c r="Q30" i="1"/>
  <c r="P29" i="1"/>
  <c r="O35" i="1"/>
  <c r="O39" i="1" s="1"/>
  <c r="O40" i="1"/>
  <c r="K100" i="1"/>
  <c r="K101" i="1" s="1"/>
  <c r="L85" i="1" l="1"/>
  <c r="L87" i="1" s="1"/>
  <c r="N46" i="1"/>
  <c r="M50" i="1"/>
  <c r="M53" i="1" s="1"/>
  <c r="M79" i="1" s="1"/>
  <c r="M80" i="1" s="1"/>
  <c r="M83" i="1" s="1"/>
  <c r="M86" i="1" s="1"/>
  <c r="J85" i="1"/>
  <c r="J86" i="1"/>
  <c r="I100" i="1"/>
  <c r="I88" i="1"/>
  <c r="I87" i="1"/>
  <c r="F117" i="1"/>
  <c r="F118" i="1" s="1"/>
  <c r="G115" i="1" s="1"/>
  <c r="F91" i="1"/>
  <c r="G94" i="1"/>
  <c r="G98" i="1" s="1"/>
  <c r="G96" i="1"/>
  <c r="G135" i="1" s="1"/>
  <c r="P38" i="1"/>
  <c r="Q51" i="1"/>
  <c r="R28" i="1"/>
  <c r="R27" i="1" s="1"/>
  <c r="Q34" i="1"/>
  <c r="O41" i="1"/>
  <c r="P35" i="1"/>
  <c r="P39" i="1" s="1"/>
  <c r="Q29" i="1"/>
  <c r="E17" i="7"/>
  <c r="E53" i="8" s="1"/>
  <c r="E52" i="8" s="1"/>
  <c r="Q36" i="1"/>
  <c r="R30" i="1"/>
  <c r="Q44" i="1"/>
  <c r="P40" i="1"/>
  <c r="L100" i="1" l="1"/>
  <c r="L101" i="1" s="1"/>
  <c r="L88" i="1"/>
  <c r="I101" i="1"/>
  <c r="B41" i="8"/>
  <c r="C41" i="8" s="1"/>
  <c r="O46" i="1"/>
  <c r="N50" i="1"/>
  <c r="N53" i="1" s="1"/>
  <c r="N79" i="1" s="1"/>
  <c r="N80" i="1" s="1"/>
  <c r="N83" i="1" s="1"/>
  <c r="N85" i="1" s="1"/>
  <c r="M85" i="1"/>
  <c r="M100" i="1" s="1"/>
  <c r="M101" i="1" s="1"/>
  <c r="J100" i="1"/>
  <c r="J101" i="1" s="1"/>
  <c r="J88" i="1"/>
  <c r="J87" i="1"/>
  <c r="K88" i="1"/>
  <c r="F119" i="1"/>
  <c r="F122" i="1" s="1"/>
  <c r="F125" i="1" s="1"/>
  <c r="G95" i="1"/>
  <c r="G97" i="1" s="1"/>
  <c r="H92" i="1" s="1"/>
  <c r="H93" i="1" s="1"/>
  <c r="G102" i="1"/>
  <c r="G9" i="7"/>
  <c r="G11" i="7" s="1"/>
  <c r="Q38" i="1"/>
  <c r="R51" i="1"/>
  <c r="S28" i="1"/>
  <c r="S27" i="1" s="1"/>
  <c r="R34" i="1"/>
  <c r="S30" i="1"/>
  <c r="R36" i="1"/>
  <c r="Q35" i="1"/>
  <c r="Q39" i="1" s="1"/>
  <c r="R29" i="1"/>
  <c r="R44" i="1"/>
  <c r="G116" i="1"/>
  <c r="Q40" i="1"/>
  <c r="P41" i="1"/>
  <c r="N86" i="1" l="1"/>
  <c r="P46" i="1"/>
  <c r="O50" i="1"/>
  <c r="O53" i="1" s="1"/>
  <c r="O79" i="1" s="1"/>
  <c r="O80" i="1" s="1"/>
  <c r="O83" i="1" s="1"/>
  <c r="O85" i="1" s="1"/>
  <c r="F121" i="1"/>
  <c r="F124" i="1" s="1"/>
  <c r="F16" i="7" s="1"/>
  <c r="G107" i="1"/>
  <c r="G13" i="7" s="1"/>
  <c r="G14" i="7" s="1"/>
  <c r="G91" i="1"/>
  <c r="H94" i="1"/>
  <c r="H98" i="1" s="1"/>
  <c r="H96" i="1"/>
  <c r="H135" i="1" s="1"/>
  <c r="R38" i="1"/>
  <c r="S51" i="1"/>
  <c r="T28" i="1"/>
  <c r="T27" i="1" s="1"/>
  <c r="S34" i="1"/>
  <c r="R35" i="1"/>
  <c r="R39" i="1" s="1"/>
  <c r="S29" i="1"/>
  <c r="T30" i="1"/>
  <c r="S36" i="1"/>
  <c r="N100" i="1"/>
  <c r="N101" i="1" s="1"/>
  <c r="R40" i="1"/>
  <c r="Q41" i="1"/>
  <c r="S44" i="1"/>
  <c r="O86" i="1" l="1"/>
  <c r="Q46" i="1"/>
  <c r="P50" i="1"/>
  <c r="P53" i="1" s="1"/>
  <c r="P79" i="1" s="1"/>
  <c r="P80" i="1" s="1"/>
  <c r="P83" i="1" s="1"/>
  <c r="P85" i="1" s="1"/>
  <c r="F127" i="1"/>
  <c r="F128" i="1" s="1"/>
  <c r="F137" i="1"/>
  <c r="F126" i="1"/>
  <c r="G109" i="1"/>
  <c r="H95" i="1"/>
  <c r="H97" i="1" s="1"/>
  <c r="I92" i="1" s="1"/>
  <c r="I93" i="1" s="1"/>
  <c r="H9" i="7"/>
  <c r="H11" i="7" s="1"/>
  <c r="H102" i="1"/>
  <c r="S38" i="1"/>
  <c r="T34" i="1"/>
  <c r="U28" i="1"/>
  <c r="U27" i="1" s="1"/>
  <c r="T51" i="1"/>
  <c r="T36" i="1"/>
  <c r="U30" i="1"/>
  <c r="O100" i="1"/>
  <c r="O101" i="1" s="1"/>
  <c r="T29" i="1"/>
  <c r="S35" i="1"/>
  <c r="S39" i="1" s="1"/>
  <c r="R41" i="1"/>
  <c r="T44" i="1"/>
  <c r="F17" i="7"/>
  <c r="F53" i="8" s="1"/>
  <c r="F52" i="8" s="1"/>
  <c r="S40" i="1"/>
  <c r="P86" i="1" l="1"/>
  <c r="R46" i="1"/>
  <c r="Q50" i="1"/>
  <c r="Q53" i="1" s="1"/>
  <c r="Q79" i="1" s="1"/>
  <c r="Q80" i="1" s="1"/>
  <c r="Q83" i="1" s="1"/>
  <c r="Q85" i="1" s="1"/>
  <c r="H107" i="1"/>
  <c r="H13" i="7" s="1"/>
  <c r="H14" i="7" s="1"/>
  <c r="H91" i="1"/>
  <c r="G110" i="1"/>
  <c r="G111" i="1" s="1"/>
  <c r="G117" i="1"/>
  <c r="G118" i="1" s="1"/>
  <c r="H115" i="1" s="1"/>
  <c r="H116" i="1" s="1"/>
  <c r="I94" i="1"/>
  <c r="I98" i="1" s="1"/>
  <c r="I96" i="1"/>
  <c r="I135" i="1" s="1"/>
  <c r="T38" i="1"/>
  <c r="U51" i="1"/>
  <c r="U34" i="1"/>
  <c r="V28" i="1"/>
  <c r="V27" i="1" s="1"/>
  <c r="S41" i="1"/>
  <c r="U36" i="1"/>
  <c r="V30" i="1"/>
  <c r="T35" i="1"/>
  <c r="T39" i="1" s="1"/>
  <c r="U29" i="1"/>
  <c r="T40" i="1"/>
  <c r="P100" i="1"/>
  <c r="P101" i="1" s="1"/>
  <c r="U44" i="1"/>
  <c r="S46" i="1" l="1"/>
  <c r="R50" i="1"/>
  <c r="R53" i="1" s="1"/>
  <c r="R79" i="1" s="1"/>
  <c r="R80" i="1" s="1"/>
  <c r="R83" i="1" s="1"/>
  <c r="R85" i="1" s="1"/>
  <c r="H109" i="1"/>
  <c r="H110" i="1" s="1"/>
  <c r="H111" i="1" s="1"/>
  <c r="G119" i="1"/>
  <c r="I102" i="1"/>
  <c r="I9" i="7"/>
  <c r="I11" i="7" s="1"/>
  <c r="I95" i="1"/>
  <c r="I97" i="1" s="1"/>
  <c r="J92" i="1" s="1"/>
  <c r="J93" i="1" s="1"/>
  <c r="J91" i="1" s="1"/>
  <c r="U38" i="1"/>
  <c r="V34" i="1"/>
  <c r="V51" i="1"/>
  <c r="W28" i="1"/>
  <c r="W27" i="1" s="1"/>
  <c r="T41" i="1"/>
  <c r="Q100" i="1"/>
  <c r="Q101" i="1" s="1"/>
  <c r="V44" i="1"/>
  <c r="W30" i="1"/>
  <c r="V36" i="1"/>
  <c r="U40" i="1"/>
  <c r="U35" i="1"/>
  <c r="U39" i="1" s="1"/>
  <c r="V29" i="1"/>
  <c r="T46" i="1" l="1"/>
  <c r="S50" i="1"/>
  <c r="S53" i="1" s="1"/>
  <c r="S79" i="1" s="1"/>
  <c r="S80" i="1" s="1"/>
  <c r="S83" i="1" s="1"/>
  <c r="S85" i="1" s="1"/>
  <c r="H117" i="1"/>
  <c r="H119" i="1" s="1"/>
  <c r="H121" i="1" s="1"/>
  <c r="H124" i="1" s="1"/>
  <c r="E58" i="8"/>
  <c r="I91" i="1"/>
  <c r="I107" i="1"/>
  <c r="G121" i="1"/>
  <c r="G124" i="1" s="1"/>
  <c r="G122" i="1"/>
  <c r="G125" i="1" s="1"/>
  <c r="J96" i="1"/>
  <c r="J135" i="1" s="1"/>
  <c r="J94" i="1"/>
  <c r="V38" i="1"/>
  <c r="W51" i="1"/>
  <c r="X28" i="1"/>
  <c r="X27" i="1" s="1"/>
  <c r="W34" i="1"/>
  <c r="W29" i="1"/>
  <c r="V35" i="1"/>
  <c r="V39" i="1" s="1"/>
  <c r="W44" i="1"/>
  <c r="U41" i="1"/>
  <c r="V40" i="1"/>
  <c r="X30" i="1"/>
  <c r="W36" i="1"/>
  <c r="R100" i="1"/>
  <c r="R101" i="1" s="1"/>
  <c r="H122" i="1" l="1"/>
  <c r="H125" i="1" s="1"/>
  <c r="U46" i="1"/>
  <c r="T50" i="1"/>
  <c r="T53" i="1" s="1"/>
  <c r="T79" i="1" s="1"/>
  <c r="T80" i="1" s="1"/>
  <c r="T83" i="1" s="1"/>
  <c r="T85" i="1" s="1"/>
  <c r="H118" i="1"/>
  <c r="I115" i="1" s="1"/>
  <c r="I116" i="1" s="1"/>
  <c r="I13" i="7"/>
  <c r="I14" i="7" s="1"/>
  <c r="I109" i="1"/>
  <c r="G137" i="1"/>
  <c r="G126" i="1"/>
  <c r="G16" i="7"/>
  <c r="G17" i="7" s="1"/>
  <c r="G53" i="8" s="1"/>
  <c r="G52" i="8" s="1"/>
  <c r="G127" i="1"/>
  <c r="G128" i="1" s="1"/>
  <c r="J9" i="7"/>
  <c r="J11" i="7" s="1"/>
  <c r="J14" i="7" s="1"/>
  <c r="J102" i="1"/>
  <c r="J109" i="1" s="1"/>
  <c r="J110" i="1" s="1"/>
  <c r="J95" i="1"/>
  <c r="J97" i="1" s="1"/>
  <c r="K92" i="1" s="1"/>
  <c r="J98" i="1"/>
  <c r="H16" i="7"/>
  <c r="H17" i="7" s="1"/>
  <c r="H53" i="8" s="1"/>
  <c r="H52" i="8" s="1"/>
  <c r="H127" i="1"/>
  <c r="H126" i="1"/>
  <c r="H137" i="1"/>
  <c r="W38" i="1"/>
  <c r="Y28" i="1"/>
  <c r="Y27" i="1" s="1"/>
  <c r="X51" i="1"/>
  <c r="X34" i="1"/>
  <c r="X36" i="1"/>
  <c r="Y30" i="1"/>
  <c r="S100" i="1"/>
  <c r="S101" i="1" s="1"/>
  <c r="V41" i="1"/>
  <c r="W35" i="1"/>
  <c r="W39" i="1" s="1"/>
  <c r="X29" i="1"/>
  <c r="W40" i="1"/>
  <c r="X44" i="1"/>
  <c r="V46" i="1" l="1"/>
  <c r="U50" i="1"/>
  <c r="U53" i="1" s="1"/>
  <c r="U79" i="1" s="1"/>
  <c r="U80" i="1" s="1"/>
  <c r="U83" i="1" s="1"/>
  <c r="U85" i="1" s="1"/>
  <c r="I110" i="1"/>
  <c r="I111" i="1" s="1"/>
  <c r="I117" i="1"/>
  <c r="H128" i="1"/>
  <c r="K94" i="1"/>
  <c r="K96" i="1"/>
  <c r="K135" i="1" s="1"/>
  <c r="X38" i="1"/>
  <c r="Y51" i="1"/>
  <c r="Y34" i="1"/>
  <c r="Z28" i="1"/>
  <c r="Z27" i="1" s="1"/>
  <c r="X40" i="1"/>
  <c r="Y44" i="1"/>
  <c r="Y29" i="1"/>
  <c r="X35" i="1"/>
  <c r="X39" i="1" s="1"/>
  <c r="W41" i="1"/>
  <c r="T100" i="1"/>
  <c r="T101" i="1" s="1"/>
  <c r="Y36" i="1"/>
  <c r="Z30" i="1"/>
  <c r="W46" i="1" l="1"/>
  <c r="V50" i="1"/>
  <c r="V53" i="1" s="1"/>
  <c r="V79" i="1" s="1"/>
  <c r="V80" i="1" s="1"/>
  <c r="V83" i="1" s="1"/>
  <c r="V85" i="1" s="1"/>
  <c r="J111" i="1"/>
  <c r="I119" i="1"/>
  <c r="I118" i="1"/>
  <c r="J115" i="1" s="1"/>
  <c r="J116" i="1" s="1"/>
  <c r="J117" i="1" s="1"/>
  <c r="J118" i="1" s="1"/>
  <c r="K115" i="1" s="1"/>
  <c r="K98" i="1"/>
  <c r="K95" i="1"/>
  <c r="K97" i="1" s="1"/>
  <c r="L92" i="1" s="1"/>
  <c r="L94" i="1" s="1"/>
  <c r="K102" i="1"/>
  <c r="K109" i="1" s="1"/>
  <c r="K110" i="1" s="1"/>
  <c r="K111" i="1" s="1"/>
  <c r="Y38" i="1"/>
  <c r="AA28" i="1"/>
  <c r="AA27" i="1" s="1"/>
  <c r="Z51" i="1"/>
  <c r="Z34" i="1"/>
  <c r="AA30" i="1"/>
  <c r="Z36" i="1"/>
  <c r="Y35" i="1"/>
  <c r="Y39" i="1" s="1"/>
  <c r="Z29" i="1"/>
  <c r="Y40" i="1"/>
  <c r="U100" i="1"/>
  <c r="U101" i="1" s="1"/>
  <c r="Z44" i="1"/>
  <c r="X41" i="1"/>
  <c r="X46" i="1" l="1"/>
  <c r="W50" i="1"/>
  <c r="W53" i="1" s="1"/>
  <c r="W79" i="1" s="1"/>
  <c r="W80" i="1" s="1"/>
  <c r="W83" i="1" s="1"/>
  <c r="W85" i="1" s="1"/>
  <c r="J119" i="1"/>
  <c r="J122" i="1" s="1"/>
  <c r="J125" i="1" s="1"/>
  <c r="L96" i="1"/>
  <c r="L135" i="1" s="1"/>
  <c r="I121" i="1"/>
  <c r="I124" i="1" s="1"/>
  <c r="I122" i="1"/>
  <c r="I125" i="1" s="1"/>
  <c r="C131" i="1" s="1"/>
  <c r="L102" i="1"/>
  <c r="L109" i="1" s="1"/>
  <c r="L98" i="1"/>
  <c r="K116" i="1"/>
  <c r="K117" i="1" s="1"/>
  <c r="K119" i="1" s="1"/>
  <c r="Z38" i="1"/>
  <c r="AB28" i="1"/>
  <c r="AB27" i="1" s="1"/>
  <c r="AA34" i="1"/>
  <c r="AA51" i="1"/>
  <c r="V100" i="1"/>
  <c r="V101" i="1" s="1"/>
  <c r="AA44" i="1"/>
  <c r="Z35" i="1"/>
  <c r="Z39" i="1" s="1"/>
  <c r="AA29" i="1"/>
  <c r="Z40" i="1"/>
  <c r="Y41" i="1"/>
  <c r="AB30" i="1"/>
  <c r="AA36" i="1"/>
  <c r="Y46" i="1" l="1"/>
  <c r="X50" i="1"/>
  <c r="X53" i="1" s="1"/>
  <c r="X79" i="1" s="1"/>
  <c r="X80" i="1" s="1"/>
  <c r="X83" i="1" s="1"/>
  <c r="X85" i="1" s="1"/>
  <c r="J121" i="1"/>
  <c r="J124" i="1" s="1"/>
  <c r="J16" i="7" s="1"/>
  <c r="J17" i="7" s="1"/>
  <c r="L95" i="1"/>
  <c r="L97" i="1" s="1"/>
  <c r="M92" i="1" s="1"/>
  <c r="M94" i="1" s="1"/>
  <c r="C130" i="1"/>
  <c r="F41" i="8" s="1"/>
  <c r="I127" i="1"/>
  <c r="I128" i="1" s="1"/>
  <c r="I16" i="7"/>
  <c r="I126" i="1"/>
  <c r="B22" i="7"/>
  <c r="I137" i="1"/>
  <c r="K121" i="1"/>
  <c r="K124" i="1" s="1"/>
  <c r="K122" i="1"/>
  <c r="K125" i="1" s="1"/>
  <c r="L110" i="1"/>
  <c r="L111" i="1" s="1"/>
  <c r="K118" i="1"/>
  <c r="L115" i="1" s="1"/>
  <c r="AA38" i="1"/>
  <c r="AB34" i="1"/>
  <c r="AB51" i="1"/>
  <c r="AC28" i="1"/>
  <c r="AC27" i="1" s="1"/>
  <c r="AB36" i="1"/>
  <c r="AC30" i="1"/>
  <c r="AB44" i="1"/>
  <c r="AB29" i="1"/>
  <c r="AA35" i="1"/>
  <c r="AA39" i="1" s="1"/>
  <c r="W100" i="1"/>
  <c r="W101" i="1" s="1"/>
  <c r="Z41" i="1"/>
  <c r="AA40" i="1"/>
  <c r="Z46" i="1" l="1"/>
  <c r="Y50" i="1"/>
  <c r="Y53" i="1" s="1"/>
  <c r="Y79" i="1" s="1"/>
  <c r="Y80" i="1" s="1"/>
  <c r="Y83" i="1" s="1"/>
  <c r="Y85" i="1" s="1"/>
  <c r="J126" i="1"/>
  <c r="M96" i="1"/>
  <c r="M135" i="1" s="1"/>
  <c r="J137" i="1"/>
  <c r="J127" i="1"/>
  <c r="J128" i="1" s="1"/>
  <c r="B23" i="7"/>
  <c r="I17" i="7"/>
  <c r="I53" i="8" s="1"/>
  <c r="I52" i="8" s="1"/>
  <c r="E57" i="8" s="1"/>
  <c r="E59" i="8" s="1"/>
  <c r="M98" i="1"/>
  <c r="M102" i="1"/>
  <c r="M109" i="1" s="1"/>
  <c r="L116" i="1"/>
  <c r="L117" i="1" s="1"/>
  <c r="L119" i="1" s="1"/>
  <c r="K126" i="1"/>
  <c r="K127" i="1"/>
  <c r="K137" i="1"/>
  <c r="AB38" i="1"/>
  <c r="AC51" i="1"/>
  <c r="AC34" i="1"/>
  <c r="AD28" i="1"/>
  <c r="AD27" i="1" s="1"/>
  <c r="AC36" i="1"/>
  <c r="AD30" i="1"/>
  <c r="AA41" i="1"/>
  <c r="AC29" i="1"/>
  <c r="AB35" i="1"/>
  <c r="AB39" i="1" s="1"/>
  <c r="X100" i="1"/>
  <c r="X101" i="1" s="1"/>
  <c r="AC44" i="1"/>
  <c r="AB40" i="1"/>
  <c r="AA46" i="1" l="1"/>
  <c r="Z50" i="1"/>
  <c r="Z53" i="1" s="1"/>
  <c r="Z79" i="1" s="1"/>
  <c r="Z80" i="1" s="1"/>
  <c r="Z83" i="1" s="1"/>
  <c r="Z85" i="1" s="1"/>
  <c r="M95" i="1"/>
  <c r="M97" i="1" s="1"/>
  <c r="N92" i="1" s="1"/>
  <c r="N96" i="1" s="1"/>
  <c r="N135" i="1" s="1"/>
  <c r="K128" i="1"/>
  <c r="L118" i="1"/>
  <c r="M115" i="1" s="1"/>
  <c r="M116" i="1" s="1"/>
  <c r="M117" i="1" s="1"/>
  <c r="M119" i="1" s="1"/>
  <c r="M110" i="1"/>
  <c r="M111" i="1" s="1"/>
  <c r="L121" i="1"/>
  <c r="L124" i="1" s="1"/>
  <c r="L122" i="1"/>
  <c r="L125" i="1" s="1"/>
  <c r="AC38" i="1"/>
  <c r="AD34" i="1"/>
  <c r="AD51" i="1"/>
  <c r="AE28" i="1"/>
  <c r="AE27" i="1" s="1"/>
  <c r="AC35" i="1"/>
  <c r="AC39" i="1" s="1"/>
  <c r="AD29" i="1"/>
  <c r="AC40" i="1"/>
  <c r="AD44" i="1"/>
  <c r="AB41" i="1"/>
  <c r="AE30" i="1"/>
  <c r="AD36" i="1"/>
  <c r="Y100" i="1"/>
  <c r="Y101" i="1" s="1"/>
  <c r="AB46" i="1" l="1"/>
  <c r="AA50" i="1"/>
  <c r="AA53" i="1" s="1"/>
  <c r="AA79" i="1" s="1"/>
  <c r="AA80" i="1" s="1"/>
  <c r="AA83" i="1" s="1"/>
  <c r="AA85" i="1" s="1"/>
  <c r="N94" i="1"/>
  <c r="N95" i="1" s="1"/>
  <c r="N97" i="1" s="1"/>
  <c r="O92" i="1" s="1"/>
  <c r="M121" i="1"/>
  <c r="M124" i="1" s="1"/>
  <c r="M122" i="1"/>
  <c r="M125" i="1" s="1"/>
  <c r="L126" i="1"/>
  <c r="L137" i="1"/>
  <c r="L127" i="1"/>
  <c r="L128" i="1" s="1"/>
  <c r="M118" i="1"/>
  <c r="N115" i="1" s="1"/>
  <c r="AD38" i="1"/>
  <c r="AE51" i="1"/>
  <c r="AE34" i="1"/>
  <c r="AF28" i="1"/>
  <c r="AF27" i="1" s="1"/>
  <c r="AC41" i="1"/>
  <c r="AF30" i="1"/>
  <c r="AE36" i="1"/>
  <c r="Z100" i="1"/>
  <c r="Z101" i="1" s="1"/>
  <c r="AD35" i="1"/>
  <c r="AD39" i="1" s="1"/>
  <c r="AE29" i="1"/>
  <c r="AD40" i="1"/>
  <c r="AE44" i="1"/>
  <c r="AC46" i="1" l="1"/>
  <c r="AB50" i="1"/>
  <c r="AB53" i="1" s="1"/>
  <c r="AB79" i="1" s="1"/>
  <c r="AB80" i="1" s="1"/>
  <c r="AB83" i="1" s="1"/>
  <c r="AB85" i="1" s="1"/>
  <c r="N98" i="1"/>
  <c r="N102" i="1"/>
  <c r="N109" i="1" s="1"/>
  <c r="N110" i="1" s="1"/>
  <c r="N111" i="1" s="1"/>
  <c r="O94" i="1"/>
  <c r="O96" i="1"/>
  <c r="O135" i="1" s="1"/>
  <c r="N116" i="1"/>
  <c r="M127" i="1"/>
  <c r="M128" i="1" s="1"/>
  <c r="M126" i="1"/>
  <c r="M137" i="1"/>
  <c r="AE38" i="1"/>
  <c r="AF34" i="1"/>
  <c r="AG28" i="1"/>
  <c r="AG27" i="1" s="1"/>
  <c r="AF51" i="1"/>
  <c r="AF36" i="1"/>
  <c r="AG30" i="1"/>
  <c r="AF44" i="1"/>
  <c r="AD41" i="1"/>
  <c r="AE35" i="1"/>
  <c r="AE39" i="1" s="1"/>
  <c r="AF29" i="1"/>
  <c r="AA100" i="1"/>
  <c r="AA101" i="1" s="1"/>
  <c r="AE40" i="1"/>
  <c r="AD46" i="1" l="1"/>
  <c r="AC50" i="1"/>
  <c r="AC53" i="1" s="1"/>
  <c r="AC79" i="1" s="1"/>
  <c r="AC80" i="1" s="1"/>
  <c r="AC83" i="1" s="1"/>
  <c r="AC85" i="1" s="1"/>
  <c r="N117" i="1"/>
  <c r="N119" i="1" s="1"/>
  <c r="N122" i="1" s="1"/>
  <c r="N125" i="1" s="1"/>
  <c r="O95" i="1"/>
  <c r="O97" i="1" s="1"/>
  <c r="P92" i="1" s="1"/>
  <c r="O102" i="1"/>
  <c r="O109" i="1" s="1"/>
  <c r="O98" i="1"/>
  <c r="AF38" i="1"/>
  <c r="AG51" i="1"/>
  <c r="AG34" i="1"/>
  <c r="AH28" i="1"/>
  <c r="AH27" i="1" s="1"/>
  <c r="AE41" i="1"/>
  <c r="AG36" i="1"/>
  <c r="AH30" i="1"/>
  <c r="AB100" i="1"/>
  <c r="AB101" i="1" s="1"/>
  <c r="AF40" i="1"/>
  <c r="AF35" i="1"/>
  <c r="AF39" i="1" s="1"/>
  <c r="AG29" i="1"/>
  <c r="AG44" i="1"/>
  <c r="AE46" i="1" l="1"/>
  <c r="AD50" i="1"/>
  <c r="AD53" i="1" s="1"/>
  <c r="AD79" i="1" s="1"/>
  <c r="AD80" i="1" s="1"/>
  <c r="AD83" i="1" s="1"/>
  <c r="AD85" i="1" s="1"/>
  <c r="N121" i="1"/>
  <c r="N124" i="1" s="1"/>
  <c r="N127" i="1" s="1"/>
  <c r="N128" i="1" s="1"/>
  <c r="N118" i="1"/>
  <c r="O115" i="1" s="1"/>
  <c r="O116" i="1" s="1"/>
  <c r="P94" i="1"/>
  <c r="P96" i="1"/>
  <c r="P135" i="1" s="1"/>
  <c r="O110" i="1"/>
  <c r="O111" i="1" s="1"/>
  <c r="AG38" i="1"/>
  <c r="AI28" i="1"/>
  <c r="AH51" i="1"/>
  <c r="AH34" i="1"/>
  <c r="AH38" i="1" s="1"/>
  <c r="AG35" i="1"/>
  <c r="AG39" i="1" s="1"/>
  <c r="AH29" i="1"/>
  <c r="AH44" i="1"/>
  <c r="AF41" i="1"/>
  <c r="AI30" i="1"/>
  <c r="AI36" i="1" s="1"/>
  <c r="AH36" i="1"/>
  <c r="AG40" i="1"/>
  <c r="AC100" i="1"/>
  <c r="AC101" i="1" s="1"/>
  <c r="AF46" i="1" l="1"/>
  <c r="AE50" i="1"/>
  <c r="AE53" i="1" s="1"/>
  <c r="AE79" i="1" s="1"/>
  <c r="AE80" i="1" s="1"/>
  <c r="AE83" i="1" s="1"/>
  <c r="AE85" i="1" s="1"/>
  <c r="N137" i="1"/>
  <c r="N126" i="1"/>
  <c r="O117" i="1"/>
  <c r="P95" i="1"/>
  <c r="P97" i="1" s="1"/>
  <c r="Q92" i="1" s="1"/>
  <c r="P98" i="1"/>
  <c r="P102" i="1"/>
  <c r="P109" i="1" s="1"/>
  <c r="AI51" i="1"/>
  <c r="AI34" i="1"/>
  <c r="AI38" i="1" s="1"/>
  <c r="AH40" i="1"/>
  <c r="AI40" i="1"/>
  <c r="AI44" i="1"/>
  <c r="AD100" i="1"/>
  <c r="AD101" i="1" s="1"/>
  <c r="AG41" i="1"/>
  <c r="AH35" i="1"/>
  <c r="AH39" i="1" s="1"/>
  <c r="AI29" i="1"/>
  <c r="AI35" i="1" s="1"/>
  <c r="AI39" i="1" s="1"/>
  <c r="AG46" i="1" l="1"/>
  <c r="AF50" i="1"/>
  <c r="AF53" i="1" s="1"/>
  <c r="AF79" i="1" s="1"/>
  <c r="AF80" i="1" s="1"/>
  <c r="AF83" i="1" s="1"/>
  <c r="AF85" i="1" s="1"/>
  <c r="O118" i="1"/>
  <c r="P115" i="1" s="1"/>
  <c r="P116" i="1" s="1"/>
  <c r="P117" i="1" s="1"/>
  <c r="O119" i="1"/>
  <c r="Q94" i="1"/>
  <c r="Q96" i="1"/>
  <c r="Q135" i="1" s="1"/>
  <c r="P110" i="1"/>
  <c r="P111" i="1" s="1"/>
  <c r="AH41" i="1"/>
  <c r="AE100" i="1"/>
  <c r="AE101" i="1" s="1"/>
  <c r="AI41" i="1"/>
  <c r="AH46" i="1" l="1"/>
  <c r="AG50" i="1"/>
  <c r="AG53" i="1" s="1"/>
  <c r="AG79" i="1" s="1"/>
  <c r="AG80" i="1" s="1"/>
  <c r="AG83" i="1" s="1"/>
  <c r="AG85" i="1" s="1"/>
  <c r="O121" i="1"/>
  <c r="O124" i="1" s="1"/>
  <c r="O122" i="1"/>
  <c r="O125" i="1" s="1"/>
  <c r="P119" i="1"/>
  <c r="P118" i="1"/>
  <c r="Q115" i="1" s="1"/>
  <c r="Q116" i="1" s="1"/>
  <c r="Q95" i="1"/>
  <c r="Q97" i="1" s="1"/>
  <c r="R92" i="1" s="1"/>
  <c r="Q102" i="1"/>
  <c r="Q109" i="1" s="1"/>
  <c r="Q110" i="1" s="1"/>
  <c r="Q111" i="1" s="1"/>
  <c r="Q98" i="1"/>
  <c r="AF100" i="1"/>
  <c r="AF101" i="1" s="1"/>
  <c r="AI46" i="1" l="1"/>
  <c r="AI50" i="1" s="1"/>
  <c r="AI53" i="1" s="1"/>
  <c r="AI79" i="1" s="1"/>
  <c r="AI80" i="1" s="1"/>
  <c r="AI83" i="1" s="1"/>
  <c r="AI85" i="1" s="1"/>
  <c r="AI100" i="1" s="1"/>
  <c r="AI101" i="1" s="1"/>
  <c r="AH50" i="1"/>
  <c r="AH53" i="1" s="1"/>
  <c r="AH79" i="1" s="1"/>
  <c r="AH80" i="1" s="1"/>
  <c r="AH83" i="1" s="1"/>
  <c r="AH85" i="1" s="1"/>
  <c r="O126" i="1"/>
  <c r="O127" i="1"/>
  <c r="O128" i="1" s="1"/>
  <c r="O137" i="1"/>
  <c r="Q117" i="1"/>
  <c r="Q119" i="1" s="1"/>
  <c r="R96" i="1"/>
  <c r="R135" i="1" s="1"/>
  <c r="R94" i="1"/>
  <c r="P122" i="1"/>
  <c r="P125" i="1" s="1"/>
  <c r="P121" i="1"/>
  <c r="P124" i="1" s="1"/>
  <c r="AG100" i="1"/>
  <c r="AG101" i="1" s="1"/>
  <c r="AI102" i="1" l="1"/>
  <c r="Q118" i="1"/>
  <c r="R115" i="1" s="1"/>
  <c r="R116" i="1" s="1"/>
  <c r="R95" i="1"/>
  <c r="R97" i="1" s="1"/>
  <c r="S92" i="1" s="1"/>
  <c r="R102" i="1"/>
  <c r="R109" i="1" s="1"/>
  <c r="R110" i="1" s="1"/>
  <c r="R111" i="1" s="1"/>
  <c r="R98" i="1"/>
  <c r="P126" i="1"/>
  <c r="P137" i="1"/>
  <c r="P127" i="1"/>
  <c r="P128" i="1" s="1"/>
  <c r="Q122" i="1"/>
  <c r="Q125" i="1" s="1"/>
  <c r="Q121" i="1"/>
  <c r="Q124" i="1" s="1"/>
  <c r="AH100" i="1"/>
  <c r="AH101" i="1" s="1"/>
  <c r="R117" i="1" l="1"/>
  <c r="R119" i="1" s="1"/>
  <c r="S94" i="1"/>
  <c r="S96" i="1"/>
  <c r="S135" i="1" s="1"/>
  <c r="Q137" i="1"/>
  <c r="Q126" i="1"/>
  <c r="Q127" i="1"/>
  <c r="Q128" i="1" s="1"/>
  <c r="R118" i="1" l="1"/>
  <c r="S115" i="1" s="1"/>
  <c r="S116" i="1" s="1"/>
  <c r="S95" i="1"/>
  <c r="S97" i="1" s="1"/>
  <c r="T92" i="1" s="1"/>
  <c r="S102" i="1"/>
  <c r="S109" i="1" s="1"/>
  <c r="S110" i="1" s="1"/>
  <c r="S111" i="1" s="1"/>
  <c r="S98" i="1"/>
  <c r="R122" i="1"/>
  <c r="R125" i="1" s="1"/>
  <c r="R121" i="1"/>
  <c r="R124" i="1" s="1"/>
  <c r="S117" i="1" l="1"/>
  <c r="S118" i="1" s="1"/>
  <c r="T115" i="1" s="1"/>
  <c r="T116" i="1" s="1"/>
  <c r="T94" i="1"/>
  <c r="T96" i="1"/>
  <c r="T135" i="1" s="1"/>
  <c r="R126" i="1"/>
  <c r="R127" i="1"/>
  <c r="R128" i="1" s="1"/>
  <c r="R137" i="1"/>
  <c r="S119" i="1" l="1"/>
  <c r="S122" i="1" s="1"/>
  <c r="S125" i="1" s="1"/>
  <c r="T95" i="1"/>
  <c r="T97" i="1" s="1"/>
  <c r="U92" i="1" s="1"/>
  <c r="T98" i="1"/>
  <c r="T102" i="1"/>
  <c r="T109" i="1" s="1"/>
  <c r="T110" i="1" s="1"/>
  <c r="T111" i="1" s="1"/>
  <c r="S121" i="1" l="1"/>
  <c r="S124" i="1" s="1"/>
  <c r="S137" i="1" s="1"/>
  <c r="U96" i="1"/>
  <c r="U135" i="1" s="1"/>
  <c r="U94" i="1"/>
  <c r="T117" i="1"/>
  <c r="T118" i="1" s="1"/>
  <c r="U115" i="1" s="1"/>
  <c r="U116" i="1" s="1"/>
  <c r="S126" i="1" l="1"/>
  <c r="S127" i="1"/>
  <c r="S128" i="1" s="1"/>
  <c r="U95" i="1"/>
  <c r="U97" i="1" s="1"/>
  <c r="V92" i="1" s="1"/>
  <c r="U98" i="1"/>
  <c r="U102" i="1"/>
  <c r="U109" i="1" s="1"/>
  <c r="U110" i="1" s="1"/>
  <c r="U111" i="1" s="1"/>
  <c r="T119" i="1"/>
  <c r="T122" i="1" l="1"/>
  <c r="T125" i="1" s="1"/>
  <c r="T121" i="1"/>
  <c r="T124" i="1" s="1"/>
  <c r="U117" i="1"/>
  <c r="U118" i="1" s="1"/>
  <c r="V115" i="1" s="1"/>
  <c r="V116" i="1" s="1"/>
  <c r="V94" i="1"/>
  <c r="V96" i="1"/>
  <c r="V135" i="1" s="1"/>
  <c r="U119" i="1" l="1"/>
  <c r="T127" i="1"/>
  <c r="T128" i="1" s="1"/>
  <c r="T137" i="1"/>
  <c r="T126" i="1"/>
  <c r="V95" i="1"/>
  <c r="V97" i="1" s="1"/>
  <c r="W92" i="1" s="1"/>
  <c r="V98" i="1"/>
  <c r="V102" i="1"/>
  <c r="V109" i="1" s="1"/>
  <c r="U122" i="1" l="1"/>
  <c r="U125" i="1" s="1"/>
  <c r="U121" i="1"/>
  <c r="U124" i="1" s="1"/>
  <c r="W94" i="1"/>
  <c r="W96" i="1"/>
  <c r="W135" i="1" s="1"/>
  <c r="V110" i="1"/>
  <c r="V111" i="1" s="1"/>
  <c r="V117" i="1"/>
  <c r="V118" i="1" s="1"/>
  <c r="W115" i="1" s="1"/>
  <c r="W116" i="1" s="1"/>
  <c r="W95" i="1" l="1"/>
  <c r="W97" i="1" s="1"/>
  <c r="X92" i="1" s="1"/>
  <c r="W102" i="1"/>
  <c r="W109" i="1" s="1"/>
  <c r="W98" i="1"/>
  <c r="U137" i="1"/>
  <c r="U126" i="1"/>
  <c r="U127" i="1"/>
  <c r="U128" i="1" s="1"/>
  <c r="V119" i="1"/>
  <c r="X94" i="1" l="1"/>
  <c r="X96" i="1"/>
  <c r="X135" i="1" s="1"/>
  <c r="W110" i="1"/>
  <c r="W111" i="1" s="1"/>
  <c r="V121" i="1"/>
  <c r="V124" i="1" s="1"/>
  <c r="V122" i="1"/>
  <c r="V125" i="1" s="1"/>
  <c r="W117" i="1"/>
  <c r="W118" i="1" s="1"/>
  <c r="X115" i="1" s="1"/>
  <c r="X116" i="1" s="1"/>
  <c r="V126" i="1" l="1"/>
  <c r="V127" i="1"/>
  <c r="V128" i="1" s="1"/>
  <c r="V137" i="1"/>
  <c r="W119" i="1"/>
  <c r="X95" i="1"/>
  <c r="X97" i="1" s="1"/>
  <c r="Y92" i="1" s="1"/>
  <c r="X98" i="1"/>
  <c r="X102" i="1"/>
  <c r="X109" i="1" s="1"/>
  <c r="Y94" i="1" l="1"/>
  <c r="Y96" i="1"/>
  <c r="Y135" i="1" s="1"/>
  <c r="X110" i="1"/>
  <c r="X111" i="1" s="1"/>
  <c r="W121" i="1"/>
  <c r="W124" i="1" s="1"/>
  <c r="W122" i="1"/>
  <c r="W125" i="1" s="1"/>
  <c r="X117" i="1"/>
  <c r="X118" i="1" s="1"/>
  <c r="Y115" i="1" s="1"/>
  <c r="X119" i="1" l="1"/>
  <c r="X122" i="1" s="1"/>
  <c r="X125" i="1" s="1"/>
  <c r="Y116" i="1"/>
  <c r="W127" i="1"/>
  <c r="W128" i="1" s="1"/>
  <c r="W126" i="1"/>
  <c r="W137" i="1"/>
  <c r="Y95" i="1"/>
  <c r="Y97" i="1" s="1"/>
  <c r="Z92" i="1" s="1"/>
  <c r="Y102" i="1"/>
  <c r="Y109" i="1" s="1"/>
  <c r="Y98" i="1"/>
  <c r="X121" i="1" l="1"/>
  <c r="X124" i="1" s="1"/>
  <c r="X126" i="1" s="1"/>
  <c r="Z96" i="1"/>
  <c r="Z135" i="1" s="1"/>
  <c r="Z94" i="1"/>
  <c r="Y110" i="1"/>
  <c r="Y111" i="1" s="1"/>
  <c r="Y117" i="1"/>
  <c r="Y118" i="1" s="1"/>
  <c r="Z115" i="1" s="1"/>
  <c r="X127" i="1" l="1"/>
  <c r="X128" i="1" s="1"/>
  <c r="X137" i="1"/>
  <c r="Z116" i="1"/>
  <c r="Z95" i="1"/>
  <c r="Z97" i="1" s="1"/>
  <c r="AA92" i="1" s="1"/>
  <c r="Z98" i="1"/>
  <c r="Z102" i="1"/>
  <c r="Z109" i="1" s="1"/>
  <c r="Y119" i="1"/>
  <c r="Y122" i="1" l="1"/>
  <c r="Y125" i="1" s="1"/>
  <c r="Y121" i="1"/>
  <c r="Y124" i="1" s="1"/>
  <c r="AA94" i="1"/>
  <c r="AA96" i="1"/>
  <c r="AA135" i="1" s="1"/>
  <c r="Z110" i="1"/>
  <c r="Z111" i="1" s="1"/>
  <c r="Z117" i="1"/>
  <c r="Z118" i="1" s="1"/>
  <c r="AA115" i="1" s="1"/>
  <c r="AA95" i="1" l="1"/>
  <c r="AA97" i="1" s="1"/>
  <c r="AB92" i="1" s="1"/>
  <c r="AA98" i="1"/>
  <c r="AA102" i="1"/>
  <c r="AA109" i="1" s="1"/>
  <c r="Y127" i="1"/>
  <c r="Y128" i="1" s="1"/>
  <c r="Y137" i="1"/>
  <c r="Y126" i="1"/>
  <c r="AA116" i="1"/>
  <c r="Z119" i="1"/>
  <c r="AA117" i="1" l="1"/>
  <c r="AA118" i="1" s="1"/>
  <c r="AB115" i="1" s="1"/>
  <c r="AB116" i="1" s="1"/>
  <c r="AA110" i="1"/>
  <c r="AA111" i="1" s="1"/>
  <c r="Z121" i="1"/>
  <c r="Z124" i="1" s="1"/>
  <c r="Z122" i="1"/>
  <c r="Z125" i="1" s="1"/>
  <c r="AB94" i="1"/>
  <c r="AB96" i="1"/>
  <c r="AB135" i="1" s="1"/>
  <c r="AA119" i="1" l="1"/>
  <c r="AA121" i="1" s="1"/>
  <c r="AA124" i="1" s="1"/>
  <c r="AB95" i="1"/>
  <c r="AB97" i="1" s="1"/>
  <c r="AC92" i="1" s="1"/>
  <c r="AB102" i="1"/>
  <c r="AB109" i="1" s="1"/>
  <c r="AB117" i="1" s="1"/>
  <c r="AB118" i="1" s="1"/>
  <c r="AC115" i="1" s="1"/>
  <c r="AC116" i="1" s="1"/>
  <c r="AB98" i="1"/>
  <c r="Z127" i="1"/>
  <c r="Z128" i="1" s="1"/>
  <c r="Z137" i="1"/>
  <c r="Z126" i="1"/>
  <c r="AA122" i="1" l="1"/>
  <c r="AA125" i="1" s="1"/>
  <c r="AA126" i="1" s="1"/>
  <c r="AC94" i="1"/>
  <c r="AC96" i="1"/>
  <c r="AC135" i="1" s="1"/>
  <c r="AA127" i="1"/>
  <c r="AA128" i="1" s="1"/>
  <c r="AA137" i="1"/>
  <c r="AB110" i="1"/>
  <c r="AB111" i="1" s="1"/>
  <c r="AB119" i="1"/>
  <c r="AC95" i="1" l="1"/>
  <c r="AC97" i="1" s="1"/>
  <c r="AD92" i="1" s="1"/>
  <c r="AC98" i="1"/>
  <c r="AC102" i="1"/>
  <c r="AC109" i="1" s="1"/>
  <c r="AB121" i="1"/>
  <c r="AB124" i="1" s="1"/>
  <c r="AB122" i="1"/>
  <c r="AB125" i="1" s="1"/>
  <c r="AC110" i="1" l="1"/>
  <c r="AC111" i="1" s="1"/>
  <c r="AC117" i="1"/>
  <c r="AC118" i="1" s="1"/>
  <c r="AD115" i="1" s="1"/>
  <c r="AB137" i="1"/>
  <c r="AB126" i="1"/>
  <c r="AB127" i="1"/>
  <c r="AB128" i="1" s="1"/>
  <c r="AD94" i="1"/>
  <c r="AD96" i="1"/>
  <c r="AD135" i="1" s="1"/>
  <c r="AD95" i="1" l="1"/>
  <c r="AD97" i="1" s="1"/>
  <c r="AE92" i="1" s="1"/>
  <c r="AD98" i="1"/>
  <c r="AD102" i="1"/>
  <c r="AD109" i="1" s="1"/>
  <c r="AD116" i="1"/>
  <c r="AC119" i="1"/>
  <c r="AD117" i="1" l="1"/>
  <c r="AD119" i="1" s="1"/>
  <c r="AD110" i="1"/>
  <c r="AD111" i="1" s="1"/>
  <c r="AC121" i="1"/>
  <c r="AC124" i="1" s="1"/>
  <c r="AC122" i="1"/>
  <c r="AC125" i="1" s="1"/>
  <c r="AE94" i="1"/>
  <c r="AE96" i="1"/>
  <c r="AE135" i="1" s="1"/>
  <c r="AD118" i="1" l="1"/>
  <c r="AE115" i="1" s="1"/>
  <c r="AE116" i="1" s="1"/>
  <c r="AC126" i="1"/>
  <c r="AC127" i="1"/>
  <c r="AC128" i="1" s="1"/>
  <c r="AC137" i="1"/>
  <c r="AE95" i="1"/>
  <c r="AE97" i="1" s="1"/>
  <c r="AF92" i="1" s="1"/>
  <c r="AE102" i="1"/>
  <c r="AE109" i="1" s="1"/>
  <c r="AE98" i="1"/>
  <c r="AD121" i="1"/>
  <c r="AD124" i="1" s="1"/>
  <c r="AD122" i="1"/>
  <c r="AD125" i="1" s="1"/>
  <c r="AE110" i="1" l="1"/>
  <c r="AE111" i="1" s="1"/>
  <c r="AD137" i="1"/>
  <c r="AD126" i="1"/>
  <c r="AD127" i="1"/>
  <c r="AD128" i="1" s="1"/>
  <c r="AF96" i="1"/>
  <c r="AF135" i="1" s="1"/>
  <c r="AF94" i="1"/>
  <c r="AE117" i="1"/>
  <c r="AE118" i="1" s="1"/>
  <c r="AF115" i="1" s="1"/>
  <c r="AF116" i="1" l="1"/>
  <c r="AF95" i="1"/>
  <c r="AF97" i="1" s="1"/>
  <c r="AG92" i="1" s="1"/>
  <c r="AF102" i="1"/>
  <c r="AF109" i="1" s="1"/>
  <c r="AF98" i="1"/>
  <c r="AE119" i="1"/>
  <c r="AF117" i="1" l="1"/>
  <c r="AF118" i="1" s="1"/>
  <c r="AG115" i="1" s="1"/>
  <c r="AG116" i="1" s="1"/>
  <c r="AE122" i="1"/>
  <c r="AE125" i="1" s="1"/>
  <c r="AE121" i="1"/>
  <c r="AE124" i="1" s="1"/>
  <c r="AG94" i="1"/>
  <c r="AG96" i="1"/>
  <c r="AG135" i="1" s="1"/>
  <c r="AF110" i="1"/>
  <c r="AF111" i="1" s="1"/>
  <c r="AF119" i="1" l="1"/>
  <c r="AF122" i="1" s="1"/>
  <c r="AF125" i="1" s="1"/>
  <c r="AE137" i="1"/>
  <c r="AE126" i="1"/>
  <c r="AE127" i="1"/>
  <c r="AE128" i="1" s="1"/>
  <c r="AG95" i="1"/>
  <c r="AG97" i="1" s="1"/>
  <c r="AH92" i="1" s="1"/>
  <c r="AG102" i="1"/>
  <c r="AG109" i="1" s="1"/>
  <c r="AG98" i="1"/>
  <c r="AF121" i="1" l="1"/>
  <c r="AF124" i="1" s="1"/>
  <c r="AF126" i="1" s="1"/>
  <c r="AH94" i="1"/>
  <c r="AH96" i="1"/>
  <c r="AH135" i="1" s="1"/>
  <c r="AG110" i="1"/>
  <c r="AG111" i="1" s="1"/>
  <c r="AG117" i="1"/>
  <c r="AG118" i="1" s="1"/>
  <c r="AH115" i="1" s="1"/>
  <c r="AF137" i="1" l="1"/>
  <c r="AF127" i="1"/>
  <c r="AF128" i="1" s="1"/>
  <c r="AG119" i="1"/>
  <c r="AG122" i="1" s="1"/>
  <c r="AG125" i="1" s="1"/>
  <c r="AH116" i="1"/>
  <c r="AH95" i="1"/>
  <c r="AH97" i="1" s="1"/>
  <c r="AI92" i="1" s="1"/>
  <c r="AI96" i="1" s="1"/>
  <c r="AI95" i="1" s="1"/>
  <c r="AI97" i="1" s="1"/>
  <c r="AI108" i="1" s="1"/>
  <c r="AI109" i="1" s="1"/>
  <c r="AI110" i="1" s="1"/>
  <c r="AH98" i="1"/>
  <c r="AH102" i="1"/>
  <c r="AH109" i="1" s="1"/>
  <c r="AG121" i="1" l="1"/>
  <c r="AG124" i="1" s="1"/>
  <c r="AG127" i="1" s="1"/>
  <c r="AG128" i="1" s="1"/>
  <c r="AH110" i="1"/>
  <c r="AH111" i="1" s="1"/>
  <c r="C111" i="1"/>
  <c r="AH117" i="1"/>
  <c r="AH118" i="1" s="1"/>
  <c r="AI115" i="1" s="1"/>
  <c r="AG137" i="1" l="1"/>
  <c r="AG126" i="1"/>
  <c r="AH119" i="1"/>
  <c r="AH121" i="1" s="1"/>
  <c r="AH124" i="1" s="1"/>
  <c r="AI116" i="1"/>
  <c r="AI117" i="1" s="1"/>
  <c r="AI111" i="1"/>
  <c r="AH122" i="1" l="1"/>
  <c r="AH125" i="1" s="1"/>
  <c r="AH126" i="1" s="1"/>
  <c r="AI119" i="1"/>
  <c r="AI118" i="1"/>
  <c r="AH137" i="1"/>
  <c r="AH127" i="1"/>
  <c r="AH128" i="1" s="1"/>
  <c r="AI121" i="1" l="1"/>
  <c r="AI124" i="1" s="1"/>
  <c r="AI122" i="1"/>
  <c r="AI125" i="1" s="1"/>
  <c r="C125" i="1" s="1"/>
  <c r="AI137" i="1" l="1"/>
  <c r="C138" i="1" s="1"/>
  <c r="I58" i="8" s="1"/>
  <c r="AI127" i="1"/>
  <c r="AI128" i="1" s="1"/>
  <c r="AI126" i="1"/>
  <c r="C128" i="1"/>
  <c r="C124" i="1"/>
  <c r="I9" i="8" l="1"/>
  <c r="B21" i="7"/>
  <c r="I5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</author>
  </authors>
  <commentList>
    <comment ref="B106" authorId="0" shapeId="0" xr:uid="{39018683-F9C1-43D0-8577-F00140AED954}">
      <text>
        <r>
          <rPr>
            <b/>
            <sz val="9"/>
            <color indexed="81"/>
            <rFont val="Tahoma"/>
            <family val="2"/>
          </rPr>
          <t>Brian:</t>
        </r>
        <r>
          <rPr>
            <sz val="9"/>
            <color indexed="81"/>
            <rFont val="Tahoma"/>
            <family val="2"/>
          </rPr>
          <t xml:space="preserve">
I added this for seller carry note section on the notes page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Alan Stevenson</author>
  </authors>
  <commentList>
    <comment ref="I9" authorId="0" shapeId="0" xr:uid="{9DA143A7-A5EA-4BCB-AD16-4BA507BBFF49}">
      <text>
        <r>
          <rPr>
            <b/>
            <sz val="9"/>
            <color indexed="81"/>
            <rFont val="Tahoma"/>
            <family val="2"/>
          </rPr>
          <t>Alan Stevenson:</t>
        </r>
        <r>
          <rPr>
            <sz val="9"/>
            <color indexed="81"/>
            <rFont val="Tahoma"/>
            <family val="2"/>
          </rPr>
          <t xml:space="preserve">
if available as part of an offering package.</t>
        </r>
      </text>
    </comment>
    <comment ref="I29" authorId="0" shapeId="0" xr:uid="{DA513931-2003-463D-A4FB-721D5CF17826}">
      <text>
        <r>
          <rPr>
            <b/>
            <sz val="9"/>
            <color indexed="81"/>
            <rFont val="Tahoma"/>
            <family val="2"/>
          </rPr>
          <t>Alan Stevenson:</t>
        </r>
        <r>
          <rPr>
            <sz val="9"/>
            <color indexed="81"/>
            <rFont val="Tahoma"/>
            <family val="2"/>
          </rPr>
          <t xml:space="preserve">
if available as part of an offering package.</t>
        </r>
      </text>
    </comment>
  </commentList>
</comments>
</file>

<file path=xl/sharedStrings.xml><?xml version="1.0" encoding="utf-8"?>
<sst xmlns="http://schemas.openxmlformats.org/spreadsheetml/2006/main" count="844" uniqueCount="645">
  <si>
    <t>Number of Spaces</t>
  </si>
  <si>
    <t>Term</t>
  </si>
  <si>
    <t>Licenses and Permits</t>
  </si>
  <si>
    <t>Legal Expenses</t>
  </si>
  <si>
    <t>STABILIZED</t>
  </si>
  <si>
    <t>DSCR</t>
  </si>
  <si>
    <t>Advertising</t>
  </si>
  <si>
    <t>Additional Cash Needs at closing</t>
  </si>
  <si>
    <t>Estimated Amount of Taxable Income</t>
  </si>
  <si>
    <t>Banking and Merchant fees (est)</t>
  </si>
  <si>
    <t>Trash</t>
  </si>
  <si>
    <t>total</t>
  </si>
  <si>
    <t>Electric</t>
  </si>
  <si>
    <t xml:space="preserve">Insurance </t>
  </si>
  <si>
    <t>Free Rent/Utilities to Manager</t>
  </si>
  <si>
    <t>ROE</t>
  </si>
  <si>
    <t>Value</t>
  </si>
  <si>
    <t>Depreciation</t>
  </si>
  <si>
    <t>Purchase Price</t>
  </si>
  <si>
    <t>Price/Space</t>
  </si>
  <si>
    <t>Total Investment</t>
  </si>
  <si>
    <t>Equity</t>
  </si>
  <si>
    <t>Total</t>
  </si>
  <si>
    <t>Projections</t>
  </si>
  <si>
    <t>Returns</t>
  </si>
  <si>
    <t>Year 1</t>
  </si>
  <si>
    <t>Year 2</t>
  </si>
  <si>
    <t>Year 3</t>
  </si>
  <si>
    <t>Year 4</t>
  </si>
  <si>
    <t>Year 5</t>
  </si>
  <si>
    <t>Gross Income</t>
  </si>
  <si>
    <t>Operating Expense</t>
  </si>
  <si>
    <t>Net Income</t>
  </si>
  <si>
    <t>Gross Profit</t>
  </si>
  <si>
    <t>Debt Service</t>
  </si>
  <si>
    <t>Price</t>
  </si>
  <si>
    <t>Price/space</t>
  </si>
  <si>
    <t>Additional Cash needs</t>
  </si>
  <si>
    <t>Park owned homes</t>
  </si>
  <si>
    <t>Entry Cap rate</t>
  </si>
  <si>
    <t># of spaces
MH/RV/other</t>
  </si>
  <si>
    <t>Vacancy</t>
  </si>
  <si>
    <t>Target IRR</t>
  </si>
  <si>
    <t>Key Attributes</t>
  </si>
  <si>
    <t>What makes this property an attractive investment?</t>
  </si>
  <si>
    <t>Value/space</t>
  </si>
  <si>
    <t>Summary explanation of changes of value</t>
  </si>
  <si>
    <t>Uses of additional cash:</t>
  </si>
  <si>
    <t>BVG</t>
  </si>
  <si>
    <t>Star Rating</t>
  </si>
  <si>
    <t>Quality / Condition / Size (2 Stars Max)</t>
  </si>
  <si>
    <t>Yes/No</t>
  </si>
  <si>
    <t>Criteria</t>
  </si>
  <si>
    <t>No</t>
  </si>
  <si>
    <t>Has over 75 spaces?</t>
  </si>
  <si>
    <t>Majority of home are older newer (&lt;25 years)?</t>
  </si>
  <si>
    <t>Most spaces accommodate double wide trailers?</t>
  </si>
  <si>
    <t>Other?</t>
  </si>
  <si>
    <t>All City Services (1 Star Max)</t>
  </si>
  <si>
    <t>All City Services?</t>
  </si>
  <si>
    <t>Yes</t>
  </si>
  <si>
    <t>Includes imminent connection to city services?</t>
  </si>
  <si>
    <t>Location (1 Star Max)</t>
  </si>
  <si>
    <t>In city metro area?</t>
  </si>
  <si>
    <t>Distance to largest city &lt; 20 miles?</t>
  </si>
  <si>
    <t>Amenities / Uniqueness (1 Star Max)</t>
  </si>
  <si>
    <t>On a river?</t>
  </si>
  <si>
    <t>On a golf course?</t>
  </si>
  <si>
    <t>Coastal location?</t>
  </si>
  <si>
    <t>Only park in area?</t>
  </si>
  <si>
    <t>Total Stars</t>
  </si>
  <si>
    <t>Base Year</t>
  </si>
  <si>
    <t>Acquisition Summary</t>
  </si>
  <si>
    <r>
      <t xml:space="preserve">Addl Capital / Closing Costs </t>
    </r>
    <r>
      <rPr>
        <b/>
        <sz val="10"/>
        <rFont val="Arial"/>
        <family val="2"/>
      </rPr>
      <t>(see Notes)</t>
    </r>
  </si>
  <si>
    <t>All In Entrance Cap Rate</t>
  </si>
  <si>
    <t>Per Space</t>
  </si>
  <si>
    <t>Monthly Operating Summary</t>
  </si>
  <si>
    <t>Rental Rate by Category</t>
  </si>
  <si>
    <t>Net Rental Income</t>
  </si>
  <si>
    <t>Other Income</t>
  </si>
  <si>
    <t>Gross Rental Income by Category</t>
  </si>
  <si>
    <t>Total Other Income</t>
  </si>
  <si>
    <t>Monthly Expenses</t>
  </si>
  <si>
    <t>Annualized</t>
  </si>
  <si>
    <t>BVG Budget</t>
  </si>
  <si>
    <t>Net Operating Income (Monthly)</t>
  </si>
  <si>
    <t>Net Operating Income (Annual)</t>
  </si>
  <si>
    <t>Beginning balance</t>
  </si>
  <si>
    <t>Payment</t>
  </si>
  <si>
    <t>Interest</t>
  </si>
  <si>
    <t>Principal</t>
  </si>
  <si>
    <t>Ending balance</t>
  </si>
  <si>
    <t>Interest rate</t>
  </si>
  <si>
    <t>Debt Service Assumptions</t>
  </si>
  <si>
    <t>Initial Loan</t>
  </si>
  <si>
    <t>Refinance</t>
  </si>
  <si>
    <t>LTV</t>
  </si>
  <si>
    <t>Debt service</t>
  </si>
  <si>
    <t>Exit</t>
  </si>
  <si>
    <t>Net Cash Flow after Debt Service</t>
  </si>
  <si>
    <t>Cash from Sale of POH</t>
  </si>
  <si>
    <t>Return of Capital from Refinance</t>
  </si>
  <si>
    <t>Pretax Income Available for Distribution</t>
  </si>
  <si>
    <t>Sale Proceeds at Exit</t>
  </si>
  <si>
    <t>Preferred return</t>
  </si>
  <si>
    <t>Available</t>
  </si>
  <si>
    <t>Split</t>
  </si>
  <si>
    <t>BVG %</t>
  </si>
  <si>
    <t>Depreciation Tax Shield</t>
  </si>
  <si>
    <t>Acquisition Cost</t>
  </si>
  <si>
    <t>Total Acquisition Cost</t>
  </si>
  <si>
    <t xml:space="preserve">Debt </t>
  </si>
  <si>
    <t>Additional Capital / Closing</t>
  </si>
  <si>
    <t>Total Equity Investment</t>
  </si>
  <si>
    <t>Cash Available for Distribution</t>
  </si>
  <si>
    <t>Refinance Valuation</t>
  </si>
  <si>
    <t>Total Income (Monthly)</t>
  </si>
  <si>
    <t>Total Operating Expense (Monthly)</t>
  </si>
  <si>
    <t>MH Space Rent Tier 1</t>
  </si>
  <si>
    <t>Rental Income from POH</t>
  </si>
  <si>
    <t>Note Income from POH</t>
  </si>
  <si>
    <t>Biling Software</t>
  </si>
  <si>
    <t>Distributions</t>
  </si>
  <si>
    <t>Occupied</t>
  </si>
  <si>
    <t>Vacant</t>
  </si>
  <si>
    <t>Vacancy Rate</t>
  </si>
  <si>
    <t>Park Owned Homes (POH)</t>
  </si>
  <si>
    <t>Spaces</t>
  </si>
  <si>
    <t>Office Supplies, Postage, Pager, Printing, dues, subscr, Misc.</t>
  </si>
  <si>
    <t>LLC/LP Tax</t>
  </si>
  <si>
    <t>Return</t>
  </si>
  <si>
    <r>
      <t xml:space="preserve">Gross IRR </t>
    </r>
    <r>
      <rPr>
        <sz val="10"/>
        <rFont val="Arial"/>
        <family val="2"/>
      </rPr>
      <t>(par return)</t>
    </r>
  </si>
  <si>
    <t>Year 6</t>
  </si>
  <si>
    <t>Additional debt/Refinance</t>
  </si>
  <si>
    <t>Return of Capital (other)</t>
  </si>
  <si>
    <t>Initial</t>
  </si>
  <si>
    <t>Refi</t>
  </si>
  <si>
    <t>DATA FROM BELOW</t>
  </si>
  <si>
    <t>AVG PRICE EA</t>
  </si>
  <si>
    <t>--&gt; POH to be sold</t>
  </si>
  <si>
    <t>REFI CAP RATE</t>
  </si>
  <si>
    <t xml:space="preserve">Other? </t>
  </si>
  <si>
    <t>Park is in California?</t>
  </si>
  <si>
    <t>Tax Return Preparation/accounting</t>
  </si>
  <si>
    <t xml:space="preserve">Water </t>
  </si>
  <si>
    <t>Sewer-septic</t>
  </si>
  <si>
    <t>Outside Services -plumbing, electrical, etc</t>
  </si>
  <si>
    <t>Workers Comp</t>
  </si>
  <si>
    <t>Payroll Taxes</t>
  </si>
  <si>
    <t>GL Acct</t>
  </si>
  <si>
    <t>Cash on Cash (5 Years)</t>
  </si>
  <si>
    <t>Distributions (5 Years)</t>
  </si>
  <si>
    <t>Value at year 5</t>
  </si>
  <si>
    <t>5 YR ROI (cash only)</t>
  </si>
  <si>
    <t>BVG Cash (5 Years)</t>
  </si>
  <si>
    <t>Landscape, pool, &amp; sweeping maintenance &amp; supplies</t>
  </si>
  <si>
    <t>Auto expense &amp; travel</t>
  </si>
  <si>
    <t xml:space="preserve">Maintenance $250 per space </t>
  </si>
  <si>
    <t>Investor BVG Split</t>
  </si>
  <si>
    <t>Investor %</t>
  </si>
  <si>
    <t>Investor Pref. Return (Yr 1)</t>
  </si>
  <si>
    <t>Investor Pref. Return (After Yr 1)</t>
  </si>
  <si>
    <t>Investor Preferred Return</t>
  </si>
  <si>
    <t>Investor</t>
  </si>
  <si>
    <t>Investor IRR</t>
  </si>
  <si>
    <t>Investor Cash (5 Years)</t>
  </si>
  <si>
    <t>Investor Cash Flow with Tax Shield</t>
  </si>
  <si>
    <t>Investor IRR with Depreciation Tax Shield</t>
  </si>
  <si>
    <t>RV Space Rent Permanent</t>
  </si>
  <si>
    <t>RV Space Rent Temporary</t>
  </si>
  <si>
    <t>clubhouse</t>
  </si>
  <si>
    <t>Cash Flow to Investor</t>
  </si>
  <si>
    <t>Investor Target IRR</t>
  </si>
  <si>
    <t>From December 2016</t>
  </si>
  <si>
    <r>
      <t xml:space="preserve">INVESTMENT STRUCTURE </t>
    </r>
    <r>
      <rPr>
        <b/>
        <sz val="10"/>
        <color theme="0"/>
        <rFont val="Arial"/>
        <family val="2"/>
      </rPr>
      <t>(projected returns)</t>
    </r>
  </si>
  <si>
    <t>Cash Infusion Required</t>
  </si>
  <si>
    <r>
      <t>Investment Amount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</t>
    </r>
    <r>
      <rPr>
        <b/>
        <i/>
        <sz val="11"/>
        <color rgb="FFC00000"/>
        <rFont val="Calibri"/>
        <family val="2"/>
        <scheme val="minor"/>
      </rPr>
      <t>enter amt</t>
    </r>
    <r>
      <rPr>
        <b/>
        <sz val="11"/>
        <color rgb="FFC00000"/>
        <rFont val="Calibri"/>
        <family val="2"/>
        <scheme val="minor"/>
      </rPr>
      <t>)</t>
    </r>
  </si>
  <si>
    <t>Number of Units/of 10,000 total</t>
  </si>
  <si>
    <t xml:space="preserve">        Year 5</t>
  </si>
  <si>
    <t>For information contact:</t>
  </si>
  <si>
    <t xml:space="preserve"> Eli Weiner    530.400.2354</t>
  </si>
  <si>
    <t>eli@boavidacommunities.com</t>
  </si>
  <si>
    <t>% of ownership</t>
  </si>
  <si>
    <t>Projected Cash Return</t>
  </si>
  <si>
    <t>Projected Depreciation</t>
  </si>
  <si>
    <t>Investor IRR with Tax Shield</t>
  </si>
  <si>
    <t>Investor Return Inclusive of Depreciation</t>
  </si>
  <si>
    <t>Refi Cap rate</t>
  </si>
  <si>
    <t>Projected total cash returned through year 5</t>
  </si>
  <si>
    <t>Projected value of equity remaining at year 5</t>
  </si>
  <si>
    <t>Total of cash returned plus retained equity</t>
  </si>
  <si>
    <t>5% preferred return paid to investors.  All cash flow including refinance proceeds above the 5% preferred shall be paid to investors until 100% of their investment is returned.  After 100% of the original capital has been returned, then investors and BVG shall split the cash flow and refinance proceeds 50/50</t>
  </si>
  <si>
    <t>Estimated Annual Depreciation (100% investors until refi)</t>
  </si>
  <si>
    <t>Investor Cash Flow</t>
  </si>
  <si>
    <t>RV Vacancy Rate Permanent</t>
  </si>
  <si>
    <t>Other</t>
  </si>
  <si>
    <t>RV Vacancy Rate Temporary</t>
  </si>
  <si>
    <t>MH Spaces - Double wide</t>
  </si>
  <si>
    <t>MH Spaces - Single wide</t>
  </si>
  <si>
    <t>Other, misc.</t>
  </si>
  <si>
    <t>Sewer</t>
  </si>
  <si>
    <t>Water</t>
  </si>
  <si>
    <t>Inputs / Assumptions</t>
  </si>
  <si>
    <t>Gas / Propane</t>
  </si>
  <si>
    <t>Operating Expense Inflation</t>
  </si>
  <si>
    <t>Management Fee</t>
  </si>
  <si>
    <t>Management Fee Limit</t>
  </si>
  <si>
    <t>Gas/Propane</t>
  </si>
  <si>
    <t>Phone/Cable/Internet</t>
  </si>
  <si>
    <t>Return On Cost (Gross)</t>
  </si>
  <si>
    <t>Return On Cost (Net Of NOI Received)</t>
  </si>
  <si>
    <t>Property Tax Mill Rate</t>
  </si>
  <si>
    <t>Exit Cap Rate Assumption</t>
  </si>
  <si>
    <t>Projected Year 1 Cap Rate</t>
  </si>
  <si>
    <t>Historical Income / Expense Data Entry Form</t>
  </si>
  <si>
    <t>Deal Name</t>
  </si>
  <si>
    <t>Current Year</t>
  </si>
  <si>
    <t>Three Past Years</t>
  </si>
  <si>
    <t>Date of Statement</t>
  </si>
  <si>
    <t># of Months for YTD</t>
  </si>
  <si>
    <t>Historical Income Data Entry</t>
  </si>
  <si>
    <t xml:space="preserve">BVG </t>
  </si>
  <si>
    <t>YTD</t>
  </si>
  <si>
    <t xml:space="preserve">Annualized </t>
  </si>
  <si>
    <t>Broker</t>
  </si>
  <si>
    <t>Historical Income Entry</t>
  </si>
  <si>
    <t>Account#</t>
  </si>
  <si>
    <t>Trailing 12</t>
  </si>
  <si>
    <t>Projection</t>
  </si>
  <si>
    <t>BVG Account Name</t>
  </si>
  <si>
    <t>Notes</t>
  </si>
  <si>
    <t>XRental Income</t>
  </si>
  <si>
    <t>Historical Expenses Data Entry</t>
  </si>
  <si>
    <t>Historical Expenses Entry</t>
  </si>
  <si>
    <t>This can be tricky on YTD statements as is often paid twice per year.</t>
  </si>
  <si>
    <t>Totals for Checksum</t>
  </si>
  <si>
    <t>Historical Income Analysis Summary</t>
  </si>
  <si>
    <t>Broker Projection</t>
  </si>
  <si>
    <t>BVG Yr 1</t>
  </si>
  <si>
    <t>Income Item</t>
  </si>
  <si>
    <t>Gross Rental Income</t>
  </si>
  <si>
    <t xml:space="preserve"> </t>
  </si>
  <si>
    <t>Broker Compared to T12</t>
  </si>
  <si>
    <t xml:space="preserve">    Less Vacancy Loss</t>
  </si>
  <si>
    <t>Broker Compared to YTD Annualized</t>
  </si>
  <si>
    <t>YOY Change</t>
  </si>
  <si>
    <t>Propane</t>
  </si>
  <si>
    <t>Less Free Rent / Utilities To Manager</t>
  </si>
  <si>
    <t>Total Income</t>
  </si>
  <si>
    <t>Historical Expense Analysis Summary</t>
  </si>
  <si>
    <t>Expense Item</t>
  </si>
  <si>
    <t>BVG Yr 1 Projection</t>
  </si>
  <si>
    <t>Lookup</t>
  </si>
  <si>
    <t>Manager/Maint Salary Expense</t>
  </si>
  <si>
    <t>Gas</t>
  </si>
  <si>
    <t xml:space="preserve">Phone/Cable </t>
  </si>
  <si>
    <t xml:space="preserve">Property Taxes </t>
  </si>
  <si>
    <t>Billing Software</t>
  </si>
  <si>
    <t xml:space="preserve">Professional Mgmt </t>
  </si>
  <si>
    <t>Total Expenses</t>
  </si>
  <si>
    <t>Operating Expense / Income Ratio</t>
  </si>
  <si>
    <t>Net Operating Income</t>
  </si>
  <si>
    <t>don't delete - needed for chart names</t>
  </si>
  <si>
    <t>Income Account Codes</t>
  </si>
  <si>
    <t>May be included with Mobile Home income under a single line item</t>
  </si>
  <si>
    <t>Vacancy Loss</t>
  </si>
  <si>
    <r>
      <rPr>
        <sz val="11"/>
        <color rgb="FFFF0000"/>
        <rFont val="Calibri"/>
        <family val="2"/>
        <scheme val="minor"/>
      </rPr>
      <t>Enter as a negative amount.</t>
    </r>
    <r>
      <rPr>
        <sz val="10"/>
        <rFont val="Arial"/>
        <family val="2"/>
      </rPr>
      <t xml:space="preserve"> Usually will not be shown on historical financial statements. Will appear on broker projections</t>
    </r>
  </si>
  <si>
    <t>Electric (direct billed)</t>
  </si>
  <si>
    <t>Income from passing through utility costs to the residents</t>
  </si>
  <si>
    <t>Other income. Would include storage income</t>
  </si>
  <si>
    <t>Free Rent to Manager</t>
  </si>
  <si>
    <t>Enter this as a negative amount</t>
  </si>
  <si>
    <t>The BoaVida Group - Chart of Expense Accounts</t>
  </si>
  <si>
    <t>Acct#</t>
  </si>
  <si>
    <t>Name</t>
  </si>
  <si>
    <t>Description</t>
  </si>
  <si>
    <t>Actual wages paid. May or may not include benefits and payroll taxes</t>
  </si>
  <si>
    <t>Usually will not see these in historical financial statements</t>
  </si>
  <si>
    <t>Usually will not see this in historical financial statements</t>
  </si>
  <si>
    <t>This can be either / both electricity provided to the mobile home or electricity for common area items (like streetlights)</t>
  </si>
  <si>
    <t>This is usually expense for natural gas provided to the homes</t>
  </si>
  <si>
    <t>Expense for trash collection (can also be called rubbish or sanitation)</t>
  </si>
  <si>
    <t>Expense for sewer costs to the mobile home park</t>
  </si>
  <si>
    <t>Expense for water costs to the mobile home park</t>
  </si>
  <si>
    <t>Expenses for phone service and/or internet service for the park or the park office</t>
  </si>
  <si>
    <t>Miscellaneous travel services</t>
  </si>
  <si>
    <t>This is a "reserve" account for future capital expenditures. We usually will not see this on historical financial statements</t>
  </si>
  <si>
    <t>Mainly expenses for repairs where an outside contractor (i.e. not a park employee) is used</t>
  </si>
  <si>
    <t>Mainly expenses for landcaping, etc where an outside contractor (i.e. not a park employee) is used</t>
  </si>
  <si>
    <t>This is a internal expense, and we will usually not see this on historical financial statements.</t>
  </si>
  <si>
    <t>Expenses for outside lawyers. Often will not be included on historical financial statements</t>
  </si>
  <si>
    <t>Expense for the ownership entity. Usually will not be included on historical financial statements.</t>
  </si>
  <si>
    <t>Expense for adverstising for the park. Often will not be included on historial financial statements.</t>
  </si>
  <si>
    <t>This may or may not be found on historical financial statements.</t>
  </si>
  <si>
    <t>This expense is usually related to license fees paid to government agencies and municipalities.</t>
  </si>
  <si>
    <t>These are bank fees and credit card fees. These often will not be included on historical financial statements.</t>
  </si>
  <si>
    <t>This account is kind of a "catch all" for other expenses (usually small)</t>
  </si>
  <si>
    <t>Professional Mgmt ($2,000/mo or 5%)</t>
  </si>
  <si>
    <t>This expense is for 3rd party management and will often be called "Management Fee"</t>
  </si>
  <si>
    <t>Historial Expense Inputs To Fill</t>
  </si>
  <si>
    <t>Manager/Maint (Fill In Description of Assumptions))</t>
  </si>
  <si>
    <t>Property Taxes (Add Description of Assumptions)</t>
  </si>
  <si>
    <t>2018 Annualized</t>
  </si>
  <si>
    <t>Brkr Projection</t>
  </si>
  <si>
    <t>Result</t>
  </si>
  <si>
    <r>
      <t>Manager/Maint (</t>
    </r>
    <r>
      <rPr>
        <i/>
        <sz val="9"/>
        <rFont val="Arial"/>
        <family val="2"/>
      </rPr>
      <t>Fill In Description of Assumptions</t>
    </r>
    <r>
      <rPr>
        <sz val="9"/>
        <rFont val="Arial"/>
        <family val="2"/>
      </rPr>
      <t>))</t>
    </r>
  </si>
  <si>
    <r>
      <t>Property Taxes (</t>
    </r>
    <r>
      <rPr>
        <i/>
        <sz val="10"/>
        <rFont val="Arial"/>
        <family val="2"/>
      </rPr>
      <t>Add Description of Assumptions</t>
    </r>
    <r>
      <rPr>
        <sz val="10"/>
        <rFont val="Arial"/>
        <family val="2"/>
      </rPr>
      <t>)</t>
    </r>
  </si>
  <si>
    <t>Utility Leakage</t>
  </si>
  <si>
    <t>Utility Reimbursement Income</t>
  </si>
  <si>
    <t>Utility Expense</t>
  </si>
  <si>
    <t>% Utility Reimbursed</t>
  </si>
  <si>
    <t>Electricity Leakage</t>
  </si>
  <si>
    <t>Electricity Reimbursement Income</t>
  </si>
  <si>
    <t>Electricity Expense</t>
  </si>
  <si>
    <t>Electrcit Leakage</t>
  </si>
  <si>
    <t>% Electricity Reimbursed</t>
  </si>
  <si>
    <t>Overall Utility Leakage</t>
  </si>
  <si>
    <t>Utility Leakage Analysis</t>
  </si>
  <si>
    <t>Need to finish this section- 3/27/19</t>
  </si>
  <si>
    <t>Gas Leakage</t>
  </si>
  <si>
    <t>Gas Reimbursement Income</t>
  </si>
  <si>
    <t>Gas Expense</t>
  </si>
  <si>
    <t>% Gas Reimbursed</t>
  </si>
  <si>
    <t>etc…...</t>
  </si>
  <si>
    <t>Amort.</t>
  </si>
  <si>
    <t>Rate</t>
  </si>
  <si>
    <t>Vacant Spaces</t>
  </si>
  <si>
    <t>MH Minimum Vacancy Rate</t>
  </si>
  <si>
    <t>Vacant Spaces Filled/Year</t>
  </si>
  <si>
    <t>Property Tax</t>
  </si>
  <si>
    <t>Category</t>
  </si>
  <si>
    <t>Schedule</t>
  </si>
  <si>
    <t>Land</t>
  </si>
  <si>
    <t>Buildings Non-Residential</t>
  </si>
  <si>
    <t>39 years</t>
  </si>
  <si>
    <t>office</t>
  </si>
  <si>
    <t>laundry</t>
  </si>
  <si>
    <t>Buildings Residential</t>
  </si>
  <si>
    <t>27.5 years</t>
  </si>
  <si>
    <t>avg value each</t>
  </si>
  <si>
    <t>POH (qty)</t>
  </si>
  <si>
    <t>Infrastructure</t>
  </si>
  <si>
    <t>15 years</t>
  </si>
  <si>
    <t xml:space="preserve">First Year Bonus Depreciation </t>
  </si>
  <si>
    <t>Year 1 NOI</t>
  </si>
  <si>
    <t>Year 1 Taxable income</t>
  </si>
  <si>
    <t>POH Seller Carry Note</t>
  </si>
  <si>
    <t>2017</t>
  </si>
  <si>
    <t>List Data for Proforma (Do Not Change)</t>
  </si>
  <si>
    <t>Stonecroft - 4900 Raytown Rd, Kansas City, MO</t>
  </si>
  <si>
    <t>Plumbing Repairs</t>
  </si>
  <si>
    <t>Cleanup</t>
  </si>
  <si>
    <t>Roads</t>
  </si>
  <si>
    <t>MH Demo</t>
  </si>
  <si>
    <t>Pad Prep</t>
  </si>
  <si>
    <r>
      <rPr>
        <sz val="10"/>
        <rFont val="Arial"/>
        <family val="2"/>
      </rPr>
      <t>Unit</t>
    </r>
  </si>
  <si>
    <r>
      <rPr>
        <sz val="10"/>
        <rFont val="Arial"/>
        <family val="2"/>
      </rPr>
      <t>Account Name</t>
    </r>
  </si>
  <si>
    <r>
      <rPr>
        <sz val="10"/>
        <rFont val="Arial"/>
        <family val="2"/>
      </rPr>
      <t>Last Payment Date</t>
    </r>
  </si>
  <si>
    <r>
      <rPr>
        <sz val="10"/>
        <rFont val="Arial"/>
        <family val="2"/>
      </rPr>
      <t>Last Payment Amount</t>
    </r>
  </si>
  <si>
    <r>
      <rPr>
        <sz val="10"/>
        <rFont val="Arial"/>
        <family val="2"/>
      </rPr>
      <t>Balance</t>
    </r>
  </si>
  <si>
    <r>
      <rPr>
        <sz val="10"/>
        <rFont val="Arial"/>
        <family val="2"/>
      </rPr>
      <t>Oldest Comment Charge</t>
    </r>
  </si>
  <si>
    <r>
      <rPr>
        <sz val="10"/>
        <rFont val="Arial"/>
        <family val="2"/>
      </rPr>
      <t>Unit 101</t>
    </r>
  </si>
  <si>
    <r>
      <rPr>
        <sz val="10"/>
        <rFont val="Arial"/>
        <family val="2"/>
      </rPr>
      <t>L. R. Kimball</t>
    </r>
  </si>
  <si>
    <r>
      <rPr>
        <sz val="10"/>
        <rFont val="Arial"/>
        <family val="2"/>
      </rPr>
      <t>10/5/2018</t>
    </r>
  </si>
  <si>
    <r>
      <rPr>
        <sz val="10"/>
        <rFont val="Arial"/>
        <family val="2"/>
      </rPr>
      <t>216 days</t>
    </r>
  </si>
  <si>
    <r>
      <rPr>
        <sz val="10"/>
        <rFont val="Arial"/>
        <family val="2"/>
      </rPr>
      <t>Unit 108</t>
    </r>
  </si>
  <si>
    <r>
      <rPr>
        <sz val="10"/>
        <rFont val="Arial"/>
        <family val="2"/>
      </rPr>
      <t>Lillian Daniels</t>
    </r>
  </si>
  <si>
    <r>
      <rPr>
        <sz val="10"/>
        <rFont val="Arial"/>
        <family val="2"/>
      </rPr>
      <t>6/3/2018</t>
    </r>
  </si>
  <si>
    <r>
      <rPr>
        <sz val="10"/>
        <rFont val="Arial"/>
        <family val="2"/>
      </rPr>
      <t>278 days</t>
    </r>
  </si>
  <si>
    <r>
      <rPr>
        <sz val="10"/>
        <rFont val="Arial"/>
        <family val="2"/>
      </rPr>
      <t>Unit 124</t>
    </r>
  </si>
  <si>
    <r>
      <rPr>
        <sz val="10"/>
        <rFont val="Arial"/>
        <family val="2"/>
      </rPr>
      <t>Jose Ruben</t>
    </r>
  </si>
  <si>
    <r>
      <rPr>
        <sz val="10"/>
        <rFont val="Arial"/>
        <family val="2"/>
      </rPr>
      <t>3/6/2019</t>
    </r>
  </si>
  <si>
    <r>
      <rPr>
        <sz val="10"/>
        <rFont val="Arial"/>
        <family val="2"/>
      </rPr>
      <t>704 days</t>
    </r>
  </si>
  <si>
    <r>
      <rPr>
        <sz val="10"/>
        <rFont val="Arial"/>
        <family val="2"/>
      </rPr>
      <t>Unit 126</t>
    </r>
  </si>
  <si>
    <r>
      <rPr>
        <sz val="10"/>
        <rFont val="Arial"/>
        <family val="2"/>
      </rPr>
      <t>Richardson</t>
    </r>
  </si>
  <si>
    <r>
      <rPr>
        <sz val="10"/>
        <rFont val="Arial"/>
        <family val="2"/>
      </rPr>
      <t>6/2/2016</t>
    </r>
  </si>
  <si>
    <r>
      <rPr>
        <sz val="10"/>
        <rFont val="Arial"/>
        <family val="2"/>
      </rPr>
      <t>1129 days</t>
    </r>
  </si>
  <si>
    <r>
      <rPr>
        <sz val="10"/>
        <rFont val="Arial"/>
        <family val="2"/>
      </rPr>
      <t>Unit 133</t>
    </r>
  </si>
  <si>
    <r>
      <rPr>
        <sz val="10"/>
        <rFont val="Arial"/>
        <family val="2"/>
      </rPr>
      <t>Jorge Gaytin &amp; Dant</t>
    </r>
  </si>
  <si>
    <r>
      <rPr>
        <sz val="10"/>
        <rFont val="Arial"/>
        <family val="2"/>
      </rPr>
      <t>8/3/2018</t>
    </r>
  </si>
  <si>
    <r>
      <rPr>
        <sz val="10"/>
        <rFont val="Arial"/>
        <family val="2"/>
      </rPr>
      <t>793 days</t>
    </r>
  </si>
  <si>
    <r>
      <rPr>
        <sz val="10"/>
        <rFont val="Arial"/>
        <family val="2"/>
      </rPr>
      <t>Unit 165</t>
    </r>
  </si>
  <si>
    <r>
      <rPr>
        <sz val="10"/>
        <rFont val="Arial"/>
        <family val="2"/>
      </rPr>
      <t>Abraham Razo &amp; Wi</t>
    </r>
  </si>
  <si>
    <r>
      <rPr>
        <sz val="10"/>
        <rFont val="Arial"/>
        <family val="2"/>
      </rPr>
      <t>William is paying rent 6/1/16. Razo will pay on back 1129 days</t>
    </r>
  </si>
  <si>
    <r>
      <rPr>
        <sz val="10"/>
        <rFont val="Arial"/>
        <family val="2"/>
      </rPr>
      <t>Unit 175</t>
    </r>
  </si>
  <si>
    <r>
      <rPr>
        <sz val="10"/>
        <rFont val="Arial"/>
        <family val="2"/>
      </rPr>
      <t>Bettie Jiminez</t>
    </r>
  </si>
  <si>
    <r>
      <rPr>
        <sz val="10"/>
        <rFont val="Arial"/>
        <family val="2"/>
      </rPr>
      <t>2/17/2017</t>
    </r>
  </si>
  <si>
    <r>
      <rPr>
        <sz val="10"/>
        <rFont val="Arial"/>
        <family val="2"/>
      </rPr>
      <t>1069 days</t>
    </r>
  </si>
  <si>
    <r>
      <rPr>
        <sz val="10"/>
        <rFont val="Arial"/>
        <family val="2"/>
      </rPr>
      <t>Unit 177</t>
    </r>
  </si>
  <si>
    <r>
      <rPr>
        <sz val="10"/>
        <rFont val="Arial"/>
        <family val="2"/>
      </rPr>
      <t>Jennifer Lewis</t>
    </r>
  </si>
  <si>
    <r>
      <rPr>
        <sz val="10"/>
        <rFont val="Arial"/>
        <family val="2"/>
      </rPr>
      <t>2/10/2018</t>
    </r>
  </si>
  <si>
    <r>
      <rPr>
        <sz val="10"/>
        <rFont val="Arial"/>
        <family val="2"/>
      </rPr>
      <t>Will pay 325.00 till caught up 1555 days</t>
    </r>
  </si>
  <si>
    <r>
      <rPr>
        <sz val="10"/>
        <rFont val="Arial"/>
        <family val="2"/>
      </rPr>
      <t>Unit 193</t>
    </r>
  </si>
  <si>
    <r>
      <rPr>
        <sz val="10"/>
        <rFont val="Arial"/>
        <family val="2"/>
      </rPr>
      <t>Guadalupe Hinojos</t>
    </r>
  </si>
  <si>
    <r>
      <rPr>
        <sz val="10"/>
        <rFont val="Arial"/>
        <family val="2"/>
      </rPr>
      <t>3/29/2019</t>
    </r>
  </si>
  <si>
    <r>
      <rPr>
        <sz val="10"/>
        <rFont val="Arial"/>
        <family val="2"/>
      </rPr>
      <t>855 days</t>
    </r>
  </si>
  <si>
    <r>
      <rPr>
        <sz val="10"/>
        <rFont val="Arial"/>
        <family val="2"/>
      </rPr>
      <t>Unit 210</t>
    </r>
  </si>
  <si>
    <r>
      <rPr>
        <sz val="10"/>
        <rFont val="Arial"/>
        <family val="2"/>
      </rPr>
      <t>Rick Lockwood</t>
    </r>
  </si>
  <si>
    <r>
      <rPr>
        <sz val="10"/>
        <rFont val="Arial"/>
        <family val="2"/>
      </rPr>
      <t>3/2/2019</t>
    </r>
  </si>
  <si>
    <r>
      <rPr>
        <sz val="10"/>
        <rFont val="Arial"/>
        <family val="2"/>
      </rPr>
      <t>4 days</t>
    </r>
  </si>
  <si>
    <r>
      <rPr>
        <sz val="10"/>
        <rFont val="Arial"/>
        <family val="2"/>
      </rPr>
      <t>Unit 212</t>
    </r>
  </si>
  <si>
    <r>
      <rPr>
        <sz val="10"/>
        <rFont val="Arial"/>
        <family val="2"/>
      </rPr>
      <t>Stewart</t>
    </r>
  </si>
  <si>
    <r>
      <rPr>
        <sz val="10"/>
        <rFont val="Arial"/>
        <family val="2"/>
      </rPr>
      <t>3/3/2015</t>
    </r>
  </si>
  <si>
    <r>
      <rPr>
        <sz val="10"/>
        <rFont val="Arial"/>
        <family val="2"/>
      </rPr>
      <t>1496 days</t>
    </r>
  </si>
  <si>
    <r>
      <rPr>
        <sz val="10"/>
        <rFont val="Arial"/>
        <family val="2"/>
      </rPr>
      <t>Unit 216</t>
    </r>
  </si>
  <si>
    <r>
      <rPr>
        <sz val="10"/>
        <rFont val="Arial"/>
        <family val="2"/>
      </rPr>
      <t>Rosa Rodriguez</t>
    </r>
  </si>
  <si>
    <r>
      <rPr>
        <sz val="10"/>
        <rFont val="Arial"/>
        <family val="2"/>
      </rPr>
      <t>2/6/2019</t>
    </r>
  </si>
  <si>
    <r>
      <rPr>
        <sz val="10"/>
        <rFont val="Arial"/>
        <family val="2"/>
      </rPr>
      <t>308 days</t>
    </r>
  </si>
  <si>
    <r>
      <rPr>
        <sz val="10"/>
        <rFont val="Arial"/>
        <family val="2"/>
      </rPr>
      <t>Unit 257</t>
    </r>
  </si>
  <si>
    <r>
      <rPr>
        <sz val="10"/>
        <rFont val="Arial"/>
        <family val="2"/>
      </rPr>
      <t>Maribel Ruiz- Zuniga</t>
    </r>
  </si>
  <si>
    <r>
      <rPr>
        <sz val="10"/>
        <rFont val="Arial"/>
        <family val="2"/>
      </rPr>
      <t>3/18/2019</t>
    </r>
  </si>
  <si>
    <r>
      <rPr>
        <sz val="10"/>
        <rFont val="Arial"/>
        <family val="2"/>
      </rPr>
      <t>10/01/2004 94 days</t>
    </r>
  </si>
  <si>
    <r>
      <rPr>
        <sz val="10"/>
        <rFont val="Arial"/>
        <family val="2"/>
      </rPr>
      <t>Unit 220</t>
    </r>
  </si>
  <si>
    <r>
      <rPr>
        <sz val="10"/>
        <rFont val="Arial"/>
        <family val="2"/>
      </rPr>
      <t>Lavon Weaver</t>
    </r>
  </si>
  <si>
    <r>
      <rPr>
        <sz val="10"/>
        <rFont val="Arial"/>
        <family val="2"/>
      </rPr>
      <t>3/8/2018</t>
    </r>
  </si>
  <si>
    <r>
      <rPr>
        <sz val="10"/>
        <rFont val="Arial"/>
        <family val="2"/>
      </rPr>
      <t>1708 days</t>
    </r>
  </si>
  <si>
    <r>
      <rPr>
        <sz val="10"/>
        <rFont val="Arial"/>
        <family val="2"/>
      </rPr>
      <t>Unit 223</t>
    </r>
  </si>
  <si>
    <r>
      <rPr>
        <sz val="10"/>
        <rFont val="Arial"/>
        <family val="2"/>
      </rPr>
      <t>Angelo Kellepouris</t>
    </r>
  </si>
  <si>
    <r>
      <rPr>
        <sz val="10"/>
        <rFont val="Arial"/>
        <family val="2"/>
      </rPr>
      <t>1/14/2017</t>
    </r>
  </si>
  <si>
    <r>
      <rPr>
        <sz val="10"/>
        <rFont val="Arial"/>
        <family val="2"/>
      </rPr>
      <t>Tenant will pay 500.00 a month untill rent is caught 12346 days</t>
    </r>
  </si>
  <si>
    <r>
      <rPr>
        <sz val="10"/>
        <rFont val="Arial"/>
        <family val="2"/>
      </rPr>
      <t>Unit 226</t>
    </r>
  </si>
  <si>
    <r>
      <rPr>
        <sz val="10"/>
        <rFont val="Arial"/>
        <family val="2"/>
      </rPr>
      <t>David Ferguson</t>
    </r>
  </si>
  <si>
    <r>
      <rPr>
        <sz val="10"/>
        <rFont val="Arial"/>
        <family val="2"/>
      </rPr>
      <t>1/23/2018</t>
    </r>
  </si>
  <si>
    <r>
      <rPr>
        <sz val="10"/>
        <rFont val="Arial"/>
        <family val="2"/>
      </rPr>
      <t>581 days</t>
    </r>
  </si>
  <si>
    <r>
      <rPr>
        <sz val="10"/>
        <rFont val="Arial"/>
        <family val="2"/>
      </rPr>
      <t>Unit 231</t>
    </r>
  </si>
  <si>
    <r>
      <rPr>
        <sz val="10"/>
        <rFont val="Arial"/>
        <family val="2"/>
      </rPr>
      <t>Robin Unland</t>
    </r>
  </si>
  <si>
    <r>
      <rPr>
        <sz val="10"/>
        <rFont val="Arial"/>
        <family val="2"/>
      </rPr>
      <t>6/26/2018</t>
    </r>
  </si>
  <si>
    <r>
      <rPr>
        <sz val="10"/>
        <rFont val="Arial"/>
        <family val="2"/>
      </rPr>
      <t>Former Resident- Shirley Brinker. Hutton took over e 520 days</t>
    </r>
  </si>
  <si>
    <r>
      <rPr>
        <sz val="10"/>
        <rFont val="Arial"/>
        <family val="2"/>
      </rPr>
      <t>Unit 233</t>
    </r>
  </si>
  <si>
    <r>
      <rPr>
        <sz val="10"/>
        <rFont val="Arial"/>
        <family val="2"/>
      </rPr>
      <t>Jackie Patterson</t>
    </r>
  </si>
  <si>
    <r>
      <rPr>
        <sz val="10"/>
        <rFont val="Arial"/>
        <family val="2"/>
      </rPr>
      <t>3/4/2019</t>
    </r>
  </si>
  <si>
    <r>
      <rPr>
        <sz val="10"/>
        <rFont val="Arial"/>
        <family val="2"/>
      </rPr>
      <t>247 days</t>
    </r>
  </si>
  <si>
    <r>
      <rPr>
        <sz val="10"/>
        <rFont val="Arial"/>
        <family val="2"/>
      </rPr>
      <t>Unit 242</t>
    </r>
  </si>
  <si>
    <r>
      <rPr>
        <sz val="10"/>
        <rFont val="Arial"/>
        <family val="2"/>
      </rPr>
      <t>Martha and John Ep&gt;</t>
    </r>
  </si>
  <si>
    <r>
      <rPr>
        <sz val="10"/>
        <rFont val="Arial"/>
        <family val="2"/>
      </rPr>
      <t>Unit 251</t>
    </r>
  </si>
  <si>
    <r>
      <rPr>
        <sz val="10"/>
        <rFont val="Arial"/>
        <family val="2"/>
      </rPr>
      <t>Lucille Rankin</t>
    </r>
  </si>
  <si>
    <r>
      <rPr>
        <sz val="10"/>
        <rFont val="Arial"/>
        <family val="2"/>
      </rPr>
      <t>7/17/2016</t>
    </r>
  </si>
  <si>
    <r>
      <rPr>
        <sz val="10"/>
        <rFont val="Arial"/>
        <family val="2"/>
      </rPr>
      <t>will pay 50.00 a month above rent till caught up. Stai 1830 days</t>
    </r>
  </si>
  <si>
    <r>
      <rPr>
        <sz val="10"/>
        <rFont val="Arial"/>
        <family val="2"/>
      </rPr>
      <t>Unit 254</t>
    </r>
  </si>
  <si>
    <r>
      <rPr>
        <sz val="10"/>
        <rFont val="Arial"/>
        <family val="2"/>
      </rPr>
      <t>Edmonds</t>
    </r>
  </si>
  <si>
    <r>
      <rPr>
        <sz val="10"/>
        <rFont val="Arial"/>
        <family val="2"/>
      </rPr>
      <t>2/27/2017</t>
    </r>
  </si>
  <si>
    <r>
      <rPr>
        <sz val="10"/>
        <rFont val="Arial"/>
        <family val="2"/>
      </rPr>
      <t>will pay 45.00 extra each month till caught up 428 days</t>
    </r>
  </si>
  <si>
    <r>
      <rPr>
        <sz val="10"/>
        <rFont val="Arial"/>
        <family val="2"/>
      </rPr>
      <t>Unit 240</t>
    </r>
  </si>
  <si>
    <r>
      <rPr>
        <sz val="10"/>
        <rFont val="Arial"/>
        <family val="2"/>
      </rPr>
      <t>Bud Woodall</t>
    </r>
  </si>
  <si>
    <r>
      <rPr>
        <sz val="10"/>
        <rFont val="Arial"/>
        <family val="2"/>
      </rPr>
      <t>1/5/2014</t>
    </r>
  </si>
  <si>
    <r>
      <rPr>
        <sz val="10"/>
        <rFont val="Arial"/>
        <family val="2"/>
      </rPr>
      <t>Transfer deposit from lot 214. 2104 days</t>
    </r>
  </si>
  <si>
    <r>
      <rPr>
        <sz val="10"/>
        <rFont val="Arial"/>
        <family val="2"/>
      </rPr>
      <t>Unit 118</t>
    </r>
  </si>
  <si>
    <r>
      <rPr>
        <sz val="10"/>
        <rFont val="Arial"/>
        <family val="2"/>
      </rPr>
      <t>Martha Alvarado</t>
    </r>
  </si>
  <si>
    <r>
      <rPr>
        <sz val="10"/>
        <rFont val="Arial"/>
        <family val="2"/>
      </rPr>
      <t>Purchasing home for $5000.00. Put down $500.00 d 4 days</t>
    </r>
  </si>
  <si>
    <r>
      <rPr>
        <sz val="10"/>
        <rFont val="Arial"/>
        <family val="2"/>
      </rPr>
      <t>Unit 241</t>
    </r>
  </si>
  <si>
    <r>
      <rPr>
        <sz val="10"/>
        <rFont val="Arial"/>
        <family val="2"/>
      </rPr>
      <t>Leslie Deboard</t>
    </r>
  </si>
  <si>
    <r>
      <rPr>
        <sz val="10"/>
        <rFont val="Arial"/>
        <family val="2"/>
      </rPr>
      <t>8/27/2018</t>
    </r>
  </si>
  <si>
    <r>
      <rPr>
        <sz val="10"/>
        <rFont val="Arial"/>
        <family val="2"/>
      </rPr>
      <t>Deposit will be transfered from lot 153 793 days</t>
    </r>
  </si>
  <si>
    <r>
      <rPr>
        <sz val="10"/>
        <rFont val="Arial"/>
        <family val="2"/>
      </rPr>
      <t>Unit 250</t>
    </r>
  </si>
  <si>
    <r>
      <rPr>
        <sz val="10"/>
        <rFont val="Arial"/>
        <family val="2"/>
      </rPr>
      <t>Irene DeLarosa</t>
    </r>
  </si>
  <si>
    <r>
      <rPr>
        <sz val="10"/>
        <rFont val="Arial"/>
        <family val="2"/>
      </rPr>
      <t>8/22/2017</t>
    </r>
  </si>
  <si>
    <r>
      <rPr>
        <sz val="10"/>
        <rFont val="Arial"/>
        <family val="2"/>
      </rPr>
      <t>Tenant was given this home. She will start paying re 885 days</t>
    </r>
  </si>
  <si>
    <r>
      <rPr>
        <sz val="10"/>
        <rFont val="Arial"/>
        <family val="2"/>
      </rPr>
      <t>Unit 125</t>
    </r>
  </si>
  <si>
    <r>
      <rPr>
        <sz val="10"/>
        <rFont val="Arial"/>
        <family val="2"/>
      </rPr>
      <t>Myriam Espinoza</t>
    </r>
  </si>
  <si>
    <r>
      <rPr>
        <sz val="10"/>
        <rFont val="Arial"/>
        <family val="2"/>
      </rPr>
      <t>3/14/2019</t>
    </r>
  </si>
  <si>
    <r>
      <rPr>
        <sz val="10"/>
        <rFont val="Arial"/>
        <family val="2"/>
      </rPr>
      <t>35 days</t>
    </r>
  </si>
  <si>
    <r>
      <rPr>
        <sz val="10"/>
        <rFont val="Arial"/>
        <family val="2"/>
      </rPr>
      <t>Unit 162</t>
    </r>
  </si>
  <si>
    <r>
      <rPr>
        <sz val="10"/>
        <rFont val="Arial"/>
        <family val="2"/>
      </rPr>
      <t>Maria Rodriguez</t>
    </r>
  </si>
  <si>
    <r>
      <rPr>
        <sz val="10"/>
        <rFont val="Arial"/>
        <family val="2"/>
      </rPr>
      <t>3/5/2019</t>
    </r>
  </si>
  <si>
    <r>
      <rPr>
        <sz val="10"/>
        <rFont val="Arial"/>
        <family val="2"/>
      </rPr>
      <t>This residents is suppose to be under #162. System 247 days</t>
    </r>
  </si>
  <si>
    <r>
      <rPr>
        <sz val="10"/>
        <rFont val="Arial"/>
        <family val="2"/>
      </rPr>
      <t>Unit 234</t>
    </r>
  </si>
  <si>
    <r>
      <rPr>
        <sz val="10"/>
        <rFont val="Arial"/>
        <family val="2"/>
      </rPr>
      <t>Ronald Renaud</t>
    </r>
  </si>
  <si>
    <r>
      <rPr>
        <sz val="10"/>
        <rFont val="Arial"/>
        <family val="2"/>
      </rPr>
      <t>Tenant will pay $50.00 per month 5 months &amp; $15.0( 4 days</t>
    </r>
  </si>
  <si>
    <r>
      <rPr>
        <sz val="10"/>
        <rFont val="Arial"/>
        <family val="2"/>
      </rPr>
      <t>Unit 153</t>
    </r>
  </si>
  <si>
    <r>
      <rPr>
        <sz val="10"/>
        <rFont val="Arial"/>
        <family val="2"/>
      </rPr>
      <t>8/1/2017</t>
    </r>
  </si>
  <si>
    <r>
      <rPr>
        <sz val="10"/>
        <rFont val="Arial"/>
        <family val="2"/>
      </rPr>
      <t>First month no lot rent. Rent will begin 7/1/09 1467 days</t>
    </r>
  </si>
  <si>
    <r>
      <rPr>
        <sz val="10"/>
        <rFont val="Arial"/>
        <family val="2"/>
      </rPr>
      <t>Unit 189</t>
    </r>
  </si>
  <si>
    <r>
      <rPr>
        <sz val="10"/>
        <rFont val="Arial"/>
        <family val="2"/>
      </rPr>
      <t>Laura Porras</t>
    </r>
  </si>
  <si>
    <r>
      <rPr>
        <sz val="10"/>
        <rFont val="Arial"/>
        <family val="2"/>
      </rPr>
      <t>3/1/2019</t>
    </r>
  </si>
  <si>
    <r>
      <rPr>
        <sz val="10"/>
        <rFont val="Arial"/>
        <family val="2"/>
      </rPr>
      <t>Tenant will pay 50.00 a month till security deposit pa 35 days</t>
    </r>
  </si>
  <si>
    <r>
      <rPr>
        <sz val="10"/>
        <rFont val="Arial"/>
        <family val="2"/>
      </rPr>
      <t>Unit 152</t>
    </r>
  </si>
  <si>
    <r>
      <rPr>
        <sz val="10"/>
        <rFont val="Arial"/>
        <family val="2"/>
      </rPr>
      <t>Thomas Maasen</t>
    </r>
  </si>
  <si>
    <r>
      <rPr>
        <sz val="10"/>
        <rFont val="Arial"/>
        <family val="2"/>
      </rPr>
      <t>6/6/2018</t>
    </r>
  </si>
  <si>
    <r>
      <rPr>
        <sz val="10"/>
        <rFont val="Arial"/>
        <family val="2"/>
      </rPr>
      <t>1/2012 Will pay $100.00 a week until past due paid ( 2042 days</t>
    </r>
  </si>
  <si>
    <r>
      <rPr>
        <sz val="10"/>
        <rFont val="Arial"/>
        <family val="2"/>
      </rPr>
      <t>Unit 236</t>
    </r>
  </si>
  <si>
    <r>
      <rPr>
        <sz val="10"/>
        <rFont val="Arial"/>
        <family val="2"/>
      </rPr>
      <t>Walter Allen</t>
    </r>
  </si>
  <si>
    <r>
      <rPr>
        <sz val="10"/>
        <rFont val="Arial"/>
        <family val="2"/>
      </rPr>
      <t>4/4/2019</t>
    </r>
  </si>
  <si>
    <r>
      <rPr>
        <sz val="10"/>
        <rFont val="Arial"/>
        <family val="2"/>
      </rPr>
      <t>Unit 116</t>
    </r>
  </si>
  <si>
    <r>
      <rPr>
        <sz val="10"/>
        <rFont val="Arial"/>
        <family val="2"/>
      </rPr>
      <t>Ronald &amp; Debra Bun</t>
    </r>
  </si>
  <si>
    <r>
      <rPr>
        <sz val="10"/>
        <rFont val="Arial"/>
        <family val="2"/>
      </rPr>
      <t>0/23/2017</t>
    </r>
  </si>
  <si>
    <r>
      <rPr>
        <sz val="10"/>
        <rFont val="Arial"/>
        <family val="2"/>
      </rPr>
      <t>Unit 105</t>
    </r>
  </si>
  <si>
    <r>
      <rPr>
        <sz val="10"/>
        <rFont val="Arial"/>
        <family val="2"/>
      </rPr>
      <t>Carlos Rodriquez</t>
    </r>
  </si>
  <si>
    <r>
      <rPr>
        <sz val="10"/>
        <rFont val="Arial"/>
        <family val="2"/>
      </rPr>
      <t>2/25/2019</t>
    </r>
  </si>
  <si>
    <r>
      <rPr>
        <sz val="10"/>
        <rFont val="Arial"/>
        <family val="2"/>
      </rPr>
      <t>186 days</t>
    </r>
  </si>
  <si>
    <r>
      <rPr>
        <sz val="10"/>
        <rFont val="Arial"/>
        <family val="2"/>
      </rPr>
      <t>Unit 248</t>
    </r>
  </si>
  <si>
    <r>
      <rPr>
        <sz val="10"/>
        <rFont val="Arial"/>
        <family val="2"/>
      </rPr>
      <t>Jose Adilio Calderoi</t>
    </r>
  </si>
  <si>
    <r>
      <rPr>
        <sz val="10"/>
        <rFont val="Arial"/>
        <family val="2"/>
      </rPr>
      <t>1/17/2017</t>
    </r>
  </si>
  <si>
    <r>
      <rPr>
        <sz val="10"/>
        <rFont val="Arial"/>
        <family val="2"/>
      </rPr>
      <t>Unit 164</t>
    </r>
  </si>
  <si>
    <r>
      <rPr>
        <sz val="10"/>
        <rFont val="Arial"/>
        <family val="2"/>
      </rPr>
      <t>Clay Wilson</t>
    </r>
  </si>
  <si>
    <r>
      <rPr>
        <sz val="10"/>
        <rFont val="Arial"/>
        <family val="2"/>
      </rPr>
      <t>11/1/2015</t>
    </r>
  </si>
  <si>
    <r>
      <rPr>
        <sz val="10"/>
        <rFont val="Arial"/>
        <family val="2"/>
      </rPr>
      <t>1677 days</t>
    </r>
  </si>
  <si>
    <r>
      <rPr>
        <sz val="10"/>
        <rFont val="Arial"/>
        <family val="2"/>
      </rPr>
      <t>Unit 139</t>
    </r>
  </si>
  <si>
    <r>
      <rPr>
        <sz val="10"/>
        <rFont val="Arial"/>
        <family val="2"/>
      </rPr>
      <t>Gregory Bagby</t>
    </r>
  </si>
  <si>
    <r>
      <rPr>
        <sz val="10"/>
        <rFont val="Arial"/>
        <family val="2"/>
      </rPr>
      <t>5/2/2017</t>
    </r>
  </si>
  <si>
    <r>
      <rPr>
        <sz val="10"/>
        <rFont val="Arial"/>
        <family val="2"/>
      </rPr>
      <t>2347 days</t>
    </r>
  </si>
  <si>
    <r>
      <rPr>
        <sz val="10"/>
        <rFont val="Arial"/>
        <family val="2"/>
      </rPr>
      <t>Unit 159</t>
    </r>
  </si>
  <si>
    <r>
      <rPr>
        <sz val="10"/>
        <rFont val="Arial"/>
        <family val="2"/>
      </rPr>
      <t>Debbie Austin</t>
    </r>
  </si>
  <si>
    <r>
      <rPr>
        <sz val="10"/>
        <rFont val="Arial"/>
        <family val="2"/>
      </rPr>
      <t>Unit 244</t>
    </r>
  </si>
  <si>
    <r>
      <rPr>
        <sz val="10"/>
        <rFont val="Arial"/>
        <family val="2"/>
      </rPr>
      <t>Robert Haggett</t>
    </r>
  </si>
  <si>
    <r>
      <rPr>
        <sz val="10"/>
        <rFont val="Arial"/>
        <family val="2"/>
      </rPr>
      <t>7/24/2018</t>
    </r>
  </si>
  <si>
    <r>
      <rPr>
        <sz val="10"/>
        <rFont val="Arial"/>
        <family val="2"/>
      </rPr>
      <t>Rent starts July 1,2013 400 days</t>
    </r>
  </si>
  <si>
    <r>
      <rPr>
        <sz val="10"/>
        <rFont val="Arial"/>
        <family val="2"/>
      </rPr>
      <t>Unit 136</t>
    </r>
  </si>
  <si>
    <r>
      <rPr>
        <sz val="10"/>
        <rFont val="Arial"/>
        <family val="2"/>
      </rPr>
      <t>Ruby &amp; Hoskins</t>
    </r>
  </si>
  <si>
    <r>
      <rPr>
        <sz val="10"/>
        <rFont val="Arial"/>
        <family val="2"/>
      </rPr>
      <t>5/3/2018</t>
    </r>
  </si>
  <si>
    <r>
      <rPr>
        <sz val="10"/>
        <rFont val="Arial"/>
        <family val="2"/>
      </rPr>
      <t>Unit 203</t>
    </r>
  </si>
  <si>
    <r>
      <rPr>
        <sz val="10"/>
        <rFont val="Arial"/>
        <family val="2"/>
      </rPr>
      <t>Voncile Crayton</t>
    </r>
  </si>
  <si>
    <r>
      <rPr>
        <sz val="10"/>
        <rFont val="Arial"/>
        <family val="2"/>
      </rPr>
      <t>0/10/2018</t>
    </r>
  </si>
  <si>
    <r>
      <rPr>
        <sz val="10"/>
        <rFont val="Arial"/>
        <family val="2"/>
      </rPr>
      <t>400 days</t>
    </r>
  </si>
  <si>
    <r>
      <rPr>
        <sz val="10"/>
        <rFont val="Arial"/>
        <family val="2"/>
      </rPr>
      <t>Unit 194</t>
    </r>
  </si>
  <si>
    <r>
      <rPr>
        <sz val="10"/>
        <rFont val="Arial"/>
        <family val="2"/>
      </rPr>
      <t>Gena Shade</t>
    </r>
  </si>
  <si>
    <r>
      <rPr>
        <sz val="10"/>
        <rFont val="Arial"/>
        <family val="2"/>
      </rPr>
      <t>1/13/2015</t>
    </r>
  </si>
  <si>
    <r>
      <rPr>
        <sz val="10"/>
        <rFont val="Arial"/>
        <family val="2"/>
      </rPr>
      <t>Unit 202</t>
    </r>
  </si>
  <si>
    <r>
      <rPr>
        <sz val="10"/>
        <rFont val="Arial"/>
        <family val="2"/>
      </rPr>
      <t>Rory Bechtel</t>
    </r>
  </si>
  <si>
    <r>
      <rPr>
        <sz val="10"/>
        <rFont val="Arial"/>
        <family val="2"/>
      </rPr>
      <t>9/4/2018</t>
    </r>
  </si>
  <si>
    <r>
      <rPr>
        <sz val="10"/>
        <rFont val="Arial"/>
        <family val="2"/>
      </rPr>
      <t>1831 days</t>
    </r>
  </si>
  <si>
    <r>
      <rPr>
        <sz val="10"/>
        <rFont val="Arial"/>
        <family val="2"/>
      </rPr>
      <t>Unit 219</t>
    </r>
  </si>
  <si>
    <r>
      <rPr>
        <sz val="10"/>
        <rFont val="Arial"/>
        <family val="2"/>
      </rPr>
      <t>Raymond Smith</t>
    </r>
  </si>
  <si>
    <r>
      <rPr>
        <sz val="10"/>
        <rFont val="Arial"/>
        <family val="2"/>
      </rPr>
      <t>Unit 172</t>
    </r>
  </si>
  <si>
    <r>
      <rPr>
        <sz val="10"/>
        <rFont val="Arial"/>
        <family val="2"/>
      </rPr>
      <t>Carolyn Cravens</t>
    </r>
  </si>
  <si>
    <r>
      <rPr>
        <sz val="10"/>
        <rFont val="Arial"/>
        <family val="2"/>
      </rPr>
      <t>5/12/2017</t>
    </r>
  </si>
  <si>
    <r>
      <rPr>
        <sz val="10"/>
        <rFont val="Arial"/>
        <family val="2"/>
      </rPr>
      <t>1343 days</t>
    </r>
  </si>
  <si>
    <r>
      <rPr>
        <sz val="10"/>
        <rFont val="Arial"/>
        <family val="2"/>
      </rPr>
      <t>Unit 215</t>
    </r>
  </si>
  <si>
    <r>
      <rPr>
        <sz val="10"/>
        <rFont val="Arial"/>
        <family val="2"/>
      </rPr>
      <t>Patricia Hernandez</t>
    </r>
  </si>
  <si>
    <r>
      <rPr>
        <sz val="10"/>
        <rFont val="Arial"/>
        <family val="2"/>
      </rPr>
      <t>916 days</t>
    </r>
  </si>
  <si>
    <r>
      <rPr>
        <sz val="10"/>
        <rFont val="Arial"/>
        <family val="2"/>
      </rPr>
      <t>Unit 185</t>
    </r>
  </si>
  <si>
    <r>
      <rPr>
        <sz val="10"/>
        <rFont val="Arial"/>
        <family val="2"/>
      </rPr>
      <t>Nalleli Ruiz- Zuniga .</t>
    </r>
  </si>
  <si>
    <r>
      <rPr>
        <sz val="10"/>
        <rFont val="Arial"/>
        <family val="2"/>
      </rPr>
      <t>3/19/2019</t>
    </r>
  </si>
  <si>
    <r>
      <rPr>
        <sz val="10"/>
        <rFont val="Arial"/>
        <family val="2"/>
      </rPr>
      <t>Unit 169</t>
    </r>
  </si>
  <si>
    <r>
      <rPr>
        <sz val="10"/>
        <rFont val="Arial"/>
        <family val="2"/>
      </rPr>
      <t>Christina Leon</t>
    </r>
  </si>
  <si>
    <r>
      <rPr>
        <sz val="10"/>
        <rFont val="Arial"/>
        <family val="2"/>
      </rPr>
      <t>Unit 145</t>
    </r>
  </si>
  <si>
    <r>
      <rPr>
        <sz val="10"/>
        <rFont val="Arial"/>
        <family val="2"/>
      </rPr>
      <t>Philip Hunkin</t>
    </r>
  </si>
  <si>
    <r>
      <rPr>
        <sz val="10"/>
        <rFont val="Arial"/>
        <family val="2"/>
      </rPr>
      <t>2/3/2017</t>
    </r>
  </si>
  <si>
    <r>
      <rPr>
        <sz val="10"/>
        <rFont val="Arial"/>
        <family val="2"/>
      </rPr>
      <t>1008 days</t>
    </r>
  </si>
  <si>
    <r>
      <rPr>
        <sz val="10"/>
        <rFont val="Arial"/>
        <family val="2"/>
      </rPr>
      <t>Unit 112</t>
    </r>
  </si>
  <si>
    <r>
      <rPr>
        <sz val="10"/>
        <rFont val="Arial"/>
        <family val="2"/>
      </rPr>
      <t>Roy Matthews</t>
    </r>
  </si>
  <si>
    <r>
      <rPr>
        <sz val="10"/>
        <rFont val="Arial"/>
        <family val="2"/>
      </rPr>
      <t>10/4/2018</t>
    </r>
  </si>
  <si>
    <r>
      <rPr>
        <sz val="10"/>
        <rFont val="Arial"/>
        <family val="2"/>
      </rPr>
      <t>520 days</t>
    </r>
  </si>
  <si>
    <r>
      <rPr>
        <sz val="10"/>
        <rFont val="Arial"/>
        <family val="2"/>
      </rPr>
      <t>Unit 239</t>
    </r>
  </si>
  <si>
    <r>
      <rPr>
        <sz val="10"/>
        <rFont val="Arial"/>
        <family val="2"/>
      </rPr>
      <t>Edward Wilson</t>
    </r>
  </si>
  <si>
    <r>
      <rPr>
        <sz val="10"/>
        <rFont val="Arial"/>
        <family val="2"/>
      </rPr>
      <t>10/3/2018</t>
    </r>
  </si>
  <si>
    <r>
      <rPr>
        <sz val="10"/>
        <rFont val="Arial"/>
        <family val="2"/>
      </rPr>
      <t>369 days</t>
    </r>
  </si>
  <si>
    <r>
      <rPr>
        <sz val="10"/>
        <rFont val="Arial"/>
        <family val="2"/>
      </rPr>
      <t>Unit 174</t>
    </r>
  </si>
  <si>
    <r>
      <rPr>
        <sz val="10"/>
        <rFont val="Arial"/>
        <family val="2"/>
      </rPr>
      <t>Gary Wilbanks &amp; Ste</t>
    </r>
  </si>
  <si>
    <r>
      <rPr>
        <sz val="10"/>
        <rFont val="Arial"/>
        <family val="2"/>
      </rPr>
      <t>2/28/2017</t>
    </r>
  </si>
  <si>
    <r>
      <rPr>
        <sz val="10"/>
        <rFont val="Arial"/>
        <family val="2"/>
      </rPr>
      <t>1099 days</t>
    </r>
  </si>
  <si>
    <r>
      <rPr>
        <sz val="10"/>
        <rFont val="Arial"/>
        <family val="2"/>
      </rPr>
      <t>Unit 255</t>
    </r>
  </si>
  <si>
    <r>
      <rPr>
        <sz val="10"/>
        <rFont val="Arial"/>
        <family val="2"/>
      </rPr>
      <t>Charlotte Basick</t>
    </r>
  </si>
  <si>
    <r>
      <rPr>
        <sz val="10"/>
        <rFont val="Arial"/>
        <family val="2"/>
      </rPr>
      <t>9/23/2017</t>
    </r>
  </si>
  <si>
    <r>
      <rPr>
        <sz val="10"/>
        <rFont val="Arial"/>
        <family val="2"/>
      </rPr>
      <t>Unit 191</t>
    </r>
  </si>
  <si>
    <r>
      <rPr>
        <sz val="10"/>
        <rFont val="Arial"/>
        <family val="2"/>
      </rPr>
      <t>Lewis Lawson</t>
    </r>
  </si>
  <si>
    <r>
      <rPr>
        <sz val="10"/>
        <rFont val="Arial"/>
        <family val="2"/>
      </rPr>
      <t>6/5/2018</t>
    </r>
  </si>
  <si>
    <r>
      <rPr>
        <sz val="10"/>
        <rFont val="Arial"/>
        <family val="2"/>
      </rPr>
      <t>643 days</t>
    </r>
  </si>
  <si>
    <r>
      <rPr>
        <sz val="10"/>
        <rFont val="Arial"/>
        <family val="2"/>
      </rPr>
      <t>Unit 186</t>
    </r>
  </si>
  <si>
    <r>
      <rPr>
        <sz val="10"/>
        <rFont val="Arial"/>
        <family val="2"/>
      </rPr>
      <t>Crystal Black</t>
    </r>
  </si>
  <si>
    <r>
      <rPr>
        <sz val="10"/>
        <rFont val="Arial"/>
        <family val="2"/>
      </rPr>
      <t>6/20/2017</t>
    </r>
  </si>
  <si>
    <r>
      <rPr>
        <sz val="10"/>
        <rFont val="Arial"/>
        <family val="2"/>
      </rPr>
      <t>824 days</t>
    </r>
  </si>
  <si>
    <r>
      <rPr>
        <sz val="10"/>
        <rFont val="Arial"/>
        <family val="2"/>
      </rPr>
      <t>Unit 151</t>
    </r>
  </si>
  <si>
    <r>
      <rPr>
        <sz val="10"/>
        <rFont val="Arial"/>
        <family val="2"/>
      </rPr>
      <t>Larry &amp; Amy Yuiile</t>
    </r>
  </si>
  <si>
    <r>
      <rPr>
        <sz val="10"/>
        <rFont val="Arial"/>
        <family val="2"/>
      </rPr>
      <t>Unit 245</t>
    </r>
  </si>
  <si>
    <r>
      <rPr>
        <sz val="10"/>
        <rFont val="Arial"/>
        <family val="2"/>
      </rPr>
      <t>Elvia McGinnis</t>
    </r>
  </si>
  <si>
    <r>
      <rPr>
        <sz val="10"/>
        <rFont val="Arial"/>
        <family val="2"/>
      </rPr>
      <t>2/18/2016</t>
    </r>
  </si>
  <si>
    <r>
      <rPr>
        <sz val="10"/>
        <rFont val="Arial"/>
        <family val="2"/>
      </rPr>
      <t>Unit 259</t>
    </r>
  </si>
  <si>
    <r>
      <rPr>
        <sz val="10"/>
        <rFont val="Arial"/>
        <family val="2"/>
      </rPr>
      <t>2/4/2017</t>
    </r>
  </si>
  <si>
    <r>
      <rPr>
        <sz val="10"/>
        <rFont val="Arial"/>
        <family val="2"/>
      </rPr>
      <t>Unit 128</t>
    </r>
  </si>
  <si>
    <r>
      <rPr>
        <sz val="10"/>
        <rFont val="Arial"/>
        <family val="2"/>
      </rPr>
      <t>David Johnson</t>
    </r>
  </si>
  <si>
    <r>
      <rPr>
        <sz val="10"/>
        <rFont val="Arial"/>
        <family val="2"/>
      </rPr>
      <t>3/7/2018</t>
    </r>
  </si>
  <si>
    <r>
      <rPr>
        <sz val="10"/>
        <rFont val="Arial"/>
        <family val="2"/>
      </rPr>
      <t>551 days</t>
    </r>
  </si>
  <si>
    <r>
      <rPr>
        <sz val="10"/>
        <rFont val="Arial"/>
        <family val="2"/>
      </rPr>
      <t>Unit 232</t>
    </r>
  </si>
  <si>
    <r>
      <rPr>
        <sz val="10"/>
        <rFont val="Arial"/>
        <family val="2"/>
      </rPr>
      <t>William Candler &amp; D</t>
    </r>
  </si>
  <si>
    <r>
      <rPr>
        <sz val="10"/>
        <rFont val="Arial"/>
        <family val="2"/>
      </rPr>
      <t>12/1/2017</t>
    </r>
  </si>
  <si>
    <r>
      <rPr>
        <sz val="10"/>
        <rFont val="Arial"/>
        <family val="2"/>
      </rPr>
      <t>Unit 135</t>
    </r>
  </si>
  <si>
    <r>
      <rPr>
        <sz val="10"/>
        <rFont val="Arial"/>
        <family val="2"/>
      </rPr>
      <t>Catherine Koontz</t>
    </r>
  </si>
  <si>
    <r>
      <rPr>
        <sz val="10"/>
        <rFont val="Arial"/>
        <family val="2"/>
      </rPr>
      <t>Unit 150</t>
    </r>
  </si>
  <si>
    <r>
      <rPr>
        <sz val="10"/>
        <rFont val="Arial"/>
        <family val="2"/>
      </rPr>
      <t>Vincen Haggett</t>
    </r>
  </si>
  <si>
    <r>
      <rPr>
        <sz val="10"/>
        <rFont val="Arial"/>
        <family val="2"/>
      </rPr>
      <t>6/1/2018</t>
    </r>
  </si>
  <si>
    <r>
      <rPr>
        <sz val="10"/>
        <rFont val="Arial"/>
        <family val="2"/>
      </rPr>
      <t>Unit 243</t>
    </r>
  </si>
  <si>
    <r>
      <rPr>
        <sz val="10"/>
        <rFont val="Arial"/>
        <family val="2"/>
      </rPr>
      <t>Lee Sumptur</t>
    </r>
  </si>
  <si>
    <r>
      <rPr>
        <sz val="10"/>
        <rFont val="Arial"/>
        <family val="2"/>
      </rPr>
      <t>3/28/2019</t>
    </r>
  </si>
  <si>
    <r>
      <rPr>
        <sz val="10"/>
        <rFont val="Arial"/>
        <family val="2"/>
      </rPr>
      <t>125 days</t>
    </r>
  </si>
  <si>
    <r>
      <rPr>
        <sz val="10"/>
        <rFont val="Arial"/>
        <family val="2"/>
      </rPr>
      <t>Unit 109</t>
    </r>
  </si>
  <si>
    <r>
      <rPr>
        <sz val="10"/>
        <rFont val="Arial"/>
        <family val="2"/>
      </rPr>
      <t>Christy Pratt</t>
    </r>
  </si>
  <si>
    <r>
      <rPr>
        <sz val="10"/>
        <rFont val="Arial"/>
        <family val="2"/>
      </rPr>
      <t>8/1/2018</t>
    </r>
  </si>
  <si>
    <r>
      <rPr>
        <sz val="10"/>
        <rFont val="Arial"/>
        <family val="2"/>
      </rPr>
      <t>Unit 120</t>
    </r>
  </si>
  <si>
    <r>
      <rPr>
        <sz val="10"/>
        <rFont val="Arial"/>
        <family val="2"/>
      </rPr>
      <t>Hilda Espinoza</t>
    </r>
  </si>
  <si>
    <t>Terry Locket</t>
  </si>
  <si>
    <t>November</t>
  </si>
  <si>
    <t>Dec</t>
  </si>
  <si>
    <t>Jan</t>
  </si>
  <si>
    <t>Feb</t>
  </si>
  <si>
    <t>March</t>
  </si>
  <si>
    <t>Total Collected</t>
  </si>
  <si>
    <t>Security Deposit</t>
  </si>
  <si>
    <t>Signed Estoppel</t>
  </si>
  <si>
    <t>Not Signed (Reason)</t>
  </si>
  <si>
    <t>Tenants who have paid since 11/1</t>
  </si>
  <si>
    <t>Security deposits associated with Estoppel Letters</t>
  </si>
  <si>
    <t>Projected Due Diligence Cost Reimbusement</t>
  </si>
  <si>
    <t>Working Capital / Deferred Maint.</t>
  </si>
  <si>
    <t>Class A Buy-In to Blue Haven MHP LLC</t>
  </si>
  <si>
    <t>Total amount of Class A shares purchased</t>
  </si>
  <si>
    <t>Stonecroft - Escrow / Closing Funding</t>
  </si>
  <si>
    <t>To Transfer from Fund to Stonecroft MHP, LLC</t>
  </si>
  <si>
    <t>Earnest Money Deposit - 3/14/2019</t>
  </si>
  <si>
    <t>Operating Cost Shortage for first 12 months</t>
  </si>
  <si>
    <t>Tree Work</t>
  </si>
  <si>
    <t>Signage and entrance landscaping</t>
  </si>
  <si>
    <t>Cash to close</t>
  </si>
  <si>
    <t>Cash at close in bank account</t>
  </si>
  <si>
    <t>Total Transfer from Fund on Close</t>
  </si>
  <si>
    <t>Amount left over due from Fund</t>
  </si>
  <si>
    <t>32-530-09-30-00-0-00-000</t>
  </si>
  <si>
    <t>Market Value</t>
  </si>
  <si>
    <t>Taxes</t>
  </si>
  <si>
    <t>32-530-09-31-00-0-00-000</t>
  </si>
  <si>
    <t>32-530-09-32-00-0-00-000</t>
  </si>
  <si>
    <t>32-530-09-33-00-0-00-000</t>
  </si>
  <si>
    <t>32-820-03-01-00-0-00-000</t>
  </si>
  <si>
    <t>Tax Rate</t>
  </si>
  <si>
    <t>148 spaces located 2 miles from Arrowhead Stadium</t>
  </si>
  <si>
    <t>All public utilities</t>
  </si>
  <si>
    <t>Water is currently not submetered</t>
  </si>
  <si>
    <t>Electric is direct billed to tenants</t>
  </si>
  <si>
    <t>Purchasing park for $6,554 per pad</t>
  </si>
  <si>
    <t>Park is only 4 miles from Blue Ridge MHP that we own</t>
  </si>
  <si>
    <t>Plumber - locating and repairing leaks throughout the park</t>
  </si>
  <si>
    <t>Estimated Assessment for 2019</t>
  </si>
  <si>
    <t>Estimated taxes for year after purchase</t>
  </si>
  <si>
    <t>Park Cleanup - Clean trash on all vacant lots and common areas</t>
  </si>
  <si>
    <t>Road Repairs - Fix all potholes and reseal all roads in park</t>
  </si>
  <si>
    <t>MH Demo - Demolish or remove homes from park</t>
  </si>
  <si>
    <t>Pad Prep - Prepare vacant lots for new homes to be moved into park</t>
  </si>
  <si>
    <t>1st year operations shortage - Reserve for negative cash flow at purchase</t>
  </si>
  <si>
    <t>Tree work - Raise the canopy and remove any dead trees/limbs</t>
  </si>
  <si>
    <t>Signage and entrance landscaping - replace and repair signage throughout the park</t>
  </si>
  <si>
    <t>Refi Term</t>
  </si>
  <si>
    <t>Closing Funds</t>
  </si>
  <si>
    <t>Title/Escrow Charges</t>
  </si>
  <si>
    <t>Security Deposits + Rent Credit</t>
  </si>
  <si>
    <t>General Taxes and Assessments</t>
  </si>
  <si>
    <t>total addl. cash at close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</si>
</sst>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_(&quot;$&quot;* #,##0_);_(&quot;$&quot;* \(#,##0\);_(&quot;$&quot;* &quot;-&quot;??_);_(@_)"/>
    <numFmt numFmtId="167" formatCode="0.000000%"/>
    <numFmt numFmtId="168" formatCode="0.000000000%"/>
    <numFmt numFmtId="169" formatCode="0%\ &quot;LTV&quot;"/>
    <numFmt numFmtId="170" formatCode="_-&quot;$&quot;* #,##0_-;\-&quot;$&quot;* #,##0_-;_-&quot;$&quot;* &quot;-&quot;??_-;_-@_-"/>
    <numFmt numFmtId="171" formatCode="0.0&quot;x&quot;"/>
    <numFmt numFmtId="172" formatCode="&quot;Year&quot;\ 0"/>
    <numFmt numFmtId="173" formatCode="0.0"/>
    <numFmt numFmtId="174" formatCode="_(&quot;$&quot;* #,##0_);_(&quot;$&quot;* \(#,##0\);_(&quot;$&quot;* &quot;-&quot;?_);_(@_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11"/>
      <name val="Calibri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i/>
      <sz val="8"/>
      <name val="Arial"/>
      <family val="2"/>
    </font>
    <font>
      <b/>
      <i/>
      <sz val="9"/>
      <name val="Arial"/>
      <family val="2"/>
    </font>
    <font>
      <i/>
      <u val="singleAccounting"/>
      <sz val="9"/>
      <name val="Arial"/>
      <family val="2"/>
    </font>
    <font>
      <i/>
      <u/>
      <sz val="9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i/>
      <sz val="10"/>
      <name val="Arial"/>
      <family val="2"/>
    </font>
    <font>
      <sz val="10"/>
      <color theme="4"/>
      <name val="Arial"/>
      <family val="2"/>
    </font>
    <font>
      <b/>
      <i/>
      <sz val="8"/>
      <name val="Arial"/>
      <family val="2"/>
    </font>
    <font>
      <sz val="10"/>
      <color theme="1" tint="0.499984740745262"/>
      <name val="Arial"/>
      <family val="2"/>
    </font>
    <font>
      <i/>
      <sz val="10"/>
      <color theme="1" tint="4.9989318521683403E-2"/>
      <name val="Arial"/>
      <family val="2"/>
    </font>
    <font>
      <sz val="10"/>
      <name val="Calibri"/>
      <family val="2"/>
      <scheme val="minor"/>
    </font>
    <font>
      <sz val="10"/>
      <color rgb="FF000000"/>
      <name val="Times New Roman"/>
      <family val="1"/>
    </font>
    <font>
      <sz val="11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</font>
    <font>
      <b/>
      <sz val="10"/>
      <name val="Calibri"/>
      <family val="2"/>
    </font>
    <font>
      <u val="singleAccounting"/>
      <sz val="10"/>
      <name val="Calibri"/>
      <family val="2"/>
      <scheme val="minor"/>
    </font>
    <font>
      <b/>
      <sz val="10"/>
      <color rgb="FFFFFF00"/>
      <name val="Arial"/>
      <family val="2"/>
    </font>
    <font>
      <b/>
      <i/>
      <sz val="9"/>
      <color theme="0"/>
      <name val="Arial"/>
      <family val="2"/>
    </font>
    <font>
      <b/>
      <sz val="11"/>
      <color rgb="FFFFFF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7030A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9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rgb="FF7030A0"/>
      <name val="Calibri"/>
      <family val="2"/>
      <scheme val="minor"/>
    </font>
    <font>
      <b/>
      <i/>
      <sz val="8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theme="3" tint="0.39997558519241921"/>
      <name val="Arial"/>
      <family val="2"/>
    </font>
    <font>
      <i/>
      <sz val="6"/>
      <color theme="0"/>
      <name val="Arial"/>
      <family val="2"/>
    </font>
    <font>
      <sz val="10"/>
      <color theme="3" tint="-0.249977111117893"/>
      <name val="Arial"/>
      <family val="2"/>
    </font>
    <font>
      <i/>
      <sz val="10"/>
      <color theme="4" tint="-0.249977111117893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5"/>
      </patternFill>
    </fill>
  </fills>
  <borders count="5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theme="0"/>
      </left>
      <right style="thick">
        <color theme="0"/>
      </right>
      <top style="thin">
        <color auto="1"/>
      </top>
      <bottom style="double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ck">
        <color theme="0"/>
      </left>
      <right/>
      <top style="thin">
        <color auto="1"/>
      </top>
      <bottom style="double">
        <color auto="1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ck">
        <color theme="0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ck">
        <color theme="0"/>
      </right>
      <top style="thin">
        <color auto="1"/>
      </top>
      <bottom style="double">
        <color auto="1"/>
      </bottom>
      <diagonal/>
    </border>
  </borders>
  <cellStyleXfs count="29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2" borderId="15" applyNumberFormat="0" applyFont="0" applyProtection="0">
      <alignment horizontal="left" vertical="center"/>
    </xf>
    <xf numFmtId="0" fontId="4" fillId="10" borderId="15" applyNumberFormat="0" applyFont="0" applyProtection="0">
      <alignment horizontal="left" vertical="center"/>
    </xf>
    <xf numFmtId="0" fontId="4" fillId="2" borderId="16" applyNumberFormat="0" applyFont="0" applyProtection="0">
      <alignment horizontal="left" vertical="center"/>
    </xf>
    <xf numFmtId="0" fontId="4" fillId="11" borderId="16" applyNumberFormat="0" applyFont="0" applyProtection="0">
      <alignment horizontal="left" vertical="center"/>
    </xf>
    <xf numFmtId="0" fontId="4" fillId="2" borderId="16" applyNumberFormat="0" applyFont="0" applyProtection="0">
      <alignment horizontal="left" vertical="center"/>
    </xf>
    <xf numFmtId="0" fontId="4" fillId="11" borderId="16" applyNumberFormat="0" applyFont="0" applyProtection="0">
      <alignment horizontal="left" vertical="center"/>
    </xf>
    <xf numFmtId="0" fontId="30" fillId="0" borderId="0"/>
    <xf numFmtId="43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1" fillId="20" borderId="0" applyNumberFormat="0" applyBorder="0" applyAlignment="0" applyProtection="0"/>
  </cellStyleXfs>
  <cellXfs count="567">
    <xf numFmtId="0" fontId="0" fillId="0" borderId="0" xfId="0"/>
    <xf numFmtId="0" fontId="6" fillId="0" borderId="7" xfId="5" applyFont="1" applyBorder="1"/>
    <xf numFmtId="166" fontId="6" fillId="0" borderId="7" xfId="5" applyNumberFormat="1" applyFont="1" applyBorder="1"/>
    <xf numFmtId="166" fontId="6" fillId="0" borderId="7" xfId="7" applyNumberFormat="1" applyFont="1" applyBorder="1"/>
    <xf numFmtId="0" fontId="9" fillId="0" borderId="0" xfId="5" applyFont="1" applyAlignment="1">
      <alignment horizontal="left" indent="1"/>
    </xf>
    <xf numFmtId="6" fontId="10" fillId="0" borderId="9" xfId="0" applyNumberFormat="1" applyFont="1" applyBorder="1" applyAlignment="1">
      <alignment horizontal="center" vertical="center" wrapText="1"/>
    </xf>
    <xf numFmtId="10" fontId="10" fillId="0" borderId="6" xfId="0" applyNumberFormat="1" applyFont="1" applyBorder="1" applyAlignment="1">
      <alignment horizontal="center" vertical="center" wrapText="1"/>
    </xf>
    <xf numFmtId="6" fontId="10" fillId="0" borderId="10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10" fontId="10" fillId="0" borderId="1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10" fillId="0" borderId="0" xfId="0" applyFont="1" applyAlignment="1">
      <alignment horizontal="left" vertical="center" indent="2"/>
    </xf>
    <xf numFmtId="0" fontId="4" fillId="0" borderId="0" xfId="9"/>
    <xf numFmtId="0" fontId="12" fillId="0" borderId="5" xfId="9" applyFont="1" applyBorder="1" applyAlignment="1">
      <alignment horizontal="left"/>
    </xf>
    <xf numFmtId="0" fontId="12" fillId="0" borderId="5" xfId="9" applyFont="1" applyBorder="1" applyAlignment="1">
      <alignment horizontal="center"/>
    </xf>
    <xf numFmtId="0" fontId="13" fillId="5" borderId="5" xfId="9" applyFont="1" applyFill="1" applyBorder="1" applyAlignment="1">
      <alignment horizontal="centerContinuous"/>
    </xf>
    <xf numFmtId="0" fontId="13" fillId="5" borderId="0" xfId="9" applyFont="1" applyFill="1" applyAlignment="1">
      <alignment horizontal="centerContinuous"/>
    </xf>
    <xf numFmtId="166" fontId="4" fillId="6" borderId="5" xfId="2" applyNumberFormat="1" applyFill="1" applyBorder="1" applyAlignment="1">
      <alignment horizontal="center"/>
    </xf>
    <xf numFmtId="166" fontId="4" fillId="6" borderId="0" xfId="2" applyNumberFormat="1" applyFill="1" applyAlignment="1">
      <alignment horizontal="center"/>
    </xf>
    <xf numFmtId="0" fontId="14" fillId="0" borderId="5" xfId="9" applyFont="1" applyBorder="1" applyAlignment="1">
      <alignment horizontal="center"/>
    </xf>
    <xf numFmtId="0" fontId="14" fillId="0" borderId="0" xfId="9" applyFont="1"/>
    <xf numFmtId="0" fontId="4" fillId="0" borderId="0" xfId="9" applyAlignment="1">
      <alignment horizontal="center"/>
    </xf>
    <xf numFmtId="0" fontId="6" fillId="0" borderId="3" xfId="9" applyFont="1" applyBorder="1" applyAlignment="1">
      <alignment horizontal="center"/>
    </xf>
    <xf numFmtId="0" fontId="15" fillId="0" borderId="3" xfId="9" applyFont="1" applyBorder="1"/>
    <xf numFmtId="0" fontId="6" fillId="0" borderId="0" xfId="9" applyFont="1" applyAlignment="1">
      <alignment horizontal="center"/>
    </xf>
    <xf numFmtId="0" fontId="15" fillId="0" borderId="0" xfId="9" applyFont="1"/>
    <xf numFmtId="0" fontId="14" fillId="0" borderId="0" xfId="9" applyFont="1" applyAlignment="1">
      <alignment horizontal="center"/>
    </xf>
    <xf numFmtId="0" fontId="6" fillId="0" borderId="3" xfId="9" applyFont="1" applyBorder="1"/>
    <xf numFmtId="0" fontId="16" fillId="0" borderId="0" xfId="9" applyFont="1"/>
    <xf numFmtId="0" fontId="15" fillId="7" borderId="0" xfId="5" applyFont="1" applyFill="1" applyAlignment="1">
      <alignment horizontal="left"/>
    </xf>
    <xf numFmtId="0" fontId="4" fillId="0" borderId="0" xfId="5" applyFont="1"/>
    <xf numFmtId="0" fontId="17" fillId="0" borderId="0" xfId="5" applyFont="1"/>
    <xf numFmtId="166" fontId="4" fillId="0" borderId="0" xfId="5" applyNumberFormat="1" applyFont="1"/>
    <xf numFmtId="0" fontId="4" fillId="0" borderId="0" xfId="5" applyFont="1" applyAlignment="1">
      <alignment horizontal="left" indent="1"/>
    </xf>
    <xf numFmtId="165" fontId="4" fillId="0" borderId="0" xfId="6" applyNumberFormat="1" applyFont="1"/>
    <xf numFmtId="170" fontId="4" fillId="0" borderId="0" xfId="5" applyNumberFormat="1" applyFont="1"/>
    <xf numFmtId="0" fontId="9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165" fontId="4" fillId="0" borderId="0" xfId="1" applyNumberFormat="1"/>
    <xf numFmtId="166" fontId="4" fillId="0" borderId="0" xfId="0" applyNumberFormat="1" applyFont="1"/>
    <xf numFmtId="166" fontId="4" fillId="0" borderId="0" xfId="2" applyNumberFormat="1"/>
    <xf numFmtId="0" fontId="18" fillId="0" borderId="0" xfId="0" applyFont="1" applyAlignment="1">
      <alignment horizontal="right"/>
    </xf>
    <xf numFmtId="44" fontId="4" fillId="0" borderId="2" xfId="0" applyNumberFormat="1" applyFont="1" applyBorder="1"/>
    <xf numFmtId="44" fontId="4" fillId="0" borderId="0" xfId="0" applyNumberFormat="1" applyFont="1"/>
    <xf numFmtId="9" fontId="18" fillId="0" borderId="0" xfId="4" applyFont="1"/>
    <xf numFmtId="44" fontId="4" fillId="0" borderId="0" xfId="2"/>
    <xf numFmtId="9" fontId="4" fillId="0" borderId="0" xfId="4"/>
    <xf numFmtId="0" fontId="9" fillId="0" borderId="0" xfId="0" applyFont="1" applyAlignment="1">
      <alignment horizontal="center"/>
    </xf>
    <xf numFmtId="166" fontId="4" fillId="0" borderId="0" xfId="3" applyNumberFormat="1" applyFont="1"/>
    <xf numFmtId="44" fontId="4" fillId="0" borderId="0" xfId="3" applyFont="1"/>
    <xf numFmtId="0" fontId="4" fillId="0" borderId="0" xfId="0" applyFont="1" applyAlignment="1">
      <alignment horizontal="left" indent="1"/>
    </xf>
    <xf numFmtId="165" fontId="4" fillId="0" borderId="0" xfId="1" applyNumberFormat="1" applyAlignment="1">
      <alignment horizontal="center"/>
    </xf>
    <xf numFmtId="166" fontId="6" fillId="0" borderId="0" xfId="5" applyNumberFormat="1" applyFont="1"/>
    <xf numFmtId="0" fontId="15" fillId="8" borderId="0" xfId="5" applyFont="1" applyFill="1" applyAlignment="1">
      <alignment horizontal="left"/>
    </xf>
    <xf numFmtId="0" fontId="15" fillId="8" borderId="0" xfId="5" applyFont="1" applyFill="1" applyAlignment="1">
      <alignment horizontal="center"/>
    </xf>
    <xf numFmtId="0" fontId="6" fillId="0" borderId="0" xfId="5" applyFont="1"/>
    <xf numFmtId="0" fontId="4" fillId="0" borderId="1" xfId="0" applyFont="1" applyBorder="1" applyAlignment="1">
      <alignment horizontal="left" indent="1"/>
    </xf>
    <xf numFmtId="0" fontId="0" fillId="0" borderId="0" xfId="0" applyAlignment="1">
      <alignment horizontal="left" indent="2"/>
    </xf>
    <xf numFmtId="0" fontId="4" fillId="0" borderId="0" xfId="0" applyFont="1" applyAlignment="1">
      <alignment horizontal="left"/>
    </xf>
    <xf numFmtId="172" fontId="15" fillId="8" borderId="1" xfId="0" applyNumberFormat="1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left"/>
    </xf>
    <xf numFmtId="165" fontId="6" fillId="0" borderId="7" xfId="0" applyNumberFormat="1" applyFont="1" applyBorder="1"/>
    <xf numFmtId="166" fontId="9" fillId="9" borderId="0" xfId="2" applyNumberFormat="1" applyFont="1" applyFill="1"/>
    <xf numFmtId="0" fontId="4" fillId="9" borderId="0" xfId="0" applyFont="1" applyFill="1"/>
    <xf numFmtId="166" fontId="4" fillId="0" borderId="7" xfId="0" applyNumberFormat="1" applyFont="1" applyBorder="1"/>
    <xf numFmtId="165" fontId="4" fillId="0" borderId="2" xfId="1" applyNumberFormat="1" applyBorder="1"/>
    <xf numFmtId="0" fontId="15" fillId="8" borderId="13" xfId="5" applyFont="1" applyFill="1" applyBorder="1" applyAlignment="1">
      <alignment horizontal="center"/>
    </xf>
    <xf numFmtId="0" fontId="21" fillId="0" borderId="2" xfId="0" applyFont="1" applyBorder="1" applyAlignment="1">
      <alignment horizontal="center"/>
    </xf>
    <xf numFmtId="166" fontId="20" fillId="9" borderId="0" xfId="2" applyNumberFormat="1" applyFont="1" applyFill="1" applyAlignment="1">
      <alignment horizontal="center"/>
    </xf>
    <xf numFmtId="10" fontId="4" fillId="0" borderId="0" xfId="4" applyNumberFormat="1" applyAlignment="1">
      <alignment horizontal="center"/>
    </xf>
    <xf numFmtId="166" fontId="18" fillId="0" borderId="0" xfId="0" applyNumberFormat="1" applyFont="1"/>
    <xf numFmtId="164" fontId="4" fillId="0" borderId="0" xfId="0" applyNumberFormat="1" applyFont="1"/>
    <xf numFmtId="9" fontId="4" fillId="0" borderId="0" xfId="0" applyNumberFormat="1" applyFont="1"/>
    <xf numFmtId="0" fontId="4" fillId="0" borderId="0" xfId="10" applyAlignment="1">
      <alignment horizontal="left" indent="1"/>
    </xf>
    <xf numFmtId="0" fontId="15" fillId="7" borderId="0" xfId="5" applyFont="1" applyFill="1" applyAlignment="1">
      <alignment horizontal="center"/>
    </xf>
    <xf numFmtId="165" fontId="4" fillId="0" borderId="0" xfId="11" applyNumberFormat="1" applyAlignment="1">
      <alignment horizontal="center"/>
    </xf>
    <xf numFmtId="164" fontId="8" fillId="0" borderId="2" xfId="12" applyNumberFormat="1" applyFont="1" applyBorder="1" applyAlignment="1">
      <alignment horizontal="right"/>
    </xf>
    <xf numFmtId="9" fontId="0" fillId="0" borderId="0" xfId="15" applyFont="1"/>
    <xf numFmtId="0" fontId="0" fillId="0" borderId="0" xfId="0" applyAlignment="1">
      <alignment horizontal="left" indent="1"/>
    </xf>
    <xf numFmtId="165" fontId="0" fillId="0" borderId="0" xfId="13" applyNumberFormat="1" applyFont="1"/>
    <xf numFmtId="165" fontId="0" fillId="0" borderId="14" xfId="13" applyNumberFormat="1" applyFont="1" applyBorder="1"/>
    <xf numFmtId="165" fontId="0" fillId="0" borderId="17" xfId="13" applyNumberFormat="1" applyFont="1" applyBorder="1"/>
    <xf numFmtId="173" fontId="18" fillId="0" borderId="0" xfId="0" applyNumberFormat="1" applyFont="1" applyAlignment="1">
      <alignment horizontal="right"/>
    </xf>
    <xf numFmtId="0" fontId="18" fillId="0" borderId="0" xfId="0" applyFont="1"/>
    <xf numFmtId="0" fontId="4" fillId="3" borderId="0" xfId="0" applyFont="1" applyFill="1" applyAlignment="1">
      <alignment horizontal="center"/>
    </xf>
    <xf numFmtId="0" fontId="19" fillId="0" borderId="7" xfId="0" applyFont="1" applyBorder="1"/>
    <xf numFmtId="164" fontId="9" fillId="0" borderId="0" xfId="4" applyNumberFormat="1" applyFont="1"/>
    <xf numFmtId="165" fontId="0" fillId="12" borderId="1" xfId="13" applyNumberFormat="1" applyFont="1" applyFill="1" applyBorder="1"/>
    <xf numFmtId="164" fontId="6" fillId="0" borderId="0" xfId="0" applyNumberFormat="1" applyFont="1"/>
    <xf numFmtId="164" fontId="9" fillId="0" borderId="0" xfId="7" applyNumberFormat="1" applyFont="1" applyAlignment="1">
      <alignment horizontal="right"/>
    </xf>
    <xf numFmtId="165" fontId="0" fillId="0" borderId="18" xfId="13" applyNumberFormat="1" applyFont="1" applyBorder="1"/>
    <xf numFmtId="165" fontId="0" fillId="0" borderId="0" xfId="0" applyNumberFormat="1"/>
    <xf numFmtId="0" fontId="15" fillId="7" borderId="0" xfId="10" applyFont="1" applyFill="1" applyAlignment="1">
      <alignment horizontal="centerContinuous"/>
    </xf>
    <xf numFmtId="0" fontId="4" fillId="0" borderId="0" xfId="0" applyFont="1" applyAlignment="1">
      <alignment horizontal="centerContinuous"/>
    </xf>
    <xf numFmtId="0" fontId="6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166" fontId="9" fillId="0" borderId="0" xfId="0" applyNumberFormat="1" applyFont="1"/>
    <xf numFmtId="164" fontId="7" fillId="0" borderId="0" xfId="0" applyNumberFormat="1" applyFont="1"/>
    <xf numFmtId="165" fontId="4" fillId="0" borderId="0" xfId="0" applyNumberFormat="1" applyFont="1"/>
    <xf numFmtId="0" fontId="15" fillId="7" borderId="0" xfId="10" applyFont="1" applyFill="1" applyAlignment="1">
      <alignment horizontal="left"/>
    </xf>
    <xf numFmtId="166" fontId="14" fillId="0" borderId="0" xfId="3" applyNumberFormat="1" applyFont="1"/>
    <xf numFmtId="0" fontId="15" fillId="7" borderId="0" xfId="10" applyFont="1" applyFill="1" applyAlignment="1">
      <alignment horizontal="center"/>
    </xf>
    <xf numFmtId="0" fontId="4" fillId="0" borderId="0" xfId="10"/>
    <xf numFmtId="0" fontId="6" fillId="0" borderId="0" xfId="10" applyFont="1" applyAlignment="1">
      <alignment horizontal="left"/>
    </xf>
    <xf numFmtId="0" fontId="6" fillId="0" borderId="1" xfId="10" applyFont="1" applyBorder="1" applyAlignment="1">
      <alignment horizontal="center"/>
    </xf>
    <xf numFmtId="170" fontId="4" fillId="0" borderId="0" xfId="10" applyNumberFormat="1"/>
    <xf numFmtId="166" fontId="6" fillId="0" borderId="0" xfId="3" applyNumberFormat="1" applyFont="1" applyAlignment="1">
      <alignment horizontal="right"/>
    </xf>
    <xf numFmtId="165" fontId="14" fillId="0" borderId="0" xfId="11" applyNumberFormat="1" applyFont="1"/>
    <xf numFmtId="166" fontId="14" fillId="0" borderId="0" xfId="3" applyNumberFormat="1" applyFont="1" applyAlignment="1">
      <alignment horizontal="right"/>
    </xf>
    <xf numFmtId="44" fontId="14" fillId="0" borderId="0" xfId="3" applyFont="1"/>
    <xf numFmtId="0" fontId="6" fillId="0" borderId="0" xfId="10" applyFont="1" applyAlignment="1">
      <alignment horizontal="left" indent="1"/>
    </xf>
    <xf numFmtId="170" fontId="6" fillId="0" borderId="3" xfId="10" applyNumberFormat="1" applyFont="1" applyBorder="1"/>
    <xf numFmtId="170" fontId="6" fillId="0" borderId="7" xfId="10" applyNumberFormat="1" applyFont="1" applyBorder="1"/>
    <xf numFmtId="164" fontId="4" fillId="0" borderId="0" xfId="10" applyNumberFormat="1"/>
    <xf numFmtId="171" fontId="4" fillId="0" borderId="0" xfId="10" applyNumberFormat="1"/>
    <xf numFmtId="0" fontId="9" fillId="0" borderId="0" xfId="10" applyFont="1" applyAlignment="1">
      <alignment horizontal="left" indent="2"/>
    </xf>
    <xf numFmtId="10" fontId="9" fillId="0" borderId="0" xfId="10" applyNumberFormat="1" applyFont="1"/>
    <xf numFmtId="0" fontId="6" fillId="0" borderId="0" xfId="5" applyFont="1" applyAlignment="1">
      <alignment horizontal="left" indent="1"/>
    </xf>
    <xf numFmtId="169" fontId="7" fillId="0" borderId="0" xfId="7" applyNumberFormat="1" applyFont="1" applyAlignment="1">
      <alignment horizontal="left"/>
    </xf>
    <xf numFmtId="9" fontId="9" fillId="0" borderId="0" xfId="7" applyFont="1"/>
    <xf numFmtId="164" fontId="9" fillId="0" borderId="0" xfId="7" applyNumberFormat="1" applyFont="1"/>
    <xf numFmtId="170" fontId="6" fillId="0" borderId="0" xfId="5" applyNumberFormat="1" applyFont="1"/>
    <xf numFmtId="165" fontId="6" fillId="0" borderId="19" xfId="0" applyNumberFormat="1" applyFont="1" applyBorder="1"/>
    <xf numFmtId="165" fontId="0" fillId="0" borderId="20" xfId="13" applyNumberFormat="1" applyFont="1" applyBorder="1"/>
    <xf numFmtId="164" fontId="8" fillId="0" borderId="0" xfId="12" applyNumberFormat="1" applyFont="1" applyAlignment="1">
      <alignment horizontal="center"/>
    </xf>
    <xf numFmtId="166" fontId="7" fillId="0" borderId="0" xfId="0" applyNumberFormat="1" applyFont="1"/>
    <xf numFmtId="0" fontId="7" fillId="0" borderId="0" xfId="0" applyFont="1"/>
    <xf numFmtId="0" fontId="6" fillId="0" borderId="1" xfId="5" applyFont="1" applyBorder="1"/>
    <xf numFmtId="164" fontId="8" fillId="0" borderId="12" xfId="12" applyNumberFormat="1" applyFont="1" applyBorder="1" applyAlignment="1">
      <alignment horizontal="right"/>
    </xf>
    <xf numFmtId="0" fontId="6" fillId="0" borderId="1" xfId="5" applyFont="1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43" fontId="4" fillId="0" borderId="0" xfId="0" applyNumberFormat="1" applyFont="1"/>
    <xf numFmtId="8" fontId="4" fillId="0" borderId="0" xfId="0" applyNumberFormat="1" applyFont="1"/>
    <xf numFmtId="6" fontId="4" fillId="0" borderId="0" xfId="0" applyNumberFormat="1" applyFont="1"/>
    <xf numFmtId="9" fontId="25" fillId="0" borderId="22" xfId="4" applyFont="1" applyBorder="1" applyAlignment="1">
      <alignment horizontal="center"/>
    </xf>
    <xf numFmtId="10" fontId="25" fillId="0" borderId="22" xfId="12" applyNumberFormat="1" applyFont="1" applyBorder="1" applyAlignment="1">
      <alignment horizontal="center"/>
    </xf>
    <xf numFmtId="165" fontId="24" fillId="0" borderId="0" xfId="11" applyNumberFormat="1" applyFont="1" applyAlignment="1">
      <alignment horizontal="center"/>
    </xf>
    <xf numFmtId="166" fontId="18" fillId="0" borderId="27" xfId="0" applyNumberFormat="1" applyFont="1" applyBorder="1"/>
    <xf numFmtId="0" fontId="4" fillId="0" borderId="28" xfId="0" applyFont="1" applyBorder="1"/>
    <xf numFmtId="166" fontId="26" fillId="0" borderId="27" xfId="0" applyNumberFormat="1" applyFont="1" applyBorder="1"/>
    <xf numFmtId="0" fontId="25" fillId="0" borderId="27" xfId="0" applyFont="1" applyBorder="1"/>
    <xf numFmtId="0" fontId="4" fillId="0" borderId="29" xfId="5" quotePrefix="1" applyFont="1" applyBorder="1"/>
    <xf numFmtId="10" fontId="25" fillId="0" borderId="22" xfId="4" applyNumberFormat="1" applyFont="1" applyBorder="1" applyAlignment="1">
      <alignment horizontal="center"/>
    </xf>
    <xf numFmtId="10" fontId="25" fillId="0" borderId="28" xfId="4" applyNumberFormat="1" applyFont="1" applyBorder="1" applyAlignment="1">
      <alignment horizontal="center"/>
    </xf>
    <xf numFmtId="0" fontId="11" fillId="4" borderId="4" xfId="9" applyFont="1" applyFill="1" applyBorder="1" applyAlignment="1">
      <alignment horizontal="left"/>
    </xf>
    <xf numFmtId="166" fontId="25" fillId="13" borderId="28" xfId="2" applyNumberFormat="1" applyFont="1" applyFill="1" applyBorder="1"/>
    <xf numFmtId="6" fontId="10" fillId="0" borderId="6" xfId="0" applyNumberFormat="1" applyFont="1" applyBorder="1" applyAlignment="1">
      <alignment horizontal="center" vertical="center" wrapText="1"/>
    </xf>
    <xf numFmtId="9" fontId="27" fillId="0" borderId="25" xfId="12" applyFont="1" applyBorder="1" applyAlignment="1">
      <alignment horizontal="center"/>
    </xf>
    <xf numFmtId="9" fontId="27" fillId="0" borderId="2" xfId="12" applyFont="1" applyBorder="1" applyAlignment="1">
      <alignment horizontal="center"/>
    </xf>
    <xf numFmtId="0" fontId="27" fillId="0" borderId="25" xfId="1" applyNumberFormat="1" applyFont="1" applyBorder="1" applyAlignment="1">
      <alignment horizontal="center"/>
    </xf>
    <xf numFmtId="0" fontId="27" fillId="0" borderId="2" xfId="1" applyNumberFormat="1" applyFont="1" applyBorder="1" applyAlignment="1">
      <alignment horizontal="center"/>
    </xf>
    <xf numFmtId="10" fontId="27" fillId="0" borderId="26" xfId="12" applyNumberFormat="1" applyFont="1" applyBorder="1" applyAlignment="1">
      <alignment horizontal="center"/>
    </xf>
    <xf numFmtId="10" fontId="27" fillId="0" borderId="12" xfId="12" applyNumberFormat="1" applyFont="1" applyBorder="1" applyAlignment="1">
      <alignment horizontal="center"/>
    </xf>
    <xf numFmtId="0" fontId="29" fillId="0" borderId="0" xfId="0" applyFont="1"/>
    <xf numFmtId="0" fontId="10" fillId="0" borderId="0" xfId="0" applyFont="1" applyAlignment="1">
      <alignment vertical="center"/>
    </xf>
    <xf numFmtId="0" fontId="31" fillId="0" borderId="0" xfId="22" applyFont="1" applyAlignment="1">
      <alignment horizontal="left" vertical="top"/>
    </xf>
    <xf numFmtId="43" fontId="31" fillId="0" borderId="0" xfId="23" applyFont="1" applyAlignment="1">
      <alignment horizontal="left" vertical="top"/>
    </xf>
    <xf numFmtId="49" fontId="31" fillId="0" borderId="0" xfId="23" applyNumberFormat="1" applyFont="1" applyAlignment="1">
      <alignment horizontal="left" vertical="top"/>
    </xf>
    <xf numFmtId="49" fontId="32" fillId="0" borderId="0" xfId="23" applyNumberFormat="1" applyFont="1" applyAlignment="1">
      <alignment horizontal="left" vertical="top"/>
    </xf>
    <xf numFmtId="43" fontId="31" fillId="0" borderId="0" xfId="23" applyFont="1" applyAlignment="1">
      <alignment horizontal="left" vertical="top" wrapText="1"/>
    </xf>
    <xf numFmtId="49" fontId="31" fillId="0" borderId="0" xfId="23" applyNumberFormat="1" applyFont="1" applyAlignment="1">
      <alignment vertical="top" wrapText="1"/>
    </xf>
    <xf numFmtId="43" fontId="31" fillId="0" borderId="0" xfId="23" applyFont="1" applyAlignment="1">
      <alignment vertical="top" wrapText="1"/>
    </xf>
    <xf numFmtId="49" fontId="31" fillId="0" borderId="0" xfId="23" applyNumberFormat="1" applyFont="1" applyAlignment="1">
      <alignment horizontal="left" vertical="top" wrapText="1"/>
    </xf>
    <xf numFmtId="49" fontId="31" fillId="0" borderId="0" xfId="23" applyNumberFormat="1" applyFont="1" applyAlignment="1">
      <alignment vertical="center" wrapText="1"/>
    </xf>
    <xf numFmtId="1" fontId="31" fillId="0" borderId="0" xfId="23" applyNumberFormat="1" applyFont="1" applyAlignment="1">
      <alignment vertical="top" wrapText="1"/>
    </xf>
    <xf numFmtId="1" fontId="31" fillId="0" borderId="0" xfId="22" applyNumberFormat="1" applyFont="1" applyAlignment="1">
      <alignment horizontal="left" vertical="top"/>
    </xf>
    <xf numFmtId="165" fontId="31" fillId="0" borderId="0" xfId="23" applyNumberFormat="1" applyFont="1" applyAlignment="1">
      <alignment horizontal="left" vertical="top"/>
    </xf>
    <xf numFmtId="164" fontId="4" fillId="0" borderId="1" xfId="4" applyNumberFormat="1" applyBorder="1" applyAlignment="1">
      <alignment horizontal="center"/>
    </xf>
    <xf numFmtId="0" fontId="0" fillId="0" borderId="1" xfId="0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9" fontId="8" fillId="0" borderId="0" xfId="12" applyFont="1"/>
    <xf numFmtId="9" fontId="9" fillId="0" borderId="0" xfId="0" applyNumberFormat="1" applyFont="1" applyAlignment="1">
      <alignment wrapText="1"/>
    </xf>
    <xf numFmtId="9" fontId="6" fillId="0" borderId="0" xfId="0" applyNumberFormat="1" applyFont="1"/>
    <xf numFmtId="164" fontId="4" fillId="0" borderId="0" xfId="4" applyNumberFormat="1" applyAlignment="1">
      <alignment vertical="center"/>
    </xf>
    <xf numFmtId="0" fontId="0" fillId="14" borderId="0" xfId="0" applyFill="1"/>
    <xf numFmtId="0" fontId="33" fillId="14" borderId="0" xfId="0" applyFont="1" applyFill="1" applyAlignment="1">
      <alignment vertical="center"/>
    </xf>
    <xf numFmtId="0" fontId="15" fillId="14" borderId="0" xfId="0" applyFont="1" applyFill="1" applyAlignment="1">
      <alignment vertical="center"/>
    </xf>
    <xf numFmtId="0" fontId="33" fillId="7" borderId="30" xfId="10" applyFont="1" applyFill="1" applyBorder="1" applyAlignment="1">
      <alignment horizontal="left" indent="1"/>
    </xf>
    <xf numFmtId="0" fontId="15" fillId="7" borderId="31" xfId="10" applyFont="1" applyFill="1" applyBorder="1" applyAlignment="1">
      <alignment horizontal="left"/>
    </xf>
    <xf numFmtId="0" fontId="15" fillId="7" borderId="32" xfId="10" applyFont="1" applyFill="1" applyBorder="1" applyAlignment="1">
      <alignment horizontal="left"/>
    </xf>
    <xf numFmtId="0" fontId="4" fillId="0" borderId="5" xfId="10" applyBorder="1"/>
    <xf numFmtId="0" fontId="4" fillId="0" borderId="33" xfId="0" applyFont="1" applyBorder="1" applyAlignment="1">
      <alignment horizontal="right"/>
    </xf>
    <xf numFmtId="170" fontId="29" fillId="0" borderId="0" xfId="10" applyNumberFormat="1" applyFont="1"/>
    <xf numFmtId="165" fontId="29" fillId="0" borderId="0" xfId="1" applyNumberFormat="1" applyFont="1"/>
    <xf numFmtId="43" fontId="29" fillId="0" borderId="0" xfId="10" applyNumberFormat="1" applyFont="1"/>
    <xf numFmtId="0" fontId="29" fillId="0" borderId="0" xfId="10" applyFont="1" applyAlignment="1">
      <alignment horizontal="left" vertical="top" wrapText="1"/>
    </xf>
    <xf numFmtId="0" fontId="29" fillId="0" borderId="33" xfId="10" applyFont="1" applyBorder="1" applyAlignment="1">
      <alignment horizontal="left" vertical="top" wrapText="1"/>
    </xf>
    <xf numFmtId="166" fontId="29" fillId="0" borderId="0" xfId="0" applyNumberFormat="1" applyFont="1"/>
    <xf numFmtId="166" fontId="29" fillId="0" borderId="33" xfId="0" applyNumberFormat="1" applyFont="1" applyBorder="1"/>
    <xf numFmtId="164" fontId="37" fillId="0" borderId="0" xfId="4" applyNumberFormat="1" applyFont="1"/>
    <xf numFmtId="164" fontId="37" fillId="0" borderId="33" xfId="4" applyNumberFormat="1" applyFont="1" applyBorder="1"/>
    <xf numFmtId="0" fontId="29" fillId="0" borderId="33" xfId="0" applyFont="1" applyBorder="1"/>
    <xf numFmtId="166" fontId="29" fillId="0" borderId="0" xfId="2" applyNumberFormat="1" applyFont="1"/>
    <xf numFmtId="166" fontId="29" fillId="0" borderId="33" xfId="2" applyNumberFormat="1" applyFont="1" applyBorder="1"/>
    <xf numFmtId="0" fontId="0" fillId="0" borderId="35" xfId="0" applyBorder="1"/>
    <xf numFmtId="166" fontId="27" fillId="0" borderId="0" xfId="2" applyNumberFormat="1" applyFont="1"/>
    <xf numFmtId="10" fontId="29" fillId="0" borderId="0" xfId="4" applyNumberFormat="1" applyFont="1"/>
    <xf numFmtId="0" fontId="38" fillId="0" borderId="5" xfId="0" applyFont="1" applyBorder="1" applyAlignment="1">
      <alignment horizontal="left" indent="1"/>
    </xf>
    <xf numFmtId="0" fontId="38" fillId="0" borderId="0" xfId="0" applyFont="1" applyAlignment="1">
      <alignment horizontal="right"/>
    </xf>
    <xf numFmtId="0" fontId="38" fillId="0" borderId="33" xfId="0" applyFont="1" applyBorder="1" applyAlignment="1">
      <alignment horizontal="left"/>
    </xf>
    <xf numFmtId="0" fontId="38" fillId="0" borderId="5" xfId="10" applyFont="1" applyBorder="1" applyAlignment="1">
      <alignment horizontal="left" indent="1"/>
    </xf>
    <xf numFmtId="0" fontId="38" fillId="0" borderId="5" xfId="10" applyFont="1" applyBorder="1" applyAlignment="1">
      <alignment horizontal="left" vertical="top" indent="1"/>
    </xf>
    <xf numFmtId="0" fontId="38" fillId="3" borderId="5" xfId="10" applyFont="1" applyFill="1" applyBorder="1" applyAlignment="1">
      <alignment horizontal="left" indent="1"/>
    </xf>
    <xf numFmtId="0" fontId="29" fillId="3" borderId="0" xfId="0" applyFont="1" applyFill="1"/>
    <xf numFmtId="166" fontId="29" fillId="3" borderId="34" xfId="10" applyNumberFormat="1" applyFont="1" applyFill="1" applyBorder="1"/>
    <xf numFmtId="0" fontId="39" fillId="0" borderId="0" xfId="0" applyFont="1" applyAlignment="1">
      <alignment vertical="center"/>
    </xf>
    <xf numFmtId="0" fontId="40" fillId="0" borderId="8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Continuous" vertical="center" wrapText="1"/>
    </xf>
    <xf numFmtId="0" fontId="6" fillId="0" borderId="8" xfId="0" applyFont="1" applyBorder="1" applyAlignment="1">
      <alignment horizontal="centerContinuous"/>
    </xf>
    <xf numFmtId="0" fontId="40" fillId="0" borderId="10" xfId="0" applyFont="1" applyBorder="1" applyAlignment="1">
      <alignment horizontal="center" vertical="center" wrapText="1"/>
    </xf>
    <xf numFmtId="166" fontId="29" fillId="0" borderId="0" xfId="0" applyNumberFormat="1" applyFont="1" applyAlignment="1">
      <alignment horizontal="left"/>
    </xf>
    <xf numFmtId="0" fontId="38" fillId="0" borderId="0" xfId="0" applyFont="1" applyAlignment="1">
      <alignment horizontal="right" indent="1"/>
    </xf>
    <xf numFmtId="164" fontId="29" fillId="0" borderId="33" xfId="4" applyNumberFormat="1" applyFont="1" applyBorder="1" applyAlignment="1">
      <alignment horizontal="left"/>
    </xf>
    <xf numFmtId="166" fontId="41" fillId="0" borderId="0" xfId="2" applyNumberFormat="1" applyFont="1"/>
    <xf numFmtId="0" fontId="38" fillId="12" borderId="21" xfId="0" applyFont="1" applyFill="1" applyBorder="1" applyAlignment="1">
      <alignment horizontal="left" indent="1"/>
    </xf>
    <xf numFmtId="0" fontId="0" fillId="12" borderId="35" xfId="0" applyFill="1" applyBorder="1"/>
    <xf numFmtId="166" fontId="29" fillId="12" borderId="35" xfId="0" applyNumberFormat="1" applyFont="1" applyFill="1" applyBorder="1" applyAlignment="1">
      <alignment horizontal="left"/>
    </xf>
    <xf numFmtId="0" fontId="0" fillId="0" borderId="6" xfId="0" applyBorder="1"/>
    <xf numFmtId="0" fontId="42" fillId="8" borderId="0" xfId="0" applyFont="1" applyFill="1" applyAlignment="1">
      <alignment horizontal="left" indent="1"/>
    </xf>
    <xf numFmtId="9" fontId="43" fillId="8" borderId="0" xfId="0" applyNumberFormat="1" applyFont="1" applyFill="1"/>
    <xf numFmtId="164" fontId="15" fillId="8" borderId="0" xfId="4" applyNumberFormat="1" applyFont="1" applyFill="1"/>
    <xf numFmtId="165" fontId="15" fillId="8" borderId="0" xfId="1" applyNumberFormat="1" applyFont="1" applyFill="1"/>
    <xf numFmtId="0" fontId="44" fillId="8" borderId="0" xfId="0" applyFont="1" applyFill="1" applyAlignment="1">
      <alignment horizontal="left" indent="1"/>
    </xf>
    <xf numFmtId="165" fontId="13" fillId="8" borderId="0" xfId="1" applyNumberFormat="1" applyFont="1" applyFill="1"/>
    <xf numFmtId="0" fontId="0" fillId="0" borderId="36" xfId="0" applyBorder="1"/>
    <xf numFmtId="0" fontId="6" fillId="0" borderId="25" xfId="0" applyFont="1" applyBorder="1"/>
    <xf numFmtId="0" fontId="6" fillId="0" borderId="26" xfId="0" applyFont="1" applyBorder="1"/>
    <xf numFmtId="0" fontId="6" fillId="0" borderId="1" xfId="0" applyFont="1" applyBorder="1"/>
    <xf numFmtId="0" fontId="6" fillId="0" borderId="38" xfId="0" applyFont="1" applyBorder="1"/>
    <xf numFmtId="0" fontId="6" fillId="0" borderId="39" xfId="0" applyFont="1" applyBorder="1" applyAlignment="1">
      <alignment horizontal="right"/>
    </xf>
    <xf numFmtId="0" fontId="0" fillId="0" borderId="25" xfId="0" applyBorder="1"/>
    <xf numFmtId="167" fontId="4" fillId="0" borderId="25" xfId="4" applyNumberFormat="1" applyBorder="1" applyAlignment="1">
      <alignment horizontal="right"/>
    </xf>
    <xf numFmtId="0" fontId="0" fillId="0" borderId="2" xfId="0" applyBorder="1"/>
    <xf numFmtId="0" fontId="0" fillId="0" borderId="26" xfId="0" applyBorder="1"/>
    <xf numFmtId="167" fontId="0" fillId="0" borderId="0" xfId="4" applyNumberFormat="1" applyFont="1"/>
    <xf numFmtId="166" fontId="0" fillId="0" borderId="36" xfId="0" applyNumberFormat="1" applyBorder="1"/>
    <xf numFmtId="166" fontId="0" fillId="0" borderId="2" xfId="2" applyNumberFormat="1" applyFont="1" applyBorder="1"/>
    <xf numFmtId="166" fontId="0" fillId="0" borderId="37" xfId="2" applyNumberFormat="1" applyFont="1" applyBorder="1"/>
    <xf numFmtId="0" fontId="4" fillId="0" borderId="2" xfId="0" applyFont="1" applyBorder="1" applyAlignment="1">
      <alignment horizontal="right"/>
    </xf>
    <xf numFmtId="166" fontId="0" fillId="0" borderId="22" xfId="0" applyNumberFormat="1" applyBorder="1"/>
    <xf numFmtId="166" fontId="0" fillId="0" borderId="37" xfId="0" applyNumberFormat="1" applyBorder="1"/>
    <xf numFmtId="0" fontId="4" fillId="0" borderId="37" xfId="0" applyFont="1" applyBorder="1"/>
    <xf numFmtId="0" fontId="4" fillId="0" borderId="12" xfId="0" applyFont="1" applyBorder="1" applyAlignment="1">
      <alignment horizontal="right"/>
    </xf>
    <xf numFmtId="166" fontId="0" fillId="0" borderId="22" xfId="2" applyNumberFormat="1" applyFont="1" applyBorder="1"/>
    <xf numFmtId="0" fontId="6" fillId="0" borderId="0" xfId="0" applyFont="1" applyAlignment="1">
      <alignment horizontal="center"/>
    </xf>
    <xf numFmtId="165" fontId="9" fillId="9" borderId="0" xfId="1" applyNumberFormat="1" applyFont="1" applyFill="1"/>
    <xf numFmtId="165" fontId="4" fillId="9" borderId="0" xfId="1" applyNumberFormat="1" applyFill="1"/>
    <xf numFmtId="165" fontId="4" fillId="9" borderId="1" xfId="1" applyNumberFormat="1" applyFill="1" applyBorder="1"/>
    <xf numFmtId="165" fontId="20" fillId="9" borderId="0" xfId="1" applyNumberFormat="1" applyFont="1" applyFill="1" applyAlignment="1">
      <alignment horizontal="center"/>
    </xf>
    <xf numFmtId="165" fontId="4" fillId="9" borderId="0" xfId="1" applyNumberFormat="1" applyFill="1" applyAlignment="1">
      <alignment horizontal="center"/>
    </xf>
    <xf numFmtId="165" fontId="19" fillId="9" borderId="7" xfId="1" applyNumberFormat="1" applyFont="1" applyFill="1" applyBorder="1"/>
    <xf numFmtId="165" fontId="6" fillId="0" borderId="7" xfId="1" applyNumberFormat="1" applyFont="1" applyBorder="1"/>
    <xf numFmtId="165" fontId="6" fillId="0" borderId="11" xfId="1" applyNumberFormat="1" applyFont="1" applyBorder="1"/>
    <xf numFmtId="165" fontId="9" fillId="9" borderId="1" xfId="1" applyNumberFormat="1" applyFont="1" applyFill="1" applyBorder="1"/>
    <xf numFmtId="165" fontId="19" fillId="9" borderId="0" xfId="1" applyNumberFormat="1" applyFont="1" applyFill="1"/>
    <xf numFmtId="165" fontId="6" fillId="0" borderId="13" xfId="1" applyNumberFormat="1" applyFont="1" applyBorder="1"/>
    <xf numFmtId="165" fontId="6" fillId="0" borderId="3" xfId="1" applyNumberFormat="1" applyFont="1" applyBorder="1"/>
    <xf numFmtId="165" fontId="7" fillId="0" borderId="2" xfId="1" applyNumberFormat="1" applyFont="1" applyBorder="1"/>
    <xf numFmtId="165" fontId="18" fillId="0" borderId="0" xfId="1" applyNumberFormat="1" applyFont="1"/>
    <xf numFmtId="165" fontId="6" fillId="0" borderId="19" xfId="1" applyNumberFormat="1" applyFont="1" applyBorder="1"/>
    <xf numFmtId="165" fontId="18" fillId="9" borderId="0" xfId="1" applyNumberFormat="1" applyFont="1" applyFill="1"/>
    <xf numFmtId="165" fontId="4" fillId="0" borderId="12" xfId="1" applyNumberFormat="1" applyBorder="1"/>
    <xf numFmtId="165" fontId="4" fillId="9" borderId="7" xfId="1" applyNumberFormat="1" applyFill="1" applyBorder="1"/>
    <xf numFmtId="165" fontId="4" fillId="0" borderId="11" xfId="1" applyNumberFormat="1" applyBorder="1"/>
    <xf numFmtId="0" fontId="21" fillId="0" borderId="2" xfId="0" applyFont="1" applyBorder="1" applyAlignment="1">
      <alignment horizontal="right"/>
    </xf>
    <xf numFmtId="1" fontId="4" fillId="0" borderId="2" xfId="12" applyNumberFormat="1" applyBorder="1" applyAlignment="1">
      <alignment horizontal="right"/>
    </xf>
    <xf numFmtId="165" fontId="4" fillId="0" borderId="7" xfId="1" applyNumberFormat="1" applyBorder="1"/>
    <xf numFmtId="165" fontId="4" fillId="0" borderId="19" xfId="1" applyNumberFormat="1" applyBorder="1"/>
    <xf numFmtId="165" fontId="0" fillId="12" borderId="1" xfId="1" applyNumberFormat="1" applyFont="1" applyFill="1" applyBorder="1"/>
    <xf numFmtId="165" fontId="4" fillId="3" borderId="1" xfId="1" applyNumberFormat="1" applyFill="1" applyBorder="1"/>
    <xf numFmtId="165" fontId="0" fillId="0" borderId="0" xfId="1" applyNumberFormat="1" applyFont="1"/>
    <xf numFmtId="165" fontId="4" fillId="0" borderId="0" xfId="1" applyNumberFormat="1" applyAlignment="1">
      <alignment horizontal="right" vertical="center"/>
    </xf>
    <xf numFmtId="0" fontId="47" fillId="15" borderId="0" xfId="24" applyFill="1"/>
    <xf numFmtId="164" fontId="8" fillId="0" borderId="0" xfId="15" applyNumberFormat="1" applyFont="1"/>
    <xf numFmtId="6" fontId="8" fillId="0" borderId="2" xfId="12" applyNumberFormat="1" applyFont="1" applyBorder="1" applyAlignment="1">
      <alignment horizontal="right"/>
    </xf>
    <xf numFmtId="164" fontId="4" fillId="0" borderId="0" xfId="0" applyNumberFormat="1" applyFont="1" applyAlignment="1">
      <alignment horizontal="center"/>
    </xf>
    <xf numFmtId="165" fontId="4" fillId="0" borderId="41" xfId="1" applyNumberFormat="1" applyBorder="1"/>
    <xf numFmtId="165" fontId="4" fillId="0" borderId="42" xfId="1" applyNumberFormat="1" applyBorder="1"/>
    <xf numFmtId="6" fontId="8" fillId="0" borderId="0" xfId="15" applyNumberFormat="1" applyFont="1"/>
    <xf numFmtId="9" fontId="18" fillId="0" borderId="0" xfId="4" applyFont="1" applyAlignment="1">
      <alignment horizontal="right"/>
    </xf>
    <xf numFmtId="10" fontId="48" fillId="0" borderId="0" xfId="4" applyNumberFormat="1" applyFont="1"/>
    <xf numFmtId="0" fontId="3" fillId="0" borderId="0" xfId="27"/>
    <xf numFmtId="0" fontId="53" fillId="0" borderId="0" xfId="27" applyFont="1"/>
    <xf numFmtId="0" fontId="49" fillId="0" borderId="0" xfId="25" applyFont="1" applyFill="1" applyAlignment="1">
      <alignment horizontal="center"/>
    </xf>
    <xf numFmtId="0" fontId="53" fillId="0" borderId="0" xfId="27" applyFont="1" applyAlignment="1">
      <alignment horizontal="center"/>
    </xf>
    <xf numFmtId="0" fontId="3" fillId="0" borderId="0" xfId="27" applyAlignment="1">
      <alignment horizontal="center"/>
    </xf>
    <xf numFmtId="0" fontId="54" fillId="0" borderId="0" xfId="27" applyFont="1" applyAlignment="1">
      <alignment horizontal="right"/>
    </xf>
    <xf numFmtId="14" fontId="53" fillId="0" borderId="0" xfId="27" applyNumberFormat="1" applyFont="1"/>
    <xf numFmtId="0" fontId="54" fillId="0" borderId="0" xfId="27" applyFont="1"/>
    <xf numFmtId="0" fontId="55" fillId="0" borderId="0" xfId="27" applyFont="1" applyAlignment="1">
      <alignment horizontal="right"/>
    </xf>
    <xf numFmtId="0" fontId="55" fillId="0" borderId="0" xfId="27" applyFont="1" applyAlignment="1">
      <alignment horizontal="left"/>
    </xf>
    <xf numFmtId="0" fontId="52" fillId="0" borderId="0" xfId="27" applyFont="1"/>
    <xf numFmtId="0" fontId="52" fillId="0" borderId="0" xfId="27" applyFont="1" applyAlignment="1">
      <alignment horizontal="center"/>
    </xf>
    <xf numFmtId="0" fontId="52" fillId="0" borderId="35" xfId="27" applyFont="1" applyBorder="1" applyAlignment="1">
      <alignment horizontal="center"/>
    </xf>
    <xf numFmtId="0" fontId="52" fillId="0" borderId="35" xfId="27" applyFont="1" applyBorder="1"/>
    <xf numFmtId="0" fontId="3" fillId="4" borderId="43" xfId="27" applyFill="1" applyBorder="1"/>
    <xf numFmtId="0" fontId="3" fillId="12" borderId="43" xfId="27" applyFill="1" applyBorder="1" applyAlignment="1">
      <alignment horizontal="center"/>
    </xf>
    <xf numFmtId="6" fontId="3" fillId="4" borderId="43" xfId="27" applyNumberFormat="1" applyFill="1" applyBorder="1"/>
    <xf numFmtId="6" fontId="3" fillId="0" borderId="22" xfId="27" applyNumberFormat="1" applyBorder="1"/>
    <xf numFmtId="0" fontId="3" fillId="4" borderId="22" xfId="27" applyFill="1" applyBorder="1"/>
    <xf numFmtId="0" fontId="3" fillId="12" borderId="22" xfId="27" applyFill="1" applyBorder="1" applyAlignment="1">
      <alignment horizontal="center"/>
    </xf>
    <xf numFmtId="6" fontId="3" fillId="4" borderId="22" xfId="27" applyNumberFormat="1" applyFill="1" applyBorder="1"/>
    <xf numFmtId="0" fontId="3" fillId="0" borderId="22" xfId="27" applyBorder="1"/>
    <xf numFmtId="0" fontId="3" fillId="0" borderId="43" xfId="27" applyBorder="1"/>
    <xf numFmtId="0" fontId="56" fillId="0" borderId="0" xfId="27" applyFont="1"/>
    <xf numFmtId="0" fontId="56" fillId="0" borderId="0" xfId="27" applyFont="1" applyAlignment="1">
      <alignment horizontal="center"/>
    </xf>
    <xf numFmtId="6" fontId="56" fillId="0" borderId="0" xfId="27" applyNumberFormat="1" applyFont="1"/>
    <xf numFmtId="0" fontId="49" fillId="0" borderId="0" xfId="25" applyFont="1" applyFill="1"/>
    <xf numFmtId="0" fontId="34" fillId="0" borderId="0" xfId="25" applyFont="1" applyFill="1"/>
    <xf numFmtId="0" fontId="57" fillId="0" borderId="0" xfId="27" applyFont="1"/>
    <xf numFmtId="0" fontId="23" fillId="0" borderId="0" xfId="27" applyFont="1"/>
    <xf numFmtId="0" fontId="48" fillId="0" borderId="0" xfId="27" applyFont="1" applyAlignment="1">
      <alignment horizontal="center"/>
    </xf>
    <xf numFmtId="0" fontId="4" fillId="0" borderId="0" xfId="27" applyFont="1" applyAlignment="1">
      <alignment horizontal="left" indent="1"/>
    </xf>
    <xf numFmtId="6" fontId="23" fillId="0" borderId="0" xfId="27" applyNumberFormat="1" applyFont="1" applyAlignment="1">
      <alignment horizontal="right"/>
    </xf>
    <xf numFmtId="6" fontId="23" fillId="0" borderId="0" xfId="25" applyNumberFormat="1" applyFont="1" applyFill="1" applyAlignment="1">
      <alignment horizontal="right"/>
    </xf>
    <xf numFmtId="6" fontId="23" fillId="4" borderId="44" xfId="25" applyNumberFormat="1" applyFont="1" applyFill="1" applyBorder="1" applyAlignment="1">
      <alignment horizontal="right"/>
    </xf>
    <xf numFmtId="0" fontId="58" fillId="0" borderId="0" xfId="27" applyFont="1"/>
    <xf numFmtId="6" fontId="23" fillId="4" borderId="45" xfId="25" applyNumberFormat="1" applyFont="1" applyFill="1" applyBorder="1" applyAlignment="1">
      <alignment horizontal="right"/>
    </xf>
    <xf numFmtId="164" fontId="58" fillId="0" borderId="0" xfId="27" applyNumberFormat="1" applyFont="1"/>
    <xf numFmtId="0" fontId="6" fillId="0" borderId="0" xfId="27" applyFont="1" applyAlignment="1">
      <alignment horizontal="left" indent="1"/>
    </xf>
    <xf numFmtId="6" fontId="23" fillId="0" borderId="42" xfId="25" applyNumberFormat="1" applyFont="1" applyFill="1" applyBorder="1" applyAlignment="1">
      <alignment horizontal="right"/>
    </xf>
    <xf numFmtId="6" fontId="58" fillId="0" borderId="0" xfId="27" applyNumberFormat="1" applyFont="1"/>
    <xf numFmtId="0" fontId="59" fillId="0" borderId="0" xfId="27" applyFont="1" applyAlignment="1">
      <alignment horizontal="right" indent="1"/>
    </xf>
    <xf numFmtId="0" fontId="34" fillId="0" borderId="0" xfId="25" applyFont="1" applyFill="1" applyAlignment="1">
      <alignment horizontal="right"/>
    </xf>
    <xf numFmtId="0" fontId="6" fillId="0" borderId="0" xfId="27" applyFont="1" applyAlignment="1">
      <alignment horizontal="left"/>
    </xf>
    <xf numFmtId="0" fontId="23" fillId="0" borderId="0" xfId="25" applyFont="1" applyFill="1"/>
    <xf numFmtId="6" fontId="23" fillId="4" borderId="0" xfId="25" applyNumberFormat="1" applyFont="1" applyFill="1" applyAlignment="1">
      <alignment horizontal="right"/>
    </xf>
    <xf numFmtId="6" fontId="23" fillId="0" borderId="46" xfId="25" applyNumberFormat="1" applyFont="1" applyFill="1" applyBorder="1" applyAlignment="1">
      <alignment horizontal="right"/>
    </xf>
    <xf numFmtId="0" fontId="60" fillId="0" borderId="0" xfId="27" applyFont="1"/>
    <xf numFmtId="0" fontId="23" fillId="0" borderId="0" xfId="27" applyFont="1" applyAlignment="1">
      <alignment horizontal="center"/>
    </xf>
    <xf numFmtId="0" fontId="52" fillId="0" borderId="35" xfId="27" applyFont="1" applyBorder="1" applyAlignment="1">
      <alignment wrapText="1"/>
    </xf>
    <xf numFmtId="0" fontId="4" fillId="0" borderId="44" xfId="27" applyFont="1" applyBorder="1" applyAlignment="1">
      <alignment horizontal="left" indent="1"/>
    </xf>
    <xf numFmtId="6" fontId="3" fillId="0" borderId="47" xfId="27" applyNumberFormat="1" applyBorder="1"/>
    <xf numFmtId="6" fontId="3" fillId="4" borderId="47" xfId="27" applyNumberFormat="1" applyFill="1" applyBorder="1"/>
    <xf numFmtId="6" fontId="23" fillId="0" borderId="0" xfId="27" applyNumberFormat="1" applyFont="1"/>
    <xf numFmtId="6" fontId="3" fillId="0" borderId="44" xfId="27" applyNumberFormat="1" applyBorder="1"/>
    <xf numFmtId="6" fontId="3" fillId="4" borderId="44" xfId="27" applyNumberFormat="1" applyFill="1" applyBorder="1"/>
    <xf numFmtId="0" fontId="3" fillId="0" borderId="44" xfId="27" applyBorder="1" applyAlignment="1">
      <alignment horizontal="left" indent="1"/>
    </xf>
    <xf numFmtId="6" fontId="3" fillId="0" borderId="0" xfId="27" applyNumberFormat="1"/>
    <xf numFmtId="6" fontId="3" fillId="0" borderId="45" xfId="27" applyNumberFormat="1" applyBorder="1"/>
    <xf numFmtId="6" fontId="3" fillId="4" borderId="45" xfId="27" applyNumberFormat="1" applyFill="1" applyBorder="1"/>
    <xf numFmtId="0" fontId="6" fillId="0" borderId="44" xfId="27" applyFont="1" applyBorder="1" applyAlignment="1">
      <alignment horizontal="left"/>
    </xf>
    <xf numFmtId="6" fontId="52" fillId="0" borderId="46" xfId="27" applyNumberFormat="1" applyFont="1" applyBorder="1"/>
    <xf numFmtId="6" fontId="61" fillId="0" borderId="0" xfId="27" applyNumberFormat="1" applyFont="1"/>
    <xf numFmtId="0" fontId="58" fillId="0" borderId="0" xfId="27" applyFont="1" applyAlignment="1">
      <alignment horizontal="right" indent="1"/>
    </xf>
    <xf numFmtId="164" fontId="61" fillId="0" borderId="0" xfId="27" applyNumberFormat="1" applyFont="1"/>
    <xf numFmtId="164" fontId="3" fillId="0" borderId="0" xfId="27" applyNumberFormat="1"/>
    <xf numFmtId="0" fontId="62" fillId="0" borderId="0" xfId="27" applyFont="1" applyAlignment="1">
      <alignment horizontal="right" indent="1"/>
    </xf>
    <xf numFmtId="9" fontId="62" fillId="0" borderId="0" xfId="27" applyNumberFormat="1" applyFont="1"/>
    <xf numFmtId="164" fontId="57" fillId="0" borderId="0" xfId="27" applyNumberFormat="1" applyFont="1"/>
    <xf numFmtId="6" fontId="3" fillId="0" borderId="48" xfId="27" applyNumberFormat="1" applyBorder="1"/>
    <xf numFmtId="0" fontId="4" fillId="0" borderId="0" xfId="27" applyFont="1" applyAlignment="1">
      <alignment horizontal="center"/>
    </xf>
    <xf numFmtId="0" fontId="4" fillId="18" borderId="0" xfId="27" applyFont="1" applyFill="1" applyAlignment="1">
      <alignment horizontal="center"/>
    </xf>
    <xf numFmtId="0" fontId="4" fillId="18" borderId="0" xfId="27" applyFont="1" applyFill="1" applyAlignment="1">
      <alignment horizontal="left" indent="1"/>
    </xf>
    <xf numFmtId="0" fontId="3" fillId="18" borderId="0" xfId="27" applyFill="1"/>
    <xf numFmtId="0" fontId="51" fillId="0" borderId="0" xfId="27" applyFont="1"/>
    <xf numFmtId="0" fontId="3" fillId="0" borderId="35" xfId="27" applyBorder="1"/>
    <xf numFmtId="0" fontId="3" fillId="18" borderId="0" xfId="27" applyFill="1" applyAlignment="1">
      <alignment horizontal="left" indent="1"/>
    </xf>
    <xf numFmtId="3" fontId="8" fillId="0" borderId="0" xfId="15" applyNumberFormat="1" applyFont="1" applyAlignment="1">
      <alignment horizontal="center"/>
    </xf>
    <xf numFmtId="165" fontId="18" fillId="0" borderId="0" xfId="1" applyNumberFormat="1" applyFont="1" applyAlignment="1">
      <alignment horizontal="right"/>
    </xf>
    <xf numFmtId="0" fontId="2" fillId="0" borderId="0" xfId="27" applyFont="1"/>
    <xf numFmtId="8" fontId="3" fillId="0" borderId="0" xfId="27" applyNumberFormat="1"/>
    <xf numFmtId="9" fontId="3" fillId="0" borderId="0" xfId="27" applyNumberFormat="1"/>
    <xf numFmtId="0" fontId="3" fillId="19" borderId="0" xfId="27" applyFill="1"/>
    <xf numFmtId="0" fontId="64" fillId="19" borderId="0" xfId="27" applyFont="1" applyFill="1"/>
    <xf numFmtId="0" fontId="52" fillId="0" borderId="1" xfId="27" applyFont="1" applyBorder="1"/>
    <xf numFmtId="8" fontId="3" fillId="0" borderId="42" xfId="27" applyNumberFormat="1" applyBorder="1"/>
    <xf numFmtId="0" fontId="6" fillId="0" borderId="36" xfId="10" applyFont="1" applyBorder="1" applyAlignment="1">
      <alignment horizontal="center"/>
    </xf>
    <xf numFmtId="165" fontId="0" fillId="0" borderId="49" xfId="13" applyNumberFormat="1" applyFont="1" applyBorder="1"/>
    <xf numFmtId="0" fontId="66" fillId="0" borderId="0" xfId="10" applyFont="1" applyAlignment="1">
      <alignment horizontal="center"/>
    </xf>
    <xf numFmtId="165" fontId="4" fillId="0" borderId="0" xfId="10" applyNumberFormat="1"/>
    <xf numFmtId="166" fontId="19" fillId="0" borderId="0" xfId="10" applyNumberFormat="1" applyFont="1" applyAlignment="1">
      <alignment horizontal="center"/>
    </xf>
    <xf numFmtId="43" fontId="6" fillId="0" borderId="36" xfId="10" applyNumberFormat="1" applyFont="1" applyBorder="1" applyAlignment="1">
      <alignment horizontal="center"/>
    </xf>
    <xf numFmtId="0" fontId="25" fillId="0" borderId="22" xfId="10" applyFont="1" applyBorder="1" applyAlignment="1">
      <alignment horizontal="center"/>
    </xf>
    <xf numFmtId="166" fontId="18" fillId="0" borderId="0" xfId="10" applyNumberFormat="1" applyFont="1"/>
    <xf numFmtId="0" fontId="18" fillId="0" borderId="0" xfId="10" applyFont="1" applyAlignment="1">
      <alignment horizontal="right"/>
    </xf>
    <xf numFmtId="2" fontId="18" fillId="0" borderId="0" xfId="10" applyNumberFormat="1" applyFont="1" applyAlignment="1">
      <alignment horizontal="right"/>
    </xf>
    <xf numFmtId="0" fontId="63" fillId="0" borderId="0" xfId="0" applyFont="1" applyAlignment="1">
      <alignment horizontal="right"/>
    </xf>
    <xf numFmtId="0" fontId="67" fillId="0" borderId="2" xfId="0" applyFont="1" applyBorder="1" applyAlignment="1">
      <alignment horizontal="right"/>
    </xf>
    <xf numFmtId="165" fontId="67" fillId="0" borderId="0" xfId="1" applyNumberFormat="1" applyFont="1"/>
    <xf numFmtId="0" fontId="68" fillId="9" borderId="2" xfId="0" applyFont="1" applyFill="1" applyBorder="1" applyAlignment="1">
      <alignment horizontal="right"/>
    </xf>
    <xf numFmtId="165" fontId="68" fillId="9" borderId="0" xfId="1" applyNumberFormat="1" applyFont="1" applyFill="1"/>
    <xf numFmtId="165" fontId="8" fillId="0" borderId="0" xfId="1" applyNumberFormat="1" applyFont="1"/>
    <xf numFmtId="0" fontId="15" fillId="7" borderId="41" xfId="0" applyFont="1" applyFill="1" applyBorder="1"/>
    <xf numFmtId="0" fontId="16" fillId="7" borderId="42" xfId="0" applyFont="1" applyFill="1" applyBorder="1"/>
    <xf numFmtId="0" fontId="0" fillId="7" borderId="40" xfId="0" applyFill="1" applyBorder="1"/>
    <xf numFmtId="0" fontId="0" fillId="0" borderId="41" xfId="0" applyBorder="1"/>
    <xf numFmtId="0" fontId="0" fillId="0" borderId="42" xfId="0" applyBorder="1"/>
    <xf numFmtId="166" fontId="0" fillId="0" borderId="40" xfId="0" applyNumberFormat="1" applyBorder="1"/>
    <xf numFmtId="166" fontId="0" fillId="0" borderId="2" xfId="2" applyNumberFormat="1" applyFont="1" applyBorder="1" applyAlignment="1">
      <alignment horizontal="right"/>
    </xf>
    <xf numFmtId="0" fontId="4" fillId="0" borderId="25" xfId="0" applyFont="1" applyBorder="1"/>
    <xf numFmtId="166" fontId="0" fillId="0" borderId="2" xfId="0" applyNumberFormat="1" applyBorder="1"/>
    <xf numFmtId="0" fontId="0" fillId="0" borderId="25" xfId="0" applyBorder="1" applyAlignment="1">
      <alignment horizontal="left"/>
    </xf>
    <xf numFmtId="166" fontId="0" fillId="0" borderId="0" xfId="2" applyNumberFormat="1" applyFont="1"/>
    <xf numFmtId="166" fontId="4" fillId="0" borderId="2" xfId="0" applyNumberFormat="1" applyFont="1" applyBorder="1"/>
    <xf numFmtId="166" fontId="0" fillId="0" borderId="12" xfId="0" applyNumberFormat="1" applyBorder="1"/>
    <xf numFmtId="166" fontId="4" fillId="0" borderId="12" xfId="0" applyNumberFormat="1" applyFont="1" applyBorder="1"/>
    <xf numFmtId="0" fontId="4" fillId="0" borderId="1" xfId="0" applyFont="1" applyBorder="1" applyAlignment="1">
      <alignment horizontal="right"/>
    </xf>
    <xf numFmtId="0" fontId="15" fillId="7" borderId="38" xfId="0" applyFont="1" applyFill="1" applyBorder="1"/>
    <xf numFmtId="0" fontId="0" fillId="7" borderId="46" xfId="0" applyFill="1" applyBorder="1"/>
    <xf numFmtId="0" fontId="0" fillId="7" borderId="39" xfId="0" applyFill="1" applyBorder="1"/>
    <xf numFmtId="0" fontId="6" fillId="0" borderId="4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43" xfId="0" applyFont="1" applyBorder="1"/>
    <xf numFmtId="0" fontId="0" fillId="0" borderId="43" xfId="0" applyBorder="1"/>
    <xf numFmtId="44" fontId="0" fillId="0" borderId="43" xfId="2" applyFont="1" applyBorder="1"/>
    <xf numFmtId="167" fontId="0" fillId="0" borderId="37" xfId="4" applyNumberFormat="1" applyFont="1" applyBorder="1"/>
    <xf numFmtId="44" fontId="0" fillId="0" borderId="37" xfId="2" applyFont="1" applyBorder="1"/>
    <xf numFmtId="44" fontId="0" fillId="0" borderId="22" xfId="2" applyFont="1" applyBorder="1"/>
    <xf numFmtId="44" fontId="0" fillId="0" borderId="37" xfId="0" applyNumberFormat="1" applyBorder="1"/>
    <xf numFmtId="168" fontId="0" fillId="0" borderId="26" xfId="0" applyNumberFormat="1" applyBorder="1"/>
    <xf numFmtId="44" fontId="0" fillId="0" borderId="1" xfId="2" applyFont="1" applyBorder="1"/>
    <xf numFmtId="44" fontId="0" fillId="0" borderId="12" xfId="0" applyNumberFormat="1" applyBorder="1"/>
    <xf numFmtId="0" fontId="15" fillId="7" borderId="42" xfId="0" applyFont="1" applyFill="1" applyBorder="1"/>
    <xf numFmtId="166" fontId="15" fillId="7" borderId="42" xfId="2" applyNumberFormat="1" applyFont="1" applyFill="1" applyBorder="1"/>
    <xf numFmtId="0" fontId="15" fillId="0" borderId="41" xfId="0" applyFont="1" applyBorder="1"/>
    <xf numFmtId="0" fontId="16" fillId="0" borderId="42" xfId="0" applyFont="1" applyBorder="1"/>
    <xf numFmtId="0" fontId="15" fillId="0" borderId="42" xfId="0" applyFont="1" applyBorder="1"/>
    <xf numFmtId="166" fontId="15" fillId="0" borderId="42" xfId="2" applyNumberFormat="1" applyFont="1" applyBorder="1"/>
    <xf numFmtId="0" fontId="6" fillId="0" borderId="46" xfId="0" applyFont="1" applyBorder="1" applyAlignment="1">
      <alignment horizontal="right"/>
    </xf>
    <xf numFmtId="174" fontId="0" fillId="0" borderId="37" xfId="0" applyNumberFormat="1" applyBorder="1"/>
    <xf numFmtId="0" fontId="0" fillId="0" borderId="1" xfId="0" applyBorder="1" applyAlignment="1">
      <alignment horizontal="right"/>
    </xf>
    <xf numFmtId="0" fontId="0" fillId="0" borderId="22" xfId="0" applyBorder="1"/>
    <xf numFmtId="0" fontId="4" fillId="0" borderId="42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165" fontId="4" fillId="0" borderId="37" xfId="1" applyNumberFormat="1" applyBorder="1"/>
    <xf numFmtId="0" fontId="6" fillId="0" borderId="42" xfId="0" applyFont="1" applyBorder="1"/>
    <xf numFmtId="166" fontId="69" fillId="0" borderId="12" xfId="0" applyNumberFormat="1" applyFont="1" applyBorder="1"/>
    <xf numFmtId="0" fontId="4" fillId="0" borderId="0" xfId="0" applyFont="1" applyAlignment="1">
      <alignment horizontal="center" vertical="center"/>
    </xf>
    <xf numFmtId="166" fontId="0" fillId="0" borderId="0" xfId="0" applyNumberFormat="1"/>
    <xf numFmtId="44" fontId="0" fillId="0" borderId="0" xfId="2" applyFont="1"/>
    <xf numFmtId="44" fontId="6" fillId="0" borderId="0" xfId="2" applyFont="1"/>
    <xf numFmtId="9" fontId="0" fillId="0" borderId="0" xfId="0" applyNumberFormat="1"/>
    <xf numFmtId="44" fontId="0" fillId="0" borderId="0" xfId="0" applyNumberFormat="1"/>
    <xf numFmtId="166" fontId="15" fillId="0" borderId="0" xfId="2" applyNumberFormat="1" applyFont="1"/>
    <xf numFmtId="0" fontId="6" fillId="0" borderId="0" xfId="0" applyFont="1" applyAlignment="1">
      <alignment horizontal="right"/>
    </xf>
    <xf numFmtId="174" fontId="0" fillId="0" borderId="0" xfId="0" applyNumberFormat="1"/>
    <xf numFmtId="166" fontId="69" fillId="0" borderId="0" xfId="0" applyNumberFormat="1" applyFont="1"/>
    <xf numFmtId="0" fontId="4" fillId="0" borderId="36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0" fontId="6" fillId="0" borderId="41" xfId="0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49" fillId="16" borderId="0" xfId="25" applyFont="1"/>
    <xf numFmtId="0" fontId="24" fillId="0" borderId="30" xfId="0" applyFont="1" applyBorder="1" applyAlignment="1">
      <alignment horizontal="center"/>
    </xf>
    <xf numFmtId="0" fontId="4" fillId="0" borderId="31" xfId="0" quotePrefix="1" applyFont="1" applyBorder="1" applyAlignment="1">
      <alignment horizontal="left"/>
    </xf>
    <xf numFmtId="0" fontId="4" fillId="0" borderId="31" xfId="0" applyFont="1" applyBorder="1"/>
    <xf numFmtId="0" fontId="3" fillId="0" borderId="32" xfId="27" applyBorder="1"/>
    <xf numFmtId="0" fontId="24" fillId="0" borderId="5" xfId="0" applyFont="1" applyBorder="1" applyAlignment="1">
      <alignment horizontal="center"/>
    </xf>
    <xf numFmtId="0" fontId="4" fillId="0" borderId="0" xfId="0" quotePrefix="1" applyFont="1" applyAlignment="1">
      <alignment horizontal="left"/>
    </xf>
    <xf numFmtId="0" fontId="3" fillId="0" borderId="33" xfId="27" applyBorder="1"/>
    <xf numFmtId="0" fontId="4" fillId="0" borderId="5" xfId="0" applyFont="1" applyBorder="1"/>
    <xf numFmtId="0" fontId="4" fillId="0" borderId="21" xfId="0" applyFont="1" applyBorder="1"/>
    <xf numFmtId="0" fontId="4" fillId="0" borderId="35" xfId="0" quotePrefix="1" applyFont="1" applyBorder="1" applyAlignment="1">
      <alignment horizontal="left"/>
    </xf>
    <xf numFmtId="0" fontId="4" fillId="0" borderId="35" xfId="0" applyFont="1" applyBorder="1"/>
    <xf numFmtId="0" fontId="3" fillId="0" borderId="6" xfId="27" applyBorder="1"/>
    <xf numFmtId="0" fontId="6" fillId="0" borderId="3" xfId="0" applyFont="1" applyBorder="1" applyAlignment="1">
      <alignment horizontal="left"/>
    </xf>
    <xf numFmtId="165" fontId="20" fillId="9" borderId="0" xfId="2" applyNumberFormat="1" applyFont="1" applyFill="1" applyAlignment="1">
      <alignment horizontal="center"/>
    </xf>
    <xf numFmtId="0" fontId="7" fillId="0" borderId="0" xfId="0" applyFont="1" applyAlignment="1">
      <alignment horizontal="left" indent="1"/>
    </xf>
    <xf numFmtId="165" fontId="4" fillId="0" borderId="25" xfId="1" applyNumberFormat="1" applyBorder="1"/>
    <xf numFmtId="165" fontId="4" fillId="0" borderId="26" xfId="1" applyNumberFormat="1" applyBorder="1"/>
    <xf numFmtId="165" fontId="18" fillId="9" borderId="0" xfId="1" applyNumberFormat="1" applyFont="1" applyFill="1" applyAlignment="1">
      <alignment horizontal="right"/>
    </xf>
    <xf numFmtId="0" fontId="48" fillId="0" borderId="0" xfId="0" applyFont="1" applyAlignment="1">
      <alignment horizontal="right"/>
    </xf>
    <xf numFmtId="0" fontId="65" fillId="0" borderId="26" xfId="10" applyFont="1" applyBorder="1" applyAlignment="1">
      <alignment horizontal="center"/>
    </xf>
    <xf numFmtId="10" fontId="9" fillId="0" borderId="0" xfId="4" applyNumberFormat="1" applyFont="1"/>
    <xf numFmtId="166" fontId="18" fillId="0" borderId="0" xfId="0" applyNumberFormat="1" applyFont="1" applyAlignment="1">
      <alignment horizontal="right"/>
    </xf>
    <xf numFmtId="166" fontId="6" fillId="0" borderId="0" xfId="0" applyNumberFormat="1" applyFont="1"/>
    <xf numFmtId="165" fontId="6" fillId="9" borderId="7" xfId="1" applyNumberFormat="1" applyFont="1" applyFill="1" applyBorder="1"/>
    <xf numFmtId="0" fontId="70" fillId="0" borderId="35" xfId="0" applyFont="1" applyBorder="1" applyAlignment="1">
      <alignment horizontal="center" vertical="top" wrapText="1"/>
    </xf>
    <xf numFmtId="0" fontId="70" fillId="0" borderId="35" xfId="0" applyFont="1" applyBorder="1" applyAlignment="1">
      <alignment horizontal="left" indent="1"/>
    </xf>
    <xf numFmtId="0" fontId="70" fillId="0" borderId="31" xfId="0" applyFont="1" applyBorder="1" applyAlignment="1">
      <alignment horizontal="left"/>
    </xf>
    <xf numFmtId="0" fontId="70" fillId="0" borderId="0" xfId="0" applyFont="1" applyAlignment="1">
      <alignment horizontal="left" vertical="top"/>
    </xf>
    <xf numFmtId="0" fontId="70" fillId="0" borderId="0" xfId="0" applyFont="1" applyAlignment="1">
      <alignment horizontal="left"/>
    </xf>
    <xf numFmtId="0" fontId="0" fillId="0" borderId="0" xfId="0" applyAlignment="1">
      <alignment horizontal="left"/>
    </xf>
    <xf numFmtId="0" fontId="70" fillId="0" borderId="35" xfId="0" applyFont="1" applyBorder="1" applyAlignment="1">
      <alignment horizontal="left"/>
    </xf>
    <xf numFmtId="43" fontId="31" fillId="0" borderId="0" xfId="23" applyFont="1" applyAlignment="1">
      <alignment horizontal="left" vertical="center" wrapText="1"/>
    </xf>
    <xf numFmtId="0" fontId="70" fillId="0" borderId="35" xfId="0" applyFont="1" applyBorder="1" applyAlignment="1">
      <alignment horizontal="center"/>
    </xf>
    <xf numFmtId="0" fontId="0" fillId="0" borderId="0" xfId="0" applyAlignment="1">
      <alignment horizontal="center"/>
    </xf>
    <xf numFmtId="0" fontId="70" fillId="0" borderId="35" xfId="0" applyFont="1" applyBorder="1" applyAlignment="1">
      <alignment horizontal="center" wrapText="1"/>
    </xf>
    <xf numFmtId="0" fontId="70" fillId="0" borderId="31" xfId="0" applyFont="1" applyBorder="1" applyAlignment="1">
      <alignment horizontal="center"/>
    </xf>
    <xf numFmtId="0" fontId="70" fillId="0" borderId="0" xfId="0" applyFont="1" applyAlignment="1">
      <alignment horizontal="center" vertical="top"/>
    </xf>
    <xf numFmtId="0" fontId="70" fillId="0" borderId="0" xfId="0" applyFont="1" applyAlignment="1">
      <alignment horizontal="center"/>
    </xf>
    <xf numFmtId="43" fontId="31" fillId="0" borderId="0" xfId="23" applyFont="1" applyAlignment="1">
      <alignment horizontal="center" vertical="top" wrapText="1"/>
    </xf>
    <xf numFmtId="43" fontId="31" fillId="0" borderId="0" xfId="23" applyFont="1" applyAlignment="1">
      <alignment horizontal="center" vertical="top"/>
    </xf>
    <xf numFmtId="0" fontId="70" fillId="0" borderId="0" xfId="0" applyFont="1" applyAlignment="1">
      <alignment horizontal="left" vertical="top" indent="1"/>
    </xf>
    <xf numFmtId="0" fontId="70" fillId="0" borderId="0" xfId="0" applyFont="1" applyAlignment="1">
      <alignment horizontal="left" vertical="top" indent="4"/>
    </xf>
    <xf numFmtId="0" fontId="70" fillId="0" borderId="0" xfId="0" applyFont="1" applyAlignment="1">
      <alignment horizontal="left" indent="1"/>
    </xf>
    <xf numFmtId="44" fontId="4" fillId="0" borderId="0" xfId="2" applyAlignment="1">
      <alignment horizontal="left" vertical="top"/>
    </xf>
    <xf numFmtId="44" fontId="4" fillId="0" borderId="0" xfId="2" applyAlignment="1">
      <alignment vertical="top" wrapText="1"/>
    </xf>
    <xf numFmtId="44" fontId="4" fillId="0" borderId="0" xfId="2" applyAlignment="1">
      <alignment vertical="center" wrapText="1"/>
    </xf>
    <xf numFmtId="44" fontId="4" fillId="0" borderId="0" xfId="2" applyAlignment="1">
      <alignment horizontal="left" vertical="top" wrapText="1"/>
    </xf>
    <xf numFmtId="44" fontId="4" fillId="0" borderId="35" xfId="2" applyBorder="1" applyAlignment="1">
      <alignment horizontal="left" wrapText="1"/>
    </xf>
    <xf numFmtId="44" fontId="4" fillId="0" borderId="35" xfId="2" applyBorder="1" applyAlignment="1">
      <alignment horizontal="left"/>
    </xf>
    <xf numFmtId="165" fontId="4" fillId="0" borderId="0" xfId="1" applyNumberFormat="1" applyAlignment="1">
      <alignment vertical="top" wrapText="1"/>
    </xf>
    <xf numFmtId="165" fontId="4" fillId="0" borderId="0" xfId="1" applyNumberFormat="1" applyAlignment="1">
      <alignment vertical="center" wrapText="1"/>
    </xf>
    <xf numFmtId="165" fontId="4" fillId="0" borderId="0" xfId="1" applyNumberFormat="1" applyAlignment="1">
      <alignment horizontal="center" vertical="top"/>
    </xf>
    <xf numFmtId="165" fontId="4" fillId="0" borderId="35" xfId="1" applyNumberFormat="1" applyBorder="1" applyAlignment="1">
      <alignment horizontal="center" wrapText="1"/>
    </xf>
    <xf numFmtId="165" fontId="4" fillId="0" borderId="0" xfId="1" applyNumberFormat="1" applyAlignment="1">
      <alignment horizontal="center" vertical="top" wrapText="1"/>
    </xf>
    <xf numFmtId="165" fontId="4" fillId="0" borderId="0" xfId="1" applyNumberFormat="1" applyAlignment="1">
      <alignment horizontal="center" vertical="center" wrapText="1"/>
    </xf>
    <xf numFmtId="165" fontId="4" fillId="0" borderId="0" xfId="1" applyNumberFormat="1" applyAlignment="1">
      <alignment vertical="top"/>
    </xf>
    <xf numFmtId="165" fontId="4" fillId="0" borderId="35" xfId="1" applyNumberFormat="1" applyBorder="1" applyAlignment="1">
      <alignment wrapText="1"/>
    </xf>
    <xf numFmtId="44" fontId="70" fillId="0" borderId="31" xfId="2" applyFont="1" applyBorder="1" applyAlignment="1">
      <alignment horizontal="right"/>
    </xf>
    <xf numFmtId="44" fontId="70" fillId="0" borderId="0" xfId="2" applyFont="1" applyAlignment="1">
      <alignment horizontal="right" vertical="top"/>
    </xf>
    <xf numFmtId="44" fontId="70" fillId="0" borderId="0" xfId="2" applyFont="1" applyAlignment="1">
      <alignment horizontal="right"/>
    </xf>
    <xf numFmtId="44" fontId="4" fillId="0" borderId="35" xfId="2" applyBorder="1" applyAlignment="1">
      <alignment vertical="top" wrapText="1"/>
    </xf>
    <xf numFmtId="165" fontId="4" fillId="0" borderId="35" xfId="1" applyNumberFormat="1" applyBorder="1" applyAlignment="1">
      <alignment horizontal="center" vertical="top" wrapText="1"/>
    </xf>
    <xf numFmtId="165" fontId="4" fillId="0" borderId="35" xfId="1" applyNumberFormat="1" applyBorder="1" applyAlignment="1">
      <alignment vertical="top" wrapText="1"/>
    </xf>
    <xf numFmtId="44" fontId="4" fillId="0" borderId="35" xfId="2" applyBorder="1" applyAlignment="1">
      <alignment horizontal="left" vertical="top"/>
    </xf>
    <xf numFmtId="165" fontId="6" fillId="0" borderId="0" xfId="1" applyNumberFormat="1" applyFont="1" applyAlignment="1">
      <alignment horizontal="left" vertical="top"/>
    </xf>
    <xf numFmtId="44" fontId="6" fillId="0" borderId="0" xfId="2" applyFont="1" applyAlignment="1">
      <alignment vertical="top" wrapText="1"/>
    </xf>
    <xf numFmtId="165" fontId="6" fillId="0" borderId="0" xfId="1" applyNumberFormat="1" applyFont="1" applyAlignment="1">
      <alignment horizontal="center" vertical="top" wrapText="1"/>
    </xf>
    <xf numFmtId="165" fontId="6" fillId="0" borderId="0" xfId="1" applyNumberFormat="1" applyFont="1" applyAlignment="1">
      <alignment vertical="top" wrapText="1"/>
    </xf>
    <xf numFmtId="43" fontId="6" fillId="0" borderId="0" xfId="23" applyFont="1" applyAlignment="1">
      <alignment horizontal="center" vertical="top" wrapText="1"/>
    </xf>
    <xf numFmtId="44" fontId="70" fillId="0" borderId="35" xfId="2" applyFont="1" applyBorder="1" applyAlignment="1">
      <alignment horizontal="right"/>
    </xf>
    <xf numFmtId="44" fontId="6" fillId="0" borderId="0" xfId="2" applyFont="1" applyAlignment="1">
      <alignment horizontal="left" vertical="top"/>
    </xf>
    <xf numFmtId="6" fontId="0" fillId="0" borderId="0" xfId="0" applyNumberFormat="1"/>
    <xf numFmtId="6" fontId="0" fillId="0" borderId="42" xfId="0" applyNumberFormat="1" applyBorder="1"/>
    <xf numFmtId="0" fontId="24" fillId="0" borderId="0" xfId="0" applyFont="1"/>
    <xf numFmtId="6" fontId="0" fillId="0" borderId="1" xfId="0" applyNumberFormat="1" applyBorder="1"/>
    <xf numFmtId="44" fontId="0" fillId="0" borderId="37" xfId="2" applyNumberFormat="1" applyFont="1" applyBorder="1"/>
    <xf numFmtId="0" fontId="4" fillId="0" borderId="25" xfId="0" applyFont="1" applyBorder="1" applyAlignment="1">
      <alignment horizontal="left"/>
    </xf>
    <xf numFmtId="0" fontId="6" fillId="0" borderId="26" xfId="0" applyFont="1" applyBorder="1" applyAlignment="1">
      <alignment horizontal="right"/>
    </xf>
    <xf numFmtId="44" fontId="6" fillId="0" borderId="22" xfId="2" applyFont="1" applyBorder="1"/>
    <xf numFmtId="167" fontId="0" fillId="0" borderId="46" xfId="4" applyNumberFormat="1" applyFont="1" applyBorder="1"/>
    <xf numFmtId="44" fontId="0" fillId="0" borderId="46" xfId="2" applyFont="1" applyBorder="1"/>
    <xf numFmtId="44" fontId="0" fillId="0" borderId="39" xfId="2" applyFont="1" applyBorder="1"/>
    <xf numFmtId="0" fontId="4" fillId="0" borderId="38" xfId="0" applyFont="1" applyBorder="1" applyAlignment="1">
      <alignment horizontal="left"/>
    </xf>
    <xf numFmtId="166" fontId="6" fillId="0" borderId="1" xfId="2" applyNumberFormat="1" applyFont="1" applyBorder="1"/>
    <xf numFmtId="10" fontId="0" fillId="0" borderId="37" xfId="4" applyNumberFormat="1" applyFont="1" applyBorder="1"/>
    <xf numFmtId="10" fontId="6" fillId="0" borderId="22" xfId="4" applyNumberFormat="1" applyFont="1" applyBorder="1"/>
    <xf numFmtId="0" fontId="4" fillId="0" borderId="0" xfId="0" applyFont="1" applyFill="1"/>
    <xf numFmtId="0" fontId="48" fillId="0" borderId="0" xfId="0" applyFont="1" applyFill="1" applyAlignment="1">
      <alignment horizontal="right"/>
    </xf>
    <xf numFmtId="6" fontId="48" fillId="0" borderId="0" xfId="0" applyNumberFormat="1" applyFont="1" applyFill="1" applyAlignment="1">
      <alignment horizontal="center"/>
    </xf>
    <xf numFmtId="0" fontId="47" fillId="0" borderId="0" xfId="24" applyFill="1" applyAlignment="1">
      <alignment horizontal="center"/>
    </xf>
    <xf numFmtId="3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0" fontId="0" fillId="0" borderId="0" xfId="0" applyFill="1"/>
    <xf numFmtId="0" fontId="0" fillId="0" borderId="37" xfId="0" applyBorder="1"/>
    <xf numFmtId="10" fontId="8" fillId="0" borderId="0" xfId="15" applyNumberFormat="1" applyFont="1"/>
    <xf numFmtId="0" fontId="23" fillId="0" borderId="0" xfId="0" applyFont="1" applyBorder="1"/>
    <xf numFmtId="0" fontId="23" fillId="0" borderId="0" xfId="0" applyFont="1" applyBorder="1" applyAlignment="1">
      <alignment horizontal="left"/>
    </xf>
    <xf numFmtId="0" fontId="65" fillId="0" borderId="22" xfId="10" applyFont="1" applyBorder="1" applyAlignment="1">
      <alignment horizontal="center"/>
    </xf>
    <xf numFmtId="0" fontId="6" fillId="0" borderId="25" xfId="0" applyFont="1" applyBorder="1" applyAlignment="1">
      <alignment horizontal="left"/>
    </xf>
    <xf numFmtId="0" fontId="4" fillId="0" borderId="25" xfId="0" applyFont="1" applyBorder="1" applyAlignment="1">
      <alignment horizontal="left" indent="1"/>
    </xf>
    <xf numFmtId="9" fontId="10" fillId="0" borderId="21" xfId="0" applyNumberFormat="1" applyFont="1" applyBorder="1" applyAlignment="1">
      <alignment horizontal="center" vertical="center" wrapText="1"/>
    </xf>
    <xf numFmtId="9" fontId="10" fillId="0" borderId="6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29" fillId="0" borderId="0" xfId="10" applyFont="1" applyAlignment="1">
      <alignment horizontal="left" vertical="top" wrapText="1" indent="1"/>
    </xf>
    <xf numFmtId="0" fontId="29" fillId="0" borderId="33" xfId="10" applyFont="1" applyBorder="1" applyAlignment="1">
      <alignment horizontal="left" vertical="top" wrapText="1" indent="1"/>
    </xf>
    <xf numFmtId="165" fontId="28" fillId="0" borderId="23" xfId="11" applyNumberFormat="1" applyFont="1" applyBorder="1" applyAlignment="1">
      <alignment horizontal="center"/>
    </xf>
    <xf numFmtId="165" fontId="28" fillId="0" borderId="24" xfId="11" applyNumberFormat="1" applyFont="1" applyBorder="1" applyAlignment="1">
      <alignment horizontal="center"/>
    </xf>
    <xf numFmtId="0" fontId="49" fillId="16" borderId="0" xfId="25" applyFont="1" applyAlignment="1">
      <alignment horizontal="center"/>
    </xf>
    <xf numFmtId="6" fontId="1" fillId="20" borderId="0" xfId="28" applyNumberFormat="1" applyAlignment="1">
      <alignment horizontal="center"/>
    </xf>
    <xf numFmtId="0" fontId="52" fillId="17" borderId="0" xfId="26" applyFont="1" applyAlignment="1">
      <alignment horizontal="center"/>
    </xf>
    <xf numFmtId="0" fontId="52" fillId="0" borderId="0" xfId="27" applyFont="1" applyAlignment="1">
      <alignment horizontal="center" wrapText="1"/>
    </xf>
    <xf numFmtId="0" fontId="52" fillId="0" borderId="35" xfId="27" applyFont="1" applyBorder="1" applyAlignment="1">
      <alignment horizontal="center" wrapText="1"/>
    </xf>
    <xf numFmtId="0" fontId="2" fillId="17" borderId="0" xfId="26" applyFont="1" applyAlignment="1">
      <alignment horizontal="center"/>
    </xf>
    <xf numFmtId="0" fontId="3" fillId="17" borderId="0" xfId="26" applyAlignment="1">
      <alignment horizontal="center"/>
    </xf>
  </cellXfs>
  <cellStyles count="29">
    <cellStyle name="20% - Accent1" xfId="28" builtinId="30"/>
    <cellStyle name="40% - Accent1" xfId="26" builtinId="31"/>
    <cellStyle name="Accent1" xfId="25" builtinId="29"/>
    <cellStyle name="Comma" xfId="1" builtinId="3"/>
    <cellStyle name="Comma 2" xfId="6" xr:uid="{00000000-0005-0000-0000-000001000000}"/>
    <cellStyle name="Comma 2 2" xfId="11" xr:uid="{00000000-0005-0000-0000-000002000000}"/>
    <cellStyle name="Comma 3" xfId="13" xr:uid="{00000000-0005-0000-0000-000003000000}"/>
    <cellStyle name="Comma 4" xfId="23" xr:uid="{00000000-0005-0000-0000-000004000000}"/>
    <cellStyle name="Currency" xfId="2" builtinId="4"/>
    <cellStyle name="Currency 2" xfId="3" xr:uid="{00000000-0005-0000-0000-000006000000}"/>
    <cellStyle name="Currency 3" xfId="14" xr:uid="{00000000-0005-0000-0000-000007000000}"/>
    <cellStyle name="Hyperlink" xfId="24" builtinId="8"/>
    <cellStyle name="Normal" xfId="0" builtinId="0"/>
    <cellStyle name="Normal 2" xfId="5" xr:uid="{00000000-0005-0000-0000-000009000000}"/>
    <cellStyle name="Normal 2 2" xfId="10" xr:uid="{00000000-0005-0000-0000-00000A000000}"/>
    <cellStyle name="Normal 3" xfId="9" xr:uid="{00000000-0005-0000-0000-00000B000000}"/>
    <cellStyle name="Normal 4" xfId="8" xr:uid="{00000000-0005-0000-0000-00000C000000}"/>
    <cellStyle name="Normal 5" xfId="22" xr:uid="{00000000-0005-0000-0000-00000D000000}"/>
    <cellStyle name="Normal 6" xfId="27" xr:uid="{CFECB08B-76BB-41DA-B4B4-9E9393A1477D}"/>
    <cellStyle name="Percent" xfId="4" builtinId="5"/>
    <cellStyle name="Percent 2" xfId="7" xr:uid="{00000000-0005-0000-0000-00000F000000}"/>
    <cellStyle name="Percent 2 2" xfId="12" xr:uid="{00000000-0005-0000-0000-000010000000}"/>
    <cellStyle name="Percent 3" xfId="15" xr:uid="{00000000-0005-0000-0000-000011000000}"/>
    <cellStyle name="Style 1163" xfId="16" xr:uid="{00000000-0005-0000-0000-000012000000}"/>
    <cellStyle name="Style 1167" xfId="17" xr:uid="{00000000-0005-0000-0000-000013000000}"/>
    <cellStyle name="Style 1301" xfId="18" xr:uid="{00000000-0005-0000-0000-000014000000}"/>
    <cellStyle name="Style 1305" xfId="19" xr:uid="{00000000-0005-0000-0000-000015000000}"/>
    <cellStyle name="Style 1541" xfId="20" xr:uid="{00000000-0005-0000-0000-000016000000}"/>
    <cellStyle name="Style 1545" xfId="21" xr:uid="{00000000-0005-0000-0000-000017000000}"/>
  </cellStyles>
  <dxfs count="21">
    <dxf>
      <fill>
        <patternFill>
          <bgColor theme="3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3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  <dxf>
      <fill>
        <patternFill>
          <bgColor theme="3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1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Historical</a:t>
            </a:r>
            <a:r>
              <a:rPr lang="en-US" baseline="0"/>
              <a:t> / Future Comparison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Income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'IE SUMMARY'!$B$90:$H$90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Trailing 12</c:v>
                </c:pt>
                <c:pt idx="4">
                  <c:v>2018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SUMMARY'!$B$26:$G$26,'IE SUMMARY'!$H$26)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174960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A-441E-A5C0-0610D03FBD88}"/>
            </c:ext>
          </c:extLst>
        </c:ser>
        <c:ser>
          <c:idx val="2"/>
          <c:order val="1"/>
          <c:tx>
            <c:v>Expenses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'IE SUMMARY'!$B$90:$H$90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Trailing 12</c:v>
                </c:pt>
                <c:pt idx="4">
                  <c:v>2018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SUMMARY'!$B$56:$G$56,'IE SUMMARY'!$H$56)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282241</c:v>
                </c:pt>
                <c:pt idx="3">
                  <c:v>0</c:v>
                </c:pt>
                <c:pt idx="4">
                  <c:v>24000</c:v>
                </c:pt>
                <c:pt idx="5">
                  <c:v>48000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A-441E-A5C0-0610D03FBD88}"/>
            </c:ext>
          </c:extLst>
        </c:ser>
        <c:ser>
          <c:idx val="0"/>
          <c:order val="2"/>
          <c:tx>
            <c:v>NOI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'IE SUMMARY'!$B$90:$H$90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Trailing 12</c:v>
                </c:pt>
                <c:pt idx="4">
                  <c:v>2018 Ann.</c:v>
                </c:pt>
                <c:pt idx="5">
                  <c:v>Broker</c:v>
                </c:pt>
                <c:pt idx="6">
                  <c:v>BVG Yr 1</c:v>
                </c:pt>
              </c:strCache>
            </c:strRef>
          </c:cat>
          <c:val>
            <c:numRef>
              <c:f>('IE SUMMARY'!$B$61:$G$61,'IE SUMMARY'!$H$61)</c:f>
              <c:numCache>
                <c:formatCode>"$"#,##0_);[Red]\("$"#,##0\)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-107281</c:v>
                </c:pt>
                <c:pt idx="3">
                  <c:v>0</c:v>
                </c:pt>
                <c:pt idx="4">
                  <c:v>-24000</c:v>
                </c:pt>
                <c:pt idx="5">
                  <c:v>-48000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A-441E-A5C0-0610D03F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8998656"/>
        <c:axId val="-69004096"/>
      </c:barChart>
      <c:catAx>
        <c:axId val="-689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9004096"/>
        <c:crosses val="autoZero"/>
        <c:auto val="1"/>
        <c:lblAlgn val="ctr"/>
        <c:lblOffset val="100"/>
        <c:noMultiLvlLbl val="0"/>
      </c:catAx>
      <c:valAx>
        <c:axId val="-6900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899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Historical Expense 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'IE SUMMARY'!$B$31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SUMMARY'!$B$32:$B$55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6-44D1-B4ED-52863D21BCB7}"/>
            </c:ext>
          </c:extLst>
        </c:ser>
        <c:ser>
          <c:idx val="1"/>
          <c:order val="1"/>
          <c:tx>
            <c:strRef>
              <c:f>'IE SUMMARY'!$C$31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SUMMARY'!$C$32:$C$55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6-44D1-B4ED-52863D21BCB7}"/>
            </c:ext>
          </c:extLst>
        </c:ser>
        <c:ser>
          <c:idx val="2"/>
          <c:order val="2"/>
          <c:tx>
            <c:strRef>
              <c:f>'IE SUMMARY'!$D$31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SUMMARY'!$D$32:$D$55</c:f>
              <c:numCache>
                <c:formatCode>"$"#,##0_);[Red]\("$"#,##0\)</c:formatCode>
                <c:ptCount val="24"/>
                <c:pt idx="0">
                  <c:v>34726</c:v>
                </c:pt>
                <c:pt idx="1">
                  <c:v>654</c:v>
                </c:pt>
                <c:pt idx="2">
                  <c:v>0</c:v>
                </c:pt>
                <c:pt idx="3">
                  <c:v>3089</c:v>
                </c:pt>
                <c:pt idx="4">
                  <c:v>926</c:v>
                </c:pt>
                <c:pt idx="5">
                  <c:v>0</c:v>
                </c:pt>
                <c:pt idx="6">
                  <c:v>0</c:v>
                </c:pt>
                <c:pt idx="7">
                  <c:v>192412</c:v>
                </c:pt>
                <c:pt idx="8">
                  <c:v>0</c:v>
                </c:pt>
                <c:pt idx="9">
                  <c:v>0</c:v>
                </c:pt>
                <c:pt idx="10">
                  <c:v>13080</c:v>
                </c:pt>
                <c:pt idx="11">
                  <c:v>365</c:v>
                </c:pt>
                <c:pt idx="12">
                  <c:v>0</c:v>
                </c:pt>
                <c:pt idx="13">
                  <c:v>28516</c:v>
                </c:pt>
                <c:pt idx="14">
                  <c:v>8368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16-44D1-B4ED-52863D21BCB7}"/>
            </c:ext>
          </c:extLst>
        </c:ser>
        <c:ser>
          <c:idx val="3"/>
          <c:order val="3"/>
          <c:tx>
            <c:strRef>
              <c:f>'IE SUMMARY'!$E$31</c:f>
              <c:strCache>
                <c:ptCount val="1"/>
                <c:pt idx="0">
                  <c:v>Trailing 12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SUMMARY'!$E$32:$E$55</c:f>
              <c:numCache>
                <c:formatCode>"$"#,##0_);[Red]\("$"#,##0\)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16-44D1-B4ED-52863D21BCB7}"/>
            </c:ext>
          </c:extLst>
        </c:ser>
        <c:ser>
          <c:idx val="4"/>
          <c:order val="4"/>
          <c:tx>
            <c:strRef>
              <c:f>'IE SUMMARY'!$F$31</c:f>
              <c:strCache>
                <c:ptCount val="1"/>
                <c:pt idx="0">
                  <c:v>2018 Annualized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SUMMARY'!$F$32:$F$55</c:f>
              <c:numCache>
                <c:formatCode>"$"#,##0_);[Red]\("$"#,##0\)</c:formatCode>
                <c:ptCount val="24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16-44D1-B4ED-52863D21BCB7}"/>
            </c:ext>
          </c:extLst>
        </c:ser>
        <c:ser>
          <c:idx val="5"/>
          <c:order val="5"/>
          <c:tx>
            <c:strRef>
              <c:f>'IE SUMMARY'!$G$31</c:f>
              <c:strCache>
                <c:ptCount val="1"/>
                <c:pt idx="0">
                  <c:v>Broker Projection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SUMMARY'!$G$32:$G$55</c:f>
              <c:numCache>
                <c:formatCode>"$"#,##0_);[Red]\("$"#,##0\)</c:formatCode>
                <c:ptCount val="2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2000</c:v>
                </c:pt>
                <c:pt idx="22">
                  <c:v>2000</c:v>
                </c:pt>
                <c:pt idx="23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16-44D1-B4ED-52863D21BCB7}"/>
            </c:ext>
          </c:extLst>
        </c:ser>
        <c:ser>
          <c:idx val="6"/>
          <c:order val="6"/>
          <c:tx>
            <c:strRef>
              <c:f>'IE SUMMARY'!$H$31</c:f>
              <c:strCache>
                <c:ptCount val="1"/>
                <c:pt idx="0">
                  <c:v>BVG Yr 1 Projection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'IE SUMMARY'!$A$32:$A$55</c:f>
              <c:strCache>
                <c:ptCount val="24"/>
                <c:pt idx="0">
                  <c:v>Manager/Maint Salary Expense</c:v>
                </c:pt>
                <c:pt idx="1">
                  <c:v>Payroll Taxes</c:v>
                </c:pt>
                <c:pt idx="2">
                  <c:v>Workers Comp</c:v>
                </c:pt>
                <c:pt idx="3">
                  <c:v>Electric</c:v>
                </c:pt>
                <c:pt idx="4">
                  <c:v>Gas</c:v>
                </c:pt>
                <c:pt idx="5">
                  <c:v>Trash</c:v>
                </c:pt>
                <c:pt idx="6">
                  <c:v>Sewer-septic</c:v>
                </c:pt>
                <c:pt idx="7">
                  <c:v>Water </c:v>
                </c:pt>
                <c:pt idx="8">
                  <c:v>Phone/Cable </c:v>
                </c:pt>
                <c:pt idx="9">
                  <c:v>Auto expense &amp; travel</c:v>
                </c:pt>
                <c:pt idx="10">
                  <c:v>Maintenance $250 per space </c:v>
                </c:pt>
                <c:pt idx="11">
                  <c:v>Outside Services -plumbing, electrical, etc</c:v>
                </c:pt>
                <c:pt idx="12">
                  <c:v>Landscape, pool, &amp; sweeping maintenance &amp; supplies</c:v>
                </c:pt>
                <c:pt idx="13">
                  <c:v>Property Taxes </c:v>
                </c:pt>
                <c:pt idx="14">
                  <c:v>Insurance </c:v>
                </c:pt>
                <c:pt idx="15">
                  <c:v>Billing Software</c:v>
                </c:pt>
                <c:pt idx="16">
                  <c:v>Legal Expenses</c:v>
                </c:pt>
                <c:pt idx="17">
                  <c:v>LLC/LP Tax</c:v>
                </c:pt>
                <c:pt idx="18">
                  <c:v>Advertising</c:v>
                </c:pt>
                <c:pt idx="19">
                  <c:v>Tax Return Preparation/accounting</c:v>
                </c:pt>
                <c:pt idx="20">
                  <c:v>Licenses and Permits</c:v>
                </c:pt>
                <c:pt idx="21">
                  <c:v>Banking and Merchant fees (est)</c:v>
                </c:pt>
                <c:pt idx="22">
                  <c:v>Office Supplies, Postage, Pager, Printing, dues, subscr, Misc.</c:v>
                </c:pt>
                <c:pt idx="23">
                  <c:v>Professional Mgmt </c:v>
                </c:pt>
              </c:strCache>
            </c:strRef>
          </c:cat>
          <c:val>
            <c:numRef>
              <c:f>'IE SUMMARY'!$H$32:$H$55</c:f>
              <c:numCache>
                <c:formatCode>"$"#,##0_);[Red]\("$"#,##0\)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6-8C16-44D1-B4ED-52863D21B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50202264"/>
        <c:axId val="750202592"/>
      </c:barChart>
      <c:catAx>
        <c:axId val="75020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202592"/>
        <c:crosses val="autoZero"/>
        <c:auto val="1"/>
        <c:lblAlgn val="ctr"/>
        <c:lblOffset val="100"/>
        <c:noMultiLvlLbl val="0"/>
      </c:catAx>
      <c:valAx>
        <c:axId val="75020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202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59784107105308"/>
          <c:y val="0.93092637229207786"/>
          <c:w val="0.25375585099340325"/>
          <c:h val="5.7521282013225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7A6008-31BD-40D9-8117-02E0CA5173B3}">
  <sheetPr>
    <tabColor rgb="FF7030A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36</xdr:row>
      <xdr:rowOff>7620</xdr:rowOff>
    </xdr:from>
    <xdr:to>
      <xdr:col>8</xdr:col>
      <xdr:colOff>640080</xdr:colOff>
      <xdr:row>37</xdr:row>
      <xdr:rowOff>22860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E9FA150-E4BB-4EDD-A800-81217D8D36B4}"/>
            </a:ext>
          </a:extLst>
        </xdr:cNvPr>
        <xdr:cNvSpPr txBox="1"/>
      </xdr:nvSpPr>
      <xdr:spPr>
        <a:xfrm>
          <a:off x="259080" y="6271260"/>
          <a:ext cx="6659880" cy="1386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Initial</a:t>
          </a:r>
          <a:r>
            <a:rPr lang="en-US" sz="1100" baseline="0"/>
            <a:t> change in value will happen from fixing the current water leakage issue.  The park has a $190,000 yearly water bill.  After fixing the leaks, this should drop to about $40k per year reducing expense by over $150k in year one.</a:t>
          </a:r>
        </a:p>
        <a:p>
          <a:endParaRPr lang="en-US" sz="1100" baseline="0"/>
        </a:p>
        <a:p>
          <a:r>
            <a:rPr lang="en-US" sz="1100" baseline="0"/>
            <a:t>Additional changes in value will happen from collecting rent on current tenants, filling available inventory and adding homes to vacant pads in the park.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  <xdr:twoCellAnchor>
    <xdr:from>
      <xdr:col>1</xdr:col>
      <xdr:colOff>0</xdr:colOff>
      <xdr:row>18</xdr:row>
      <xdr:rowOff>15240</xdr:rowOff>
    </xdr:from>
    <xdr:to>
      <xdr:col>8</xdr:col>
      <xdr:colOff>655320</xdr:colOff>
      <xdr:row>18</xdr:row>
      <xdr:rowOff>1714500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B3B327-1FA2-402C-A4BF-B83C3F95014B}"/>
            </a:ext>
          </a:extLst>
        </xdr:cNvPr>
        <xdr:cNvSpPr txBox="1"/>
      </xdr:nvSpPr>
      <xdr:spPr>
        <a:xfrm>
          <a:off x="266700" y="3703320"/>
          <a:ext cx="6667500" cy="1699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  <a:p>
          <a:r>
            <a:rPr lang="en-US" sz="1100"/>
            <a:t>Stone</a:t>
          </a:r>
          <a:r>
            <a:rPr lang="en-US" sz="1100" baseline="0"/>
            <a:t>croft MHP is a 148 space park that has been neglected for the last 7-9 years.  It has a large amount of water loss every month from water leaks, a tenant base that isn't paying, and about 40 homes that need to be moved out of the park</a:t>
          </a:r>
        </a:p>
        <a:p>
          <a:endParaRPr lang="en-US" sz="1100" baseline="0"/>
        </a:p>
        <a:p>
          <a:r>
            <a:rPr lang="en-US" sz="1100" baseline="0"/>
            <a:t>The park was purchased as a foreclosed property from Wells Fargo bank at a cost of only $6,554/pad.  We are planning on fixing the infrastructure problems, removing the old homes, and filling with brand new mobile homes.  When all is said and done, we will have a park that looks fantastic and at a total cost of $12k-15k per pad.  Other parks in the area are currently selling for over 47k per occupied pad</a:t>
          </a: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324390</xdr:colOff>
      <xdr:row>4</xdr:row>
      <xdr:rowOff>129539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5F806C-B140-4437-969E-262A5C5F6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665510" cy="800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1</xdr:row>
          <xdr:rowOff>19049</xdr:rowOff>
        </xdr:from>
        <xdr:to>
          <xdr:col>1</xdr:col>
          <xdr:colOff>552450</xdr:colOff>
          <xdr:row>2</xdr:row>
          <xdr:rowOff>1015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0" spid="_x0000_s516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7450" y="215899"/>
              <a:ext cx="457200" cy="356616"/>
            </a:xfrm>
            <a:prstGeom prst="star5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558800</xdr:colOff>
          <xdr:row>1</xdr:row>
          <xdr:rowOff>19050</xdr:rowOff>
        </xdr:from>
        <xdr:to>
          <xdr:col>1</xdr:col>
          <xdr:colOff>1016000</xdr:colOff>
          <xdr:row>2</xdr:row>
          <xdr:rowOff>1016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1" spid="_x0000_s5167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51000" y="215900"/>
              <a:ext cx="457200" cy="356616"/>
            </a:xfrm>
            <a:prstGeom prst="star5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1047750</xdr:colOff>
          <xdr:row>1</xdr:row>
          <xdr:rowOff>19049</xdr:rowOff>
        </xdr:from>
        <xdr:to>
          <xdr:col>1</xdr:col>
          <xdr:colOff>1504950</xdr:colOff>
          <xdr:row>2</xdr:row>
          <xdr:rowOff>1015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8" spid="_x0000_s5167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139950" y="215899"/>
              <a:ext cx="457200" cy="356616"/>
            </a:xfrm>
            <a:prstGeom prst="star5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1543050</xdr:colOff>
          <xdr:row>1</xdr:row>
          <xdr:rowOff>25400</xdr:rowOff>
        </xdr:from>
        <xdr:to>
          <xdr:col>1</xdr:col>
          <xdr:colOff>2000250</xdr:colOff>
          <xdr:row>2</xdr:row>
          <xdr:rowOff>7366</xdr:rowOff>
        </xdr:to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26" spid="_x0000_s5167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635250" y="222250"/>
              <a:ext cx="457200" cy="356616"/>
            </a:xfrm>
            <a:prstGeom prst="star5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2051050</xdr:colOff>
          <xdr:row>1</xdr:row>
          <xdr:rowOff>12699</xdr:rowOff>
        </xdr:from>
        <xdr:to>
          <xdr:col>1</xdr:col>
          <xdr:colOff>2508250</xdr:colOff>
          <xdr:row>1</xdr:row>
          <xdr:rowOff>369315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35" spid="_x0000_s5167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143250" y="209549"/>
              <a:ext cx="457200" cy="356616"/>
            </a:xfrm>
            <a:prstGeom prst="star5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152400</xdr:rowOff>
    </xdr:from>
    <xdr:to>
      <xdr:col>8</xdr:col>
      <xdr:colOff>339725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E979ED-CE1A-491D-A153-3349D6F5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438150"/>
          <a:ext cx="4978400" cy="373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49</xdr:row>
      <xdr:rowOff>111900</xdr:rowOff>
    </xdr:from>
    <xdr:to>
      <xdr:col>8</xdr:col>
      <xdr:colOff>352425</xdr:colOff>
      <xdr:row>72</xdr:row>
      <xdr:rowOff>89887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966169-ECE0-41FD-9BC9-12B1DE5C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75" y="8170050"/>
          <a:ext cx="4936350" cy="3702262"/>
        </a:xfrm>
        <a:prstGeom prst="rect">
          <a:avLst/>
        </a:prstGeom>
      </xdr:spPr>
    </xdr:pic>
    <xdr:clientData/>
  </xdr:twoCellAnchor>
  <xdr:twoCellAnchor editAs="oneCell">
    <xdr:from>
      <xdr:col>17</xdr:col>
      <xdr:colOff>338100</xdr:colOff>
      <xdr:row>1</xdr:row>
      <xdr:rowOff>119024</xdr:rowOff>
    </xdr:from>
    <xdr:to>
      <xdr:col>26</xdr:col>
      <xdr:colOff>46050</xdr:colOff>
      <xdr:row>24</xdr:row>
      <xdr:rowOff>161924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6CF21D-EE39-4241-955B-D08D6C052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7450" y="404774"/>
          <a:ext cx="5022900" cy="3767175"/>
        </a:xfrm>
        <a:prstGeom prst="rect">
          <a:avLst/>
        </a:prstGeom>
      </xdr:spPr>
    </xdr:pic>
    <xdr:clientData/>
  </xdr:twoCellAnchor>
  <xdr:twoCellAnchor editAs="oneCell">
    <xdr:from>
      <xdr:col>8</xdr:col>
      <xdr:colOff>526200</xdr:colOff>
      <xdr:row>26</xdr:row>
      <xdr:rowOff>11849</xdr:rowOff>
    </xdr:from>
    <xdr:to>
      <xdr:col>17</xdr:col>
      <xdr:colOff>161925</xdr:colOff>
      <xdr:row>49</xdr:row>
      <xdr:rowOff>581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DF898B-BD8A-4F7F-8A0B-5570A1B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0600" y="4345724"/>
          <a:ext cx="4950675" cy="3713007"/>
        </a:xfrm>
        <a:prstGeom prst="rect">
          <a:avLst/>
        </a:prstGeom>
      </xdr:spPr>
    </xdr:pic>
    <xdr:clientData/>
  </xdr:twoCellAnchor>
  <xdr:twoCellAnchor editAs="oneCell">
    <xdr:from>
      <xdr:col>8</xdr:col>
      <xdr:colOff>523799</xdr:colOff>
      <xdr:row>49</xdr:row>
      <xdr:rowOff>152325</xdr:rowOff>
    </xdr:from>
    <xdr:to>
      <xdr:col>17</xdr:col>
      <xdr:colOff>161924</xdr:colOff>
      <xdr:row>72</xdr:row>
      <xdr:rowOff>142856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3C9C81-F932-4F25-9FA2-6E542AD0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199" y="8210475"/>
          <a:ext cx="4953075" cy="3714806"/>
        </a:xfrm>
        <a:prstGeom prst="rect">
          <a:avLst/>
        </a:prstGeom>
      </xdr:spPr>
    </xdr:pic>
    <xdr:clientData/>
  </xdr:twoCellAnchor>
  <xdr:twoCellAnchor editAs="oneCell">
    <xdr:from>
      <xdr:col>17</xdr:col>
      <xdr:colOff>359475</xdr:colOff>
      <xdr:row>25</xdr:row>
      <xdr:rowOff>140400</xdr:rowOff>
    </xdr:from>
    <xdr:to>
      <xdr:col>26</xdr:col>
      <xdr:colOff>85725</xdr:colOff>
      <xdr:row>49</xdr:row>
      <xdr:rowOff>35100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B65C59-6CEC-40B1-A84C-F2FB42C54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8825" y="4312350"/>
          <a:ext cx="5041200" cy="3780900"/>
        </a:xfrm>
        <a:prstGeom prst="rect">
          <a:avLst/>
        </a:prstGeom>
      </xdr:spPr>
    </xdr:pic>
    <xdr:clientData/>
  </xdr:twoCellAnchor>
  <xdr:twoCellAnchor editAs="oneCell">
    <xdr:from>
      <xdr:col>0</xdr:col>
      <xdr:colOff>96875</xdr:colOff>
      <xdr:row>25</xdr:row>
      <xdr:rowOff>152399</xdr:rowOff>
    </xdr:from>
    <xdr:to>
      <xdr:col>8</xdr:col>
      <xdr:colOff>333375</xdr:colOff>
      <xdr:row>48</xdr:row>
      <xdr:rowOff>148799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2B041BD-B169-4115-B655-F399F0FBD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75" y="4324349"/>
          <a:ext cx="4960900" cy="3720675"/>
        </a:xfrm>
        <a:prstGeom prst="rect">
          <a:avLst/>
        </a:prstGeom>
      </xdr:spPr>
    </xdr:pic>
    <xdr:clientData/>
  </xdr:twoCellAnchor>
  <xdr:twoCellAnchor editAs="oneCell">
    <xdr:from>
      <xdr:col>8</xdr:col>
      <xdr:colOff>507075</xdr:colOff>
      <xdr:row>1</xdr:row>
      <xdr:rowOff>135600</xdr:rowOff>
    </xdr:from>
    <xdr:to>
      <xdr:col>17</xdr:col>
      <xdr:colOff>192925</xdr:colOff>
      <xdr:row>25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7EC0984-74AA-4BC5-B346-5B996478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1475" y="421350"/>
          <a:ext cx="5000800" cy="3750600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50</xdr:row>
      <xdr:rowOff>19049</xdr:rowOff>
    </xdr:from>
    <xdr:to>
      <xdr:col>25</xdr:col>
      <xdr:colOff>542925</xdr:colOff>
      <xdr:row>72</xdr:row>
      <xdr:rowOff>150018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7472F20-7A01-4F10-AEE2-E3473A2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2250" y="8239124"/>
          <a:ext cx="4924425" cy="369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73</xdr:row>
      <xdr:rowOff>76200</xdr:rowOff>
    </xdr:from>
    <xdr:to>
      <xdr:col>24</xdr:col>
      <xdr:colOff>390525</xdr:colOff>
      <xdr:row>114</xdr:row>
      <xdr:rowOff>19050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843BF17-F5E3-4E53-BC28-094C03841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12020550"/>
          <a:ext cx="14382750" cy="6581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0</xdr:colOff>
      <xdr:row>0</xdr:row>
      <xdr:rowOff>0</xdr:rowOff>
    </xdr:from>
    <xdr:to>
      <xdr:col>59</xdr:col>
      <xdr:colOff>571500</xdr:colOff>
      <xdr:row>52</xdr:row>
      <xdr:rowOff>39157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41600" y="161924"/>
          <a:ext cx="6667500" cy="862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A7B91D-A119-452C-AB3B-312D4A5F9E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42861</xdr:rowOff>
    </xdr:from>
    <xdr:to>
      <xdr:col>42</xdr:col>
      <xdr:colOff>361950</xdr:colOff>
      <xdr:row>35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4ACCEF-F067-4A6B-886A-E084D468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EWIS\00REPORT\00-9897\ESUITEBP\ESUITFI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spitality%20Team\TEMPLATE\Hospitality%20Penetration%20Model%20(6-24-08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WOSJ%20Proforma%20Returns%203-10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ster%20Models\Financial%20Models\Models\Florida\Hampton%20LBV\Investment%20Model%20DRAFT%20-%20Hampton%20Inn%20LBV%206-23-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urance\Workers%20Comp%20Estimate%20Ending%2010_01_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Ophist1"/>
      <sheetName val="Ophist2"/>
      <sheetName val="Ophist%"/>
      <sheetName val="Ophist YTD"/>
      <sheetName val="Trailing 12"/>
      <sheetName val="Base Year"/>
      <sheetName val="FixVar"/>
      <sheetName val="Hotel Tax Model"/>
      <sheetName val="Projection"/>
      <sheetName val="Hotel Tax Model-Report Table"/>
      <sheetName val="bpcaexplan"/>
      <sheetName val="Recapture"/>
      <sheetName val="Hotel % Rent"/>
      <sheetName val="All Tax Comps"/>
      <sheetName val="Selected Tax Comps"/>
      <sheetName val="Ten Year"/>
      <sheetName val="DCF"/>
      <sheetName val="Matrix"/>
      <sheetName val="Fin Summary"/>
      <sheetName val="Comps"/>
      <sheetName val="Ind Avgs"/>
      <sheetName val="Inv Survey"/>
      <sheetName val="Inc Exp"/>
      <sheetName val="IE Forecast"/>
      <sheetName val="Dialog2"/>
      <sheetName val="Dialog5"/>
      <sheetName val="Module1"/>
      <sheetName val="L"/>
      <sheetName val="Dialog1"/>
      <sheetName val="Dialog3"/>
      <sheetName val="Dialog4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Global"/>
      <sheetName val="Cap Exp"/>
      <sheetName val="Guestrooms"/>
      <sheetName val="Monthly1"/>
      <sheetName val="Comp"/>
      <sheetName val="Penetration"/>
      <sheetName val="ADR1"/>
      <sheetName val="Comp Tables"/>
      <sheetName val="Tables1"/>
      <sheetName val="Hist Penetration"/>
      <sheetName val="Tables3"/>
      <sheetName val="Tables4"/>
      <sheetName val="Tables5"/>
      <sheetName val="Local Area Charts"/>
      <sheetName val="N"/>
      <sheetName val="Module1"/>
      <sheetName val="Dialog1"/>
      <sheetName val="Dialog2"/>
      <sheetName val="Monthly2"/>
      <sheetName val="ADR2"/>
      <sheetName val="ADR3"/>
    </sheetNames>
    <sheetDataSet>
      <sheetData sheetId="0">
        <row r="30">
          <cell r="C30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Input Historical"/>
      <sheetName val="Statistics"/>
      <sheetName val="2002 Underwritten"/>
      <sheetName val="Input Projected"/>
      <sheetName val="Cash Flow"/>
      <sheetName val="ADR Analysis"/>
      <sheetName val="Market Model"/>
      <sheetName val="Month by Month"/>
      <sheetName val="Comparables"/>
      <sheetName val="Returns - Existing"/>
      <sheetName val="Returns - New "/>
      <sheetName val="Pro-Rata Deal"/>
      <sheetName val="Partnership"/>
      <sheetName val="HDC - If Hotel Sold Today"/>
    </sheetNames>
    <sheetDataSet>
      <sheetData sheetId="0" refreshError="1">
        <row r="2">
          <cell r="B2" t="str">
            <v>TISHMAN HOTEL CORPORATION</v>
          </cell>
          <cell r="O2" t="str">
            <v>PRELIMINARY RUN</v>
          </cell>
          <cell r="AB2" t="str">
            <v>Last Revised:</v>
          </cell>
          <cell r="AC2">
            <v>37728.552949305558</v>
          </cell>
        </row>
        <row r="3">
          <cell r="B3" t="str">
            <v>WYNDHAM OLD SAN JUAN</v>
          </cell>
        </row>
        <row r="4">
          <cell r="B4" t="str">
            <v>SAN JUAN, PUERTO RICO</v>
          </cell>
        </row>
        <row r="5">
          <cell r="B5" t="str">
            <v>10-YEAR PRO FORMA (1)</v>
          </cell>
        </row>
        <row r="8">
          <cell r="B8" t="str">
            <v>ROOMS (Current):</v>
          </cell>
          <cell r="D8">
            <v>240</v>
          </cell>
          <cell r="G8" t="str">
            <v xml:space="preserve">   Historical</v>
          </cell>
          <cell r="I8" t="str">
            <v xml:space="preserve">   Historical</v>
          </cell>
          <cell r="K8" t="str">
            <v>Historical</v>
          </cell>
          <cell r="M8" t="str">
            <v>Historical</v>
          </cell>
          <cell r="O8" t="str">
            <v>Historical</v>
          </cell>
          <cell r="S8" t="str">
            <v xml:space="preserve">  Projected</v>
          </cell>
          <cell r="U8" t="str">
            <v xml:space="preserve">  Projected</v>
          </cell>
          <cell r="W8" t="str">
            <v>Projected</v>
          </cell>
          <cell r="Y8" t="str">
            <v>Projected</v>
          </cell>
          <cell r="Z8" t="str">
            <v>Projected</v>
          </cell>
          <cell r="AA8" t="str">
            <v>Projected</v>
          </cell>
          <cell r="AB8" t="str">
            <v>Projected</v>
          </cell>
          <cell r="AC8" t="str">
            <v>Projected</v>
          </cell>
          <cell r="AD8" t="str">
            <v>Projected</v>
          </cell>
        </row>
        <row r="9">
          <cell r="G9">
            <v>1998</v>
          </cell>
          <cell r="I9">
            <v>1999</v>
          </cell>
          <cell r="K9">
            <v>2000</v>
          </cell>
          <cell r="M9">
            <v>2001</v>
          </cell>
          <cell r="O9">
            <v>2002</v>
          </cell>
          <cell r="S9" t="str">
            <v>2003(2)</v>
          </cell>
          <cell r="U9">
            <v>2004</v>
          </cell>
          <cell r="W9">
            <v>2005</v>
          </cell>
          <cell r="Y9">
            <v>2006</v>
          </cell>
          <cell r="Z9">
            <v>2007</v>
          </cell>
          <cell r="AA9">
            <v>2008</v>
          </cell>
          <cell r="AB9">
            <v>2009</v>
          </cell>
          <cell r="AC9">
            <v>2010</v>
          </cell>
          <cell r="AD9">
            <v>2011</v>
          </cell>
        </row>
        <row r="10">
          <cell r="B10" t="str">
            <v>Rooms (Annual)</v>
          </cell>
          <cell r="G10">
            <v>238.58500000000001</v>
          </cell>
          <cell r="I10">
            <v>240</v>
          </cell>
          <cell r="K10">
            <v>240</v>
          </cell>
          <cell r="M10">
            <v>240</v>
          </cell>
          <cell r="O10">
            <v>240</v>
          </cell>
          <cell r="S10">
            <v>240</v>
          </cell>
          <cell r="U10">
            <v>240</v>
          </cell>
          <cell r="W10">
            <v>240</v>
          </cell>
          <cell r="Y10">
            <v>240</v>
          </cell>
          <cell r="Z10">
            <v>240</v>
          </cell>
          <cell r="AA10">
            <v>240</v>
          </cell>
          <cell r="AB10">
            <v>240</v>
          </cell>
          <cell r="AC10">
            <v>240</v>
          </cell>
          <cell r="AD10">
            <v>240</v>
          </cell>
        </row>
        <row r="11">
          <cell r="B11" t="str">
            <v>Occupancy</v>
          </cell>
          <cell r="G11">
            <v>0.67954300196277073</v>
          </cell>
          <cell r="I11">
            <v>0.82317351598173516</v>
          </cell>
          <cell r="K11">
            <v>0.75768442622950816</v>
          </cell>
          <cell r="M11">
            <v>0.71779680365296805</v>
          </cell>
          <cell r="O11">
            <v>0.81599999999999995</v>
          </cell>
          <cell r="S11">
            <v>0.79999823999999986</v>
          </cell>
          <cell r="U11">
            <v>0.7899982619999999</v>
          </cell>
          <cell r="W11">
            <v>0.78004428389879998</v>
          </cell>
          <cell r="Y11">
            <v>0.78004428389879998</v>
          </cell>
          <cell r="Z11">
            <v>0.78004428389879998</v>
          </cell>
          <cell r="AA11">
            <v>0.78004428389879998</v>
          </cell>
          <cell r="AB11">
            <v>0.78004428389879998</v>
          </cell>
          <cell r="AC11">
            <v>0.78004428389879998</v>
          </cell>
          <cell r="AD11">
            <v>0.78004428389879998</v>
          </cell>
        </row>
        <row r="12">
          <cell r="B12" t="str">
            <v>Average Daily Rate</v>
          </cell>
          <cell r="G12">
            <v>140</v>
          </cell>
          <cell r="I12">
            <v>156.18</v>
          </cell>
          <cell r="K12">
            <v>158.55000000000001</v>
          </cell>
          <cell r="M12">
            <v>149.19</v>
          </cell>
          <cell r="O12">
            <v>132.38</v>
          </cell>
          <cell r="S12">
            <v>135.0236286</v>
          </cell>
          <cell r="U12">
            <v>142.1798809158</v>
          </cell>
          <cell r="W12">
            <v>151.84811281807441</v>
          </cell>
          <cell r="Y12">
            <v>160.95899958715887</v>
          </cell>
          <cell r="Z12">
            <v>169.00694956651682</v>
          </cell>
          <cell r="AA12">
            <v>174.07715805351233</v>
          </cell>
          <cell r="AB12">
            <v>179.29947279511771</v>
          </cell>
          <cell r="AC12">
            <v>184.67845697897124</v>
          </cell>
          <cell r="AD12">
            <v>190.21881068834037</v>
          </cell>
        </row>
        <row r="13">
          <cell r="B13" t="str">
            <v>Occupied Rooms</v>
          </cell>
          <cell r="G13">
            <v>59177</v>
          </cell>
          <cell r="I13">
            <v>72110</v>
          </cell>
          <cell r="K13">
            <v>66555</v>
          </cell>
          <cell r="M13">
            <v>62879</v>
          </cell>
          <cell r="O13">
            <v>71481.599999999991</v>
          </cell>
          <cell r="S13">
            <v>70079.845823999989</v>
          </cell>
          <cell r="U13">
            <v>69393.447334079989</v>
          </cell>
          <cell r="W13">
            <v>68331.879269534882</v>
          </cell>
          <cell r="Y13">
            <v>68331.879269534882</v>
          </cell>
          <cell r="Z13">
            <v>68331.879269534882</v>
          </cell>
          <cell r="AA13">
            <v>68331.879269534882</v>
          </cell>
          <cell r="AB13">
            <v>68331.879269534882</v>
          </cell>
          <cell r="AC13">
            <v>68331.879269534882</v>
          </cell>
          <cell r="AD13">
            <v>68331.879269534882</v>
          </cell>
        </row>
        <row r="14">
          <cell r="B14" t="str">
            <v>Available Rooms</v>
          </cell>
          <cell r="G14">
            <v>87083.525000000009</v>
          </cell>
          <cell r="I14">
            <v>87600</v>
          </cell>
          <cell r="K14">
            <v>87840</v>
          </cell>
          <cell r="M14">
            <v>87600</v>
          </cell>
          <cell r="O14">
            <v>87600</v>
          </cell>
          <cell r="S14">
            <v>87600</v>
          </cell>
          <cell r="U14">
            <v>87840</v>
          </cell>
          <cell r="W14">
            <v>87600</v>
          </cell>
          <cell r="Y14">
            <v>87600</v>
          </cell>
          <cell r="Z14">
            <v>87600</v>
          </cell>
          <cell r="AA14">
            <v>87600</v>
          </cell>
          <cell r="AB14">
            <v>87600</v>
          </cell>
          <cell r="AC14">
            <v>87600</v>
          </cell>
          <cell r="AD14">
            <v>87600</v>
          </cell>
        </row>
        <row r="15">
          <cell r="B15" t="str">
            <v>RevPAR</v>
          </cell>
          <cell r="G15">
            <v>95.136020274787896</v>
          </cell>
          <cell r="I15">
            <v>128.5632397260274</v>
          </cell>
          <cell r="K15">
            <v>120.13086577868853</v>
          </cell>
          <cell r="M15">
            <v>107.0881051369863</v>
          </cell>
          <cell r="O15">
            <v>108.02207999999999</v>
          </cell>
          <cell r="S15">
            <v>108.01866523841365</v>
          </cell>
          <cell r="U15">
            <v>112.32185881484895</v>
          </cell>
          <cell r="W15">
            <v>118.44825242455904</v>
          </cell>
          <cell r="Y15">
            <v>125.55514757003259</v>
          </cell>
          <cell r="Z15">
            <v>131.83290494853421</v>
          </cell>
          <cell r="AA15">
            <v>135.78789209699025</v>
          </cell>
          <cell r="AB15">
            <v>139.86152885989995</v>
          </cell>
          <cell r="AC15">
            <v>144.05737472569697</v>
          </cell>
          <cell r="AD15">
            <v>148.37909596746786</v>
          </cell>
        </row>
        <row r="17">
          <cell r="B17" t="str">
            <v>REVENUES</v>
          </cell>
        </row>
        <row r="18">
          <cell r="C18" t="str">
            <v>Rooms</v>
          </cell>
          <cell r="G18">
            <v>8284.7800000000007</v>
          </cell>
          <cell r="H18">
            <v>0.47128439415052559</v>
          </cell>
          <cell r="I18">
            <v>11262.139800000001</v>
          </cell>
          <cell r="J18">
            <v>0.53044160557094866</v>
          </cell>
          <cell r="K18">
            <v>10552.295249999999</v>
          </cell>
          <cell r="L18">
            <v>0.51410367451921568</v>
          </cell>
          <cell r="M18">
            <v>9380.9180099999994</v>
          </cell>
          <cell r="N18">
            <v>0.48767498723348418</v>
          </cell>
          <cell r="O18">
            <v>9462.734207999998</v>
          </cell>
          <cell r="P18">
            <v>0.48387549949053815</v>
          </cell>
          <cell r="S18">
            <v>9462.4350748850356</v>
          </cell>
          <cell r="T18">
            <v>0.47586786215208615</v>
          </cell>
          <cell r="U18">
            <v>9866.3520782963315</v>
          </cell>
          <cell r="V18">
            <v>0.46371106775245152</v>
          </cell>
          <cell r="W18">
            <v>10376.066912391372</v>
          </cell>
          <cell r="X18">
            <v>0.44365044032192136</v>
          </cell>
          <cell r="Y18">
            <v>10998.630927134855</v>
          </cell>
          <cell r="Z18">
            <v>11548.562473491598</v>
          </cell>
          <cell r="AA18">
            <v>11895.019347696347</v>
          </cell>
          <cell r="AB18">
            <v>12251.869928127237</v>
          </cell>
          <cell r="AC18">
            <v>12619.426025971055</v>
          </cell>
          <cell r="AD18">
            <v>12998.008806750186</v>
          </cell>
        </row>
        <row r="19">
          <cell r="C19" t="str">
            <v>Food</v>
          </cell>
          <cell r="G19">
            <v>2323.7080000000001</v>
          </cell>
          <cell r="H19">
            <v>0.13218544330238455</v>
          </cell>
          <cell r="I19">
            <v>2631.5790000000002</v>
          </cell>
          <cell r="J19">
            <v>0.1239461607417439</v>
          </cell>
          <cell r="K19">
            <v>2523.893</v>
          </cell>
          <cell r="L19">
            <v>0.12296307435041935</v>
          </cell>
          <cell r="M19">
            <v>2570.5529999999994</v>
          </cell>
          <cell r="N19">
            <v>0.13363238012758138</v>
          </cell>
          <cell r="O19">
            <v>2616.9</v>
          </cell>
          <cell r="P19">
            <v>0.13381479039602226</v>
          </cell>
          <cell r="S19">
            <v>2642.5500687299996</v>
          </cell>
          <cell r="T19">
            <v>0.13289440211579695</v>
          </cell>
          <cell r="U19">
            <v>2695.167584516335</v>
          </cell>
          <cell r="V19">
            <v>0.12667083319853212</v>
          </cell>
          <cell r="W19">
            <v>3184.7248938599073</v>
          </cell>
          <cell r="X19">
            <v>0.13616957305641544</v>
          </cell>
          <cell r="Y19">
            <v>3821.6698726318887</v>
          </cell>
          <cell r="Z19">
            <v>4203.8368598950774</v>
          </cell>
          <cell r="AA19">
            <v>4329.9519656919301</v>
          </cell>
          <cell r="AB19">
            <v>4459.8505246626883</v>
          </cell>
          <cell r="AC19">
            <v>4593.6460404025693</v>
          </cell>
          <cell r="AD19">
            <v>4731.4554216146462</v>
          </cell>
        </row>
        <row r="20">
          <cell r="C20" t="str">
            <v>Beverage</v>
          </cell>
          <cell r="G20">
            <v>1433.498</v>
          </cell>
          <cell r="H20">
            <v>8.1545344166772088E-2</v>
          </cell>
          <cell r="I20">
            <v>1530.1120000000003</v>
          </cell>
          <cell r="J20">
            <v>7.2067571562499655E-2</v>
          </cell>
          <cell r="K20">
            <v>975.74500000000012</v>
          </cell>
          <cell r="L20">
            <v>4.7537912654003138E-2</v>
          </cell>
          <cell r="M20">
            <v>990.14999999999986</v>
          </cell>
          <cell r="N20">
            <v>5.1473788396241865E-2</v>
          </cell>
          <cell r="O20">
            <v>994</v>
          </cell>
          <cell r="P20">
            <v>5.0828041443557688E-2</v>
          </cell>
          <cell r="S20">
            <v>1003.7428898000001</v>
          </cell>
          <cell r="T20">
            <v>5.0478442318431044E-2</v>
          </cell>
          <cell r="U20">
            <v>1023.72906072423</v>
          </cell>
          <cell r="V20">
            <v>4.8114489739516583E-2</v>
          </cell>
          <cell r="W20">
            <v>1088.7137032546425</v>
          </cell>
          <cell r="X20">
            <v>4.6550231211077729E-2</v>
          </cell>
          <cell r="Y20">
            <v>1175.810799515014</v>
          </cell>
          <cell r="Z20">
            <v>1234.6013394907645</v>
          </cell>
          <cell r="AA20">
            <v>1271.6393796754876</v>
          </cell>
          <cell r="AB20">
            <v>1309.7885610657522</v>
          </cell>
          <cell r="AC20">
            <v>1349.0822178977248</v>
          </cell>
          <cell r="AD20">
            <v>1389.5546844346566</v>
          </cell>
        </row>
        <row r="21">
          <cell r="C21" t="str">
            <v>Communications</v>
          </cell>
          <cell r="G21">
            <v>356.58699999999999</v>
          </cell>
          <cell r="H21">
            <v>2.0284653093619074E-2</v>
          </cell>
          <cell r="I21">
            <v>454.00400000000002</v>
          </cell>
          <cell r="J21">
            <v>2.1383379621662393E-2</v>
          </cell>
          <cell r="K21">
            <v>393.80399999999997</v>
          </cell>
          <cell r="L21">
            <v>1.9185976002743594E-2</v>
          </cell>
          <cell r="M21">
            <v>406.81</v>
          </cell>
          <cell r="N21">
            <v>2.114836323534329E-2</v>
          </cell>
          <cell r="O21">
            <v>369.10000000000008</v>
          </cell>
          <cell r="P21">
            <v>1.8873873336838175E-2</v>
          </cell>
          <cell r="S21">
            <v>372.71780747000003</v>
          </cell>
          <cell r="T21">
            <v>1.8744057404157848E-2</v>
          </cell>
          <cell r="U21">
            <v>380.13923170353456</v>
          </cell>
          <cell r="V21">
            <v>1.78662556970378E-2</v>
          </cell>
          <cell r="W21">
            <v>385.55365033481189</v>
          </cell>
          <cell r="X21">
            <v>1.6485152628930112E-2</v>
          </cell>
          <cell r="Y21">
            <v>397.12025984485621</v>
          </cell>
          <cell r="Z21">
            <v>409.033867640202</v>
          </cell>
          <cell r="AA21">
            <v>421.30488366940807</v>
          </cell>
          <cell r="AB21">
            <v>433.94403017949031</v>
          </cell>
          <cell r="AC21">
            <v>446.96235108487502</v>
          </cell>
          <cell r="AD21">
            <v>460.37122161742127</v>
          </cell>
        </row>
        <row r="22">
          <cell r="C22" t="str">
            <v>Minor Ops. Dept.</v>
          </cell>
          <cell r="G22">
            <v>103.36199999999998</v>
          </cell>
          <cell r="H22">
            <v>5.8798058063324081E-3</v>
          </cell>
          <cell r="I22">
            <v>259.94600000000003</v>
          </cell>
          <cell r="J22">
            <v>1.2243337061199136E-2</v>
          </cell>
          <cell r="K22">
            <v>225.26400000000001</v>
          </cell>
          <cell r="L22">
            <v>1.0974773487019009E-2</v>
          </cell>
          <cell r="M22">
            <v>224.20400000000001</v>
          </cell>
          <cell r="N22">
            <v>1.1655435291209427E-2</v>
          </cell>
          <cell r="O22">
            <v>220.5</v>
          </cell>
          <cell r="P22">
            <v>1.1275234545577937E-2</v>
          </cell>
          <cell r="S22">
            <v>222.66127484999998</v>
          </cell>
          <cell r="T22">
            <v>1.1197682626975899E-2</v>
          </cell>
          <cell r="U22">
            <v>227.09482685079752</v>
          </cell>
          <cell r="V22">
            <v>1.0673284695737835E-2</v>
          </cell>
          <cell r="W22">
            <v>230.32939555357902</v>
          </cell>
          <cell r="X22">
            <v>9.8482149950666203E-3</v>
          </cell>
          <cell r="Y22">
            <v>237.2392774201864</v>
          </cell>
          <cell r="Z22">
            <v>244.35645574279198</v>
          </cell>
          <cell r="AA22">
            <v>251.68714941507574</v>
          </cell>
          <cell r="AB22">
            <v>259.237763897528</v>
          </cell>
          <cell r="AC22">
            <v>267.01489681445383</v>
          </cell>
          <cell r="AD22">
            <v>275.02534371888748</v>
          </cell>
        </row>
        <row r="23">
          <cell r="C23" t="str">
            <v>Rental &amp; Other Income</v>
          </cell>
          <cell r="G23">
            <v>49.136000000000003</v>
          </cell>
          <cell r="H23">
            <v>2.7951291393350486E-3</v>
          </cell>
          <cell r="I23">
            <v>111.04699999999998</v>
          </cell>
          <cell r="J23">
            <v>5.2302626339123517E-3</v>
          </cell>
          <cell r="K23">
            <v>121.242</v>
          </cell>
          <cell r="L23">
            <v>5.9068625573245551E-3</v>
          </cell>
          <cell r="M23">
            <v>94.141999999999996</v>
          </cell>
          <cell r="N23">
            <v>4.8940517974034262E-3</v>
          </cell>
          <cell r="O23">
            <v>175.8</v>
          </cell>
          <cell r="P23">
            <v>8.9895067261342478E-3</v>
          </cell>
          <cell r="S23">
            <v>177.52313886000002</v>
          </cell>
          <cell r="T23">
            <v>8.9276762168814666E-3</v>
          </cell>
          <cell r="U23">
            <v>181.057916373561</v>
          </cell>
          <cell r="V23">
            <v>8.5095848050372389E-3</v>
          </cell>
          <cell r="W23">
            <v>183.63676978829568</v>
          </cell>
          <cell r="X23">
            <v>7.8517741321211445E-3</v>
          </cell>
          <cell r="Y23">
            <v>189.14587288194451</v>
          </cell>
          <cell r="Z23">
            <v>194.82024906840286</v>
          </cell>
          <cell r="AA23">
            <v>200.66485654045496</v>
          </cell>
          <cell r="AB23">
            <v>206.68480223666862</v>
          </cell>
          <cell r="AC23">
            <v>212.88534630376867</v>
          </cell>
          <cell r="AD23">
            <v>219.27190669288174</v>
          </cell>
        </row>
        <row r="24">
          <cell r="C24" t="str">
            <v>Casino</v>
          </cell>
          <cell r="G24">
            <v>5028.0810000000001</v>
          </cell>
          <cell r="H24">
            <v>0.28602523034103122</v>
          </cell>
          <cell r="I24">
            <v>4982.8019999999997</v>
          </cell>
          <cell r="J24">
            <v>0.23468768280803384</v>
          </cell>
          <cell r="K24">
            <v>5733.3739999999998</v>
          </cell>
          <cell r="L24">
            <v>0.27932772642927461</v>
          </cell>
          <cell r="M24">
            <v>5569.2269999999999</v>
          </cell>
          <cell r="N24">
            <v>0.28952099391873648</v>
          </cell>
          <cell r="O24">
            <v>5717.1</v>
          </cell>
          <cell r="P24">
            <v>0.29234305406133165</v>
          </cell>
          <cell r="S24">
            <v>6002.9550000000008</v>
          </cell>
          <cell r="T24">
            <v>0.30188987716567062</v>
          </cell>
          <cell r="U24">
            <v>6903.3982500000002</v>
          </cell>
          <cell r="V24">
            <v>0.32445448411168681</v>
          </cell>
          <cell r="W24">
            <v>7938.9079874999998</v>
          </cell>
          <cell r="X24">
            <v>0.33944461365446754</v>
          </cell>
          <cell r="Y24">
            <v>8732.7987862500013</v>
          </cell>
          <cell r="Z24">
            <v>9169.4387255625024</v>
          </cell>
          <cell r="AA24">
            <v>9444.5218873293779</v>
          </cell>
          <cell r="AB24">
            <v>9727.8575439492597</v>
          </cell>
          <cell r="AC24">
            <v>10019.693270267739</v>
          </cell>
          <cell r="AD24">
            <v>10320.284068375771</v>
          </cell>
        </row>
        <row r="25">
          <cell r="C25" t="str">
            <v xml:space="preserve">   Total</v>
          </cell>
          <cell r="G25">
            <v>17579.152000000002</v>
          </cell>
          <cell r="H25">
            <v>0.71397476965896867</v>
          </cell>
          <cell r="I25">
            <v>21231.629800000002</v>
          </cell>
          <cell r="J25">
            <v>1</v>
          </cell>
          <cell r="K25">
            <v>20525.617249999999</v>
          </cell>
          <cell r="L25">
            <v>0.99999999999999989</v>
          </cell>
          <cell r="M25">
            <v>19236.004009999997</v>
          </cell>
          <cell r="N25">
            <v>1</v>
          </cell>
          <cell r="O25">
            <v>19556.134207999996</v>
          </cell>
          <cell r="P25">
            <v>1</v>
          </cell>
          <cell r="S25">
            <v>19884.585254595037</v>
          </cell>
          <cell r="T25">
            <v>1</v>
          </cell>
          <cell r="U25">
            <v>21276.938948464791</v>
          </cell>
          <cell r="V25">
            <v>1</v>
          </cell>
          <cell r="W25">
            <v>23387.93331268261</v>
          </cell>
          <cell r="X25">
            <v>0.99999999999999989</v>
          </cell>
          <cell r="Y25">
            <v>25552.415795678746</v>
          </cell>
          <cell r="Z25">
            <v>27004.64997089134</v>
          </cell>
          <cell r="AA25">
            <v>27814.78947001808</v>
          </cell>
          <cell r="AB25">
            <v>28649.233154118621</v>
          </cell>
          <cell r="AC25">
            <v>29508.71014874219</v>
          </cell>
          <cell r="AD25">
            <v>30393.971453204449</v>
          </cell>
        </row>
        <row r="27">
          <cell r="B27" t="str">
            <v>DEPARTMENTAL EXPENSES</v>
          </cell>
        </row>
        <row r="28">
          <cell r="C28" t="str">
            <v>Rooms</v>
          </cell>
          <cell r="G28">
            <v>2232.0200000000004</v>
          </cell>
          <cell r="H28">
            <v>0.2694121026750258</v>
          </cell>
          <cell r="I28">
            <v>2535.1038000000008</v>
          </cell>
          <cell r="J28">
            <v>0.22509965646137695</v>
          </cell>
          <cell r="K28">
            <v>2614.5672499999987</v>
          </cell>
          <cell r="L28">
            <v>0.24777237445095168</v>
          </cell>
          <cell r="M28">
            <v>2235.6670099999988</v>
          </cell>
          <cell r="N28">
            <v>0.23832070673859337</v>
          </cell>
          <cell r="O28">
            <v>2410.234207999998</v>
          </cell>
          <cell r="P28">
            <v>0.25470801092165668</v>
          </cell>
          <cell r="S28">
            <v>2433.8586006365513</v>
          </cell>
          <cell r="T28">
            <v>0.25721271336343848</v>
          </cell>
          <cell r="U28">
            <v>2567.5575513609597</v>
          </cell>
          <cell r="V28">
            <v>0.26023372478354856</v>
          </cell>
          <cell r="W28">
            <v>2604.1279189619745</v>
          </cell>
          <cell r="X28">
            <v>0.25097447240360954</v>
          </cell>
          <cell r="Y28">
            <v>2682.251756530834</v>
          </cell>
          <cell r="Z28">
            <v>2762.7193092267589</v>
          </cell>
          <cell r="AA28">
            <v>2845.6008885035617</v>
          </cell>
          <cell r="AB28">
            <v>2930.9689151586686</v>
          </cell>
          <cell r="AC28">
            <v>3018.8979826134287</v>
          </cell>
          <cell r="AD28">
            <v>3109.4649220918318</v>
          </cell>
        </row>
        <row r="29">
          <cell r="C29" t="str">
            <v>Food &amp; Beverage</v>
          </cell>
          <cell r="G29">
            <v>3344.8389999999999</v>
          </cell>
          <cell r="H29">
            <v>0.89024636924352829</v>
          </cell>
          <cell r="I29">
            <v>3606.6510000000007</v>
          </cell>
          <cell r="J29">
            <v>0.86663113623764954</v>
          </cell>
          <cell r="K29">
            <v>3221.7660000000001</v>
          </cell>
          <cell r="L29">
            <v>0.92059978774947582</v>
          </cell>
          <cell r="M29">
            <v>2919.3269999999998</v>
          </cell>
          <cell r="N29">
            <v>0.81987377211747237</v>
          </cell>
          <cell r="O29">
            <v>3215.4</v>
          </cell>
          <cell r="P29">
            <v>0.89047051981500458</v>
          </cell>
          <cell r="S29">
            <v>3099.3490147504999</v>
          </cell>
          <cell r="T29">
            <v>0.85</v>
          </cell>
          <cell r="U29">
            <v>2900.7393832876405</v>
          </cell>
          <cell r="V29">
            <v>0.78</v>
          </cell>
          <cell r="W29">
            <v>3205.078947835912</v>
          </cell>
          <cell r="X29">
            <v>0.75</v>
          </cell>
          <cell r="Y29">
            <v>3598.18608394577</v>
          </cell>
          <cell r="Z29">
            <v>3806.9067395700895</v>
          </cell>
          <cell r="AA29">
            <v>3921.1139417571922</v>
          </cell>
          <cell r="AB29">
            <v>4038.7473600099079</v>
          </cell>
          <cell r="AC29">
            <v>4159.9097808102051</v>
          </cell>
          <cell r="AD29">
            <v>4284.7070742345113</v>
          </cell>
        </row>
        <row r="30">
          <cell r="C30" t="str">
            <v>Communications</v>
          </cell>
          <cell r="G30">
            <v>260.65300000000002</v>
          </cell>
          <cell r="H30">
            <v>0.73096607560006399</v>
          </cell>
          <cell r="I30">
            <v>246.12900000000002</v>
          </cell>
          <cell r="J30">
            <v>0.54212958476136774</v>
          </cell>
          <cell r="K30">
            <v>213.21899999999997</v>
          </cell>
          <cell r="L30">
            <v>0.54143431757930338</v>
          </cell>
          <cell r="M30">
            <v>196.29300000000001</v>
          </cell>
          <cell r="N30">
            <v>0.48251763722622354</v>
          </cell>
          <cell r="O30">
            <v>181.60000000000005</v>
          </cell>
          <cell r="P30">
            <v>0.49200758602004879</v>
          </cell>
          <cell r="S30">
            <v>229.33326693629101</v>
          </cell>
          <cell r="T30">
            <v>0.61529999999999996</v>
          </cell>
          <cell r="U30">
            <v>233.89966926718481</v>
          </cell>
          <cell r="V30">
            <v>0.61529999999999996</v>
          </cell>
          <cell r="W30">
            <v>237.23116105100974</v>
          </cell>
          <cell r="X30">
            <v>0.61529999999999996</v>
          </cell>
          <cell r="Y30">
            <v>244.34809588254001</v>
          </cell>
          <cell r="Z30">
            <v>251.67853875901628</v>
          </cell>
          <cell r="AA30">
            <v>259.22889492178678</v>
          </cell>
          <cell r="AB30">
            <v>267.00576176944037</v>
          </cell>
          <cell r="AC30">
            <v>275.01593462252356</v>
          </cell>
          <cell r="AD30">
            <v>283.2664126611993</v>
          </cell>
        </row>
        <row r="31">
          <cell r="C31" t="str">
            <v>Minor Ops. Dept.</v>
          </cell>
          <cell r="G31">
            <v>71.551999999999978</v>
          </cell>
          <cell r="H31">
            <v>0.69224666705365601</v>
          </cell>
          <cell r="I31">
            <v>176.97000000000003</v>
          </cell>
          <cell r="J31">
            <v>0.68079524208874154</v>
          </cell>
          <cell r="K31">
            <v>145.83300000000003</v>
          </cell>
          <cell r="L31">
            <v>0.64738706584274464</v>
          </cell>
          <cell r="M31">
            <v>146.34</v>
          </cell>
          <cell r="N31">
            <v>0.65270913989045687</v>
          </cell>
          <cell r="O31">
            <v>160.4</v>
          </cell>
          <cell r="P31">
            <v>0.72743764172335601</v>
          </cell>
          <cell r="S31">
            <v>60.474802249259994</v>
          </cell>
          <cell r="T31">
            <v>0.27160000000000001</v>
          </cell>
          <cell r="U31">
            <v>61.678954972676607</v>
          </cell>
          <cell r="V31">
            <v>0.27160000000000001</v>
          </cell>
          <cell r="W31">
            <v>62.557463832352063</v>
          </cell>
          <cell r="X31">
            <v>0.27160000000000001</v>
          </cell>
          <cell r="Y31">
            <v>64.434187747322625</v>
          </cell>
          <cell r="Z31">
            <v>66.36721337974231</v>
          </cell>
          <cell r="AA31">
            <v>68.358229781134582</v>
          </cell>
          <cell r="AB31">
            <v>70.408976674568621</v>
          </cell>
          <cell r="AC31">
            <v>72.52124597480568</v>
          </cell>
          <cell r="AD31">
            <v>74.696883354049859</v>
          </cell>
        </row>
        <row r="32">
          <cell r="C32" t="str">
            <v>Casino</v>
          </cell>
          <cell r="G32">
            <v>3837.9300000000003</v>
          </cell>
          <cell r="H32">
            <v>0.76329915926175418</v>
          </cell>
          <cell r="I32">
            <v>3896.7579999999998</v>
          </cell>
          <cell r="J32">
            <v>0.78204150997771937</v>
          </cell>
          <cell r="K32">
            <v>3700.89</v>
          </cell>
          <cell r="L32">
            <v>0.64549949122453898</v>
          </cell>
          <cell r="M32">
            <v>3487.4479999999994</v>
          </cell>
          <cell r="N32">
            <v>0.62619965032849256</v>
          </cell>
          <cell r="O32">
            <v>3781.1000000000004</v>
          </cell>
          <cell r="P32">
            <v>0.66136677686239531</v>
          </cell>
          <cell r="S32">
            <v>4414.5731070000011</v>
          </cell>
          <cell r="T32">
            <v>0.73540000000000005</v>
          </cell>
          <cell r="U32">
            <v>4597.6632345000007</v>
          </cell>
          <cell r="V32">
            <v>0.66600000000000004</v>
          </cell>
          <cell r="W32">
            <v>5094.3972555787504</v>
          </cell>
          <cell r="X32">
            <v>0.64170000000000005</v>
          </cell>
          <cell r="Y32">
            <v>5604.7102610152515</v>
          </cell>
          <cell r="Z32">
            <v>5884.9457740660146</v>
          </cell>
          <cell r="AA32">
            <v>6061.4941472879955</v>
          </cell>
          <cell r="AB32">
            <v>6243.3389717066357</v>
          </cell>
          <cell r="AC32">
            <v>6430.6391408578347</v>
          </cell>
          <cell r="AD32">
            <v>6623.5583150835701</v>
          </cell>
        </row>
        <row r="33">
          <cell r="C33" t="str">
            <v xml:space="preserve">   Total</v>
          </cell>
          <cell r="G33">
            <v>9746.9940000000006</v>
          </cell>
          <cell r="H33">
            <v>0.55446326421206205</v>
          </cell>
          <cell r="I33">
            <v>10461.611800000002</v>
          </cell>
          <cell r="J33">
            <v>0.4927371049018574</v>
          </cell>
          <cell r="K33">
            <v>9896.2752499999988</v>
          </cell>
          <cell r="L33">
            <v>0.4821426381221251</v>
          </cell>
          <cell r="M33">
            <v>8985.0750099999968</v>
          </cell>
          <cell r="N33">
            <v>0.46709675280422225</v>
          </cell>
          <cell r="O33">
            <v>9748.734207999998</v>
          </cell>
          <cell r="P33">
            <v>0.49850006674693403</v>
          </cell>
          <cell r="S33">
            <v>10237.588791572603</v>
          </cell>
          <cell r="T33">
            <v>0.51485050658558984</v>
          </cell>
          <cell r="U33">
            <v>10361.538793388463</v>
          </cell>
          <cell r="V33">
            <v>0.48698446794838812</v>
          </cell>
          <cell r="W33">
            <v>11203.392747259999</v>
          </cell>
          <cell r="X33">
            <v>0.47902448657935581</v>
          </cell>
          <cell r="Y33">
            <v>12193.930385121719</v>
          </cell>
          <cell r="Z33">
            <v>12772.617575001623</v>
          </cell>
          <cell r="AA33">
            <v>13155.79610225167</v>
          </cell>
          <cell r="AB33">
            <v>13550.469985319221</v>
          </cell>
          <cell r="AC33">
            <v>13956.984084878797</v>
          </cell>
          <cell r="AD33">
            <v>14375.693607425161</v>
          </cell>
        </row>
        <row r="35">
          <cell r="B35" t="str">
            <v>DEPARTMENTAL PROFIT</v>
          </cell>
          <cell r="G35">
            <v>7832.1580000000013</v>
          </cell>
          <cell r="H35">
            <v>0.15951150544690662</v>
          </cell>
          <cell r="I35">
            <v>10770.018</v>
          </cell>
          <cell r="J35">
            <v>0.5072628950981426</v>
          </cell>
          <cell r="K35">
            <v>10629.342000000001</v>
          </cell>
          <cell r="L35">
            <v>0.51785736187787479</v>
          </cell>
          <cell r="M35">
            <v>10250.929</v>
          </cell>
          <cell r="N35">
            <v>0.53290324719577775</v>
          </cell>
          <cell r="O35">
            <v>9807.3999999999978</v>
          </cell>
          <cell r="P35">
            <v>0.50149993325306597</v>
          </cell>
          <cell r="S35">
            <v>9646.9964630224331</v>
          </cell>
          <cell r="T35">
            <v>0.48514949341441016</v>
          </cell>
          <cell r="U35">
            <v>10915.400155076328</v>
          </cell>
          <cell r="V35">
            <v>0.51301553205161188</v>
          </cell>
          <cell r="W35">
            <v>12184.540565422611</v>
          </cell>
          <cell r="X35">
            <v>0.52097551342064408</v>
          </cell>
          <cell r="Y35">
            <v>13358.485410557027</v>
          </cell>
          <cell r="Z35">
            <v>14232.032395889717</v>
          </cell>
          <cell r="AA35">
            <v>14658.99336776641</v>
          </cell>
          <cell r="AB35">
            <v>15098.7631687994</v>
          </cell>
          <cell r="AC35">
            <v>15551.726063863392</v>
          </cell>
          <cell r="AD35">
            <v>16018.277845779288</v>
          </cell>
        </row>
        <row r="37">
          <cell r="B37" t="str">
            <v xml:space="preserve">UNDISTRIBUTED EXPENSES </v>
          </cell>
        </row>
        <row r="38">
          <cell r="C38" t="str">
            <v xml:space="preserve">Administrative and General </v>
          </cell>
          <cell r="G38">
            <v>1867.739</v>
          </cell>
          <cell r="H38">
            <v>0.10624738895255015</v>
          </cell>
          <cell r="I38">
            <v>1792.7090000000001</v>
          </cell>
          <cell r="J38">
            <v>8.443576950460957E-2</v>
          </cell>
          <cell r="K38">
            <v>1766.2370000000001</v>
          </cell>
          <cell r="L38">
            <v>8.6050372005256018E-2</v>
          </cell>
          <cell r="M38">
            <v>1573.4600000000003</v>
          </cell>
          <cell r="N38">
            <v>8.1797653981670201E-2</v>
          </cell>
          <cell r="O38">
            <v>1496.7999999999997</v>
          </cell>
          <cell r="P38">
            <v>7.6538644298508179E-2</v>
          </cell>
          <cell r="S38">
            <v>1560</v>
          </cell>
          <cell r="T38">
            <v>7.8452730093503301E-2</v>
          </cell>
          <cell r="U38">
            <v>1606.8</v>
          </cell>
          <cell r="V38">
            <v>7.5518381844862911E-2</v>
          </cell>
          <cell r="W38">
            <v>1655.0039999999999</v>
          </cell>
          <cell r="X38">
            <v>7.0763157132081367E-2</v>
          </cell>
          <cell r="Y38">
            <v>1704.6541200000001</v>
          </cell>
          <cell r="Z38">
            <v>1755.7937436000002</v>
          </cell>
          <cell r="AA38">
            <v>1808.4675559080003</v>
          </cell>
          <cell r="AB38">
            <v>1862.7215825852404</v>
          </cell>
          <cell r="AC38">
            <v>1918.6032300627976</v>
          </cell>
          <cell r="AD38">
            <v>1976.1613269646816</v>
          </cell>
        </row>
        <row r="39">
          <cell r="C39" t="str">
            <v>Marketing</v>
          </cell>
          <cell r="G39">
            <v>1358.029</v>
          </cell>
          <cell r="H39">
            <v>7.7252247434916085E-2</v>
          </cell>
          <cell r="I39">
            <v>1339.58</v>
          </cell>
          <cell r="J39">
            <v>6.3093601980569569E-2</v>
          </cell>
          <cell r="K39">
            <v>1383.377</v>
          </cell>
          <cell r="L39">
            <v>6.7397583378399989E-2</v>
          </cell>
          <cell r="M39">
            <v>1309.2350000000001</v>
          </cell>
          <cell r="N39">
            <v>6.8061693027272371E-2</v>
          </cell>
          <cell r="O39">
            <v>1581.6</v>
          </cell>
          <cell r="P39">
            <v>8.0874879624880117E-2</v>
          </cell>
          <cell r="S39">
            <v>1629.048</v>
          </cell>
          <cell r="T39">
            <v>8.1925168623949593E-2</v>
          </cell>
          <cell r="U39">
            <v>1677.9194399999999</v>
          </cell>
          <cell r="V39">
            <v>7.8860941607442447E-2</v>
          </cell>
          <cell r="W39">
            <v>1728.2570232000003</v>
          </cell>
          <cell r="X39">
            <v>7.3895243333142901E-2</v>
          </cell>
          <cell r="Y39">
            <v>1780.104733896</v>
          </cell>
          <cell r="Z39">
            <v>1833.5078759128803</v>
          </cell>
          <cell r="AA39">
            <v>1888.5131121902668</v>
          </cell>
          <cell r="AB39">
            <v>1945.1685055559749</v>
          </cell>
          <cell r="AC39">
            <v>2003.5235607226541</v>
          </cell>
          <cell r="AD39">
            <v>2063.6292675443337</v>
          </cell>
        </row>
        <row r="40">
          <cell r="C40" t="str">
            <v>Energy</v>
          </cell>
          <cell r="G40">
            <v>702.255</v>
          </cell>
          <cell r="H40">
            <v>3.9948172699115402E-2</v>
          </cell>
          <cell r="I40">
            <v>774.05200000000002</v>
          </cell>
          <cell r="J40">
            <v>3.6457493244348105E-2</v>
          </cell>
          <cell r="K40">
            <v>936.01800000000014</v>
          </cell>
          <cell r="L40">
            <v>4.5602428838041408E-2</v>
          </cell>
          <cell r="M40">
            <v>811.73500000000013</v>
          </cell>
          <cell r="N40">
            <v>4.2198733145304652E-2</v>
          </cell>
          <cell r="O40">
            <v>845.1</v>
          </cell>
          <cell r="P40">
            <v>4.3214062197133404E-2</v>
          </cell>
          <cell r="S40">
            <v>870.45300000000009</v>
          </cell>
          <cell r="T40">
            <v>4.377526555646169E-2</v>
          </cell>
          <cell r="U40">
            <v>896.56659000000013</v>
          </cell>
          <cell r="V40">
            <v>4.2137950020516964E-2</v>
          </cell>
          <cell r="W40">
            <v>923.46358770000018</v>
          </cell>
          <cell r="X40">
            <v>3.948461693275105E-2</v>
          </cell>
          <cell r="Y40">
            <v>951.16749533100017</v>
          </cell>
          <cell r="Z40">
            <v>979.70252019093016</v>
          </cell>
          <cell r="AA40">
            <v>1009.0935957966581</v>
          </cell>
          <cell r="AB40">
            <v>1039.3664036705579</v>
          </cell>
          <cell r="AC40">
            <v>1070.5473957806746</v>
          </cell>
          <cell r="AD40">
            <v>1102.6638176540948</v>
          </cell>
        </row>
        <row r="41">
          <cell r="C41" t="str">
            <v>POM</v>
          </cell>
          <cell r="G41">
            <v>715.63499999999999</v>
          </cell>
          <cell r="H41">
            <v>4.0709301563579402E-2</v>
          </cell>
          <cell r="I41">
            <v>816.44399999999996</v>
          </cell>
          <cell r="J41">
            <v>3.845413694995755E-2</v>
          </cell>
          <cell r="K41">
            <v>908.947</v>
          </cell>
          <cell r="L41">
            <v>4.4283540364663088E-2</v>
          </cell>
          <cell r="M41">
            <v>706.82000000000016</v>
          </cell>
          <cell r="N41">
            <v>3.6744637796527486E-2</v>
          </cell>
          <cell r="O41">
            <v>758.9</v>
          </cell>
          <cell r="P41">
            <v>3.8806238079995906E-2</v>
          </cell>
          <cell r="S41">
            <v>781.66700000000014</v>
          </cell>
          <cell r="T41">
            <v>3.9310198829486193E-2</v>
          </cell>
          <cell r="U41">
            <v>805.11701000000016</v>
          </cell>
          <cell r="V41">
            <v>3.7839889090723375E-2</v>
          </cell>
          <cell r="W41">
            <v>829.27052030000016</v>
          </cell>
          <cell r="X41">
            <v>3.5457195349976066E-2</v>
          </cell>
          <cell r="Y41">
            <v>854.14863590900018</v>
          </cell>
          <cell r="Z41">
            <v>879.77309498627017</v>
          </cell>
          <cell r="AA41">
            <v>906.16628783585827</v>
          </cell>
          <cell r="AB41">
            <v>933.35127647093407</v>
          </cell>
          <cell r="AC41">
            <v>961.35181476506216</v>
          </cell>
          <cell r="AD41">
            <v>990.19236920801404</v>
          </cell>
        </row>
        <row r="42">
          <cell r="G42" t="str">
            <v>_______</v>
          </cell>
          <cell r="H42" t="str">
            <v>______</v>
          </cell>
          <cell r="I42" t="str">
            <v>_______</v>
          </cell>
          <cell r="J42" t="str">
            <v>______</v>
          </cell>
          <cell r="K42" t="str">
            <v>_______</v>
          </cell>
          <cell r="L42" t="str">
            <v>______</v>
          </cell>
          <cell r="M42" t="str">
            <v>_______</v>
          </cell>
          <cell r="N42" t="str">
            <v>______</v>
          </cell>
          <cell r="O42" t="str">
            <v>_______</v>
          </cell>
          <cell r="P42" t="str">
            <v>______</v>
          </cell>
          <cell r="S42" t="str">
            <v>_______</v>
          </cell>
          <cell r="T42" t="str">
            <v>______</v>
          </cell>
          <cell r="U42" t="str">
            <v>_______</v>
          </cell>
          <cell r="V42" t="str">
            <v>______</v>
          </cell>
          <cell r="W42" t="str">
            <v>_______</v>
          </cell>
          <cell r="X42" t="str">
            <v>______</v>
          </cell>
          <cell r="Y42" t="str">
            <v>_______</v>
          </cell>
          <cell r="Z42" t="str">
            <v>_______</v>
          </cell>
          <cell r="AA42" t="str">
            <v>_______</v>
          </cell>
          <cell r="AB42" t="str">
            <v>_______</v>
          </cell>
          <cell r="AC42" t="str">
            <v>_______</v>
          </cell>
          <cell r="AD42" t="str">
            <v>_______</v>
          </cell>
        </row>
        <row r="43">
          <cell r="C43" t="str">
            <v xml:space="preserve">   Total</v>
          </cell>
          <cell r="G43">
            <v>4643.6580000000004</v>
          </cell>
          <cell r="H43">
            <v>0.26415711065016106</v>
          </cell>
          <cell r="I43">
            <v>4722.7849999999999</v>
          </cell>
          <cell r="J43">
            <v>0.2224410016794848</v>
          </cell>
          <cell r="K43">
            <v>4994.5789999999997</v>
          </cell>
          <cell r="L43">
            <v>0.24333392458636049</v>
          </cell>
          <cell r="M43">
            <v>4401.2500000000009</v>
          </cell>
          <cell r="N43">
            <v>0.22880271795077473</v>
          </cell>
          <cell r="O43">
            <v>4682.3999999999996</v>
          </cell>
          <cell r="P43">
            <v>0.23943382420051762</v>
          </cell>
          <cell r="S43">
            <v>4841.1679999999997</v>
          </cell>
          <cell r="T43">
            <v>0.24346336310340075</v>
          </cell>
          <cell r="U43">
            <v>4986.4030400000001</v>
          </cell>
          <cell r="V43">
            <v>0.23435716256354569</v>
          </cell>
          <cell r="W43">
            <v>5135.9951312000012</v>
          </cell>
          <cell r="X43">
            <v>0.21960021274795141</v>
          </cell>
          <cell r="Y43">
            <v>5290.0749851360006</v>
          </cell>
          <cell r="Z43">
            <v>5448.7772346900801</v>
          </cell>
          <cell r="AA43">
            <v>5612.2405517307834</v>
          </cell>
          <cell r="AB43">
            <v>5780.6077682827072</v>
          </cell>
          <cell r="AC43">
            <v>5954.0260013311881</v>
          </cell>
          <cell r="AD43">
            <v>6132.6467813711242</v>
          </cell>
        </row>
        <row r="45">
          <cell r="B45" t="str">
            <v>GROSS OPERATING PROFIT</v>
          </cell>
          <cell r="G45">
            <v>3188.5000000000009</v>
          </cell>
          <cell r="H45">
            <v>0.18137962513777686</v>
          </cell>
          <cell r="I45">
            <v>6047.2330000000002</v>
          </cell>
          <cell r="J45">
            <v>0.28482189341865782</v>
          </cell>
          <cell r="K45">
            <v>5634.7630000000008</v>
          </cell>
          <cell r="L45">
            <v>0.2745234372915144</v>
          </cell>
          <cell r="M45">
            <v>5849.6789999999992</v>
          </cell>
          <cell r="N45">
            <v>0.30410052924500303</v>
          </cell>
          <cell r="O45">
            <v>5124.9999999999982</v>
          </cell>
          <cell r="P45">
            <v>0.26206610905254835</v>
          </cell>
          <cell r="S45">
            <v>4805.8284630224334</v>
          </cell>
          <cell r="T45">
            <v>0.24168613031100947</v>
          </cell>
          <cell r="U45">
            <v>5928.9971150763276</v>
          </cell>
          <cell r="V45">
            <v>0.27865836948806616</v>
          </cell>
          <cell r="W45">
            <v>7048.5454342226094</v>
          </cell>
          <cell r="X45">
            <v>0.3013753006726928</v>
          </cell>
          <cell r="Y45">
            <v>8068.410425421026</v>
          </cell>
          <cell r="Z45">
            <v>8783.2551611996369</v>
          </cell>
          <cell r="AA45">
            <v>9046.7528160356269</v>
          </cell>
          <cell r="AB45">
            <v>9318.1554005166927</v>
          </cell>
          <cell r="AC45">
            <v>9597.7000625322034</v>
          </cell>
          <cell r="AD45">
            <v>9885.6310644081641</v>
          </cell>
        </row>
        <row r="47">
          <cell r="B47" t="str">
            <v>FIXED EXPENSES</v>
          </cell>
        </row>
        <row r="48">
          <cell r="C48" t="str">
            <v xml:space="preserve">Management Fees </v>
          </cell>
          <cell r="G48">
            <v>878.94600000000003</v>
          </cell>
          <cell r="H48">
            <v>4.9999340127441866E-2</v>
          </cell>
          <cell r="I48">
            <v>1061.376</v>
          </cell>
          <cell r="J48">
            <v>4.999032151549665E-2</v>
          </cell>
          <cell r="K48">
            <v>1026.4590000000001</v>
          </cell>
          <cell r="L48">
            <v>5.0008678788941177E-2</v>
          </cell>
          <cell r="M48">
            <v>961.79700000000003</v>
          </cell>
          <cell r="N48">
            <v>4.9999833619290258E-2</v>
          </cell>
          <cell r="O48">
            <v>977.80671039999982</v>
          </cell>
          <cell r="P48">
            <v>0.05</v>
          </cell>
          <cell r="S48">
            <v>497.11463136487595</v>
          </cell>
          <cell r="T48">
            <v>2.5000000000000001E-2</v>
          </cell>
          <cell r="U48">
            <v>531.92347371161975</v>
          </cell>
          <cell r="V48">
            <v>2.4999999999999998E-2</v>
          </cell>
          <cell r="W48">
            <v>584.69833281706531</v>
          </cell>
          <cell r="X48">
            <v>2.5000000000000001E-2</v>
          </cell>
          <cell r="Y48">
            <v>638.81039489196871</v>
          </cell>
          <cell r="Z48">
            <v>675.11624927228354</v>
          </cell>
          <cell r="AA48">
            <v>695.36973675045203</v>
          </cell>
          <cell r="AB48">
            <v>716.2308288529656</v>
          </cell>
          <cell r="AC48">
            <v>737.7177537185546</v>
          </cell>
          <cell r="AD48">
            <v>759.84928633011123</v>
          </cell>
        </row>
        <row r="49">
          <cell r="C49" t="str">
            <v>Taxes</v>
          </cell>
          <cell r="G49">
            <v>150</v>
          </cell>
          <cell r="H49">
            <v>8.5328348034080358E-3</v>
          </cell>
          <cell r="I49">
            <v>150</v>
          </cell>
          <cell r="J49">
            <v>7.0649310209807813E-3</v>
          </cell>
          <cell r="K49">
            <v>166.56800000000001</v>
          </cell>
          <cell r="L49">
            <v>8.1151274512828598E-3</v>
          </cell>
          <cell r="M49">
            <v>122.429</v>
          </cell>
          <cell r="N49">
            <v>6.3645755083204534E-3</v>
          </cell>
          <cell r="O49">
            <v>176.9</v>
          </cell>
          <cell r="P49">
            <v>9.0457550617357701E-3</v>
          </cell>
          <cell r="S49">
            <v>150</v>
          </cell>
          <cell r="T49">
            <v>7.543531739759933E-3</v>
          </cell>
          <cell r="U49">
            <v>154.5</v>
          </cell>
          <cell r="V49">
            <v>7.261382869698357E-3</v>
          </cell>
          <cell r="W49">
            <v>159.13499999999999</v>
          </cell>
          <cell r="X49">
            <v>6.8041497242385934E-3</v>
          </cell>
          <cell r="Y49">
            <v>163.90905000000001</v>
          </cell>
          <cell r="Z49">
            <v>168.82632150000001</v>
          </cell>
          <cell r="AA49">
            <v>173.891111145</v>
          </cell>
          <cell r="AB49">
            <v>179.10784447935001</v>
          </cell>
          <cell r="AC49">
            <v>184.4810798137305</v>
          </cell>
          <cell r="AD49">
            <v>190.01551220814241</v>
          </cell>
        </row>
        <row r="50">
          <cell r="C50" t="str">
            <v>Insurance</v>
          </cell>
          <cell r="G50">
            <v>208.095</v>
          </cell>
          <cell r="H50">
            <v>1.1837601722767968E-2</v>
          </cell>
          <cell r="I50">
            <v>383.30799999999999</v>
          </cell>
          <cell r="J50">
            <v>1.8053630531934008E-2</v>
          </cell>
          <cell r="K50">
            <v>331.303</v>
          </cell>
          <cell r="L50">
            <v>1.6140951863457358E-2</v>
          </cell>
          <cell r="M50">
            <v>336.61</v>
          </cell>
          <cell r="N50">
            <v>1.7498956634912868E-2</v>
          </cell>
          <cell r="O50">
            <v>717.6</v>
          </cell>
          <cell r="P50">
            <v>3.6694368752411465E-2</v>
          </cell>
          <cell r="S50">
            <v>700</v>
          </cell>
          <cell r="T50">
            <v>3.5203148118879687E-2</v>
          </cell>
          <cell r="U50">
            <v>560</v>
          </cell>
          <cell r="V50">
            <v>2.6319575450039351E-2</v>
          </cell>
          <cell r="W50">
            <v>576.80000000000007</v>
          </cell>
          <cell r="X50">
            <v>2.4662290262612383E-2</v>
          </cell>
          <cell r="Y50">
            <v>594.10400000000004</v>
          </cell>
          <cell r="Z50">
            <v>611.92712000000006</v>
          </cell>
          <cell r="AA50">
            <v>630.28493360000004</v>
          </cell>
          <cell r="AB50">
            <v>649.19348160800007</v>
          </cell>
          <cell r="AC50">
            <v>668.66928605624014</v>
          </cell>
          <cell r="AD50">
            <v>688.72936463792735</v>
          </cell>
        </row>
        <row r="51">
          <cell r="C51" t="str">
            <v>Leases (3)</v>
          </cell>
          <cell r="D51" t="str">
            <v xml:space="preserve"> </v>
          </cell>
          <cell r="G51">
            <v>483.101</v>
          </cell>
          <cell r="H51">
            <v>2.7481473509074837E-2</v>
          </cell>
          <cell r="I51">
            <v>468.024</v>
          </cell>
          <cell r="J51">
            <v>2.2043715174423394E-2</v>
          </cell>
          <cell r="K51">
            <v>47.234999999999992</v>
          </cell>
          <cell r="L51">
            <v>2.3012706231769959E-3</v>
          </cell>
          <cell r="M51">
            <v>26.309000000000005</v>
          </cell>
          <cell r="N51">
            <v>1.3676957015772637E-3</v>
          </cell>
          <cell r="O51">
            <v>25.1</v>
          </cell>
          <cell r="P51">
            <v>1.2834847487256519E-3</v>
          </cell>
          <cell r="S51">
            <v>25.521561909007712</v>
          </cell>
          <cell r="T51">
            <v>1.2834847487256519E-3</v>
          </cell>
          <cell r="U51">
            <v>27.308626639921368</v>
          </cell>
          <cell r="V51">
            <v>1.2834847487256519E-3</v>
          </cell>
          <cell r="W51">
            <v>30.018055711040741</v>
          </cell>
          <cell r="X51">
            <v>1.2834847487256519E-3</v>
          </cell>
          <cell r="Y51">
            <v>32.796135966850116</v>
          </cell>
          <cell r="Z51">
            <v>34.660056382313655</v>
          </cell>
          <cell r="AA51">
            <v>35.699858073783069</v>
          </cell>
          <cell r="AB51">
            <v>36.77085381599656</v>
          </cell>
          <cell r="AC51">
            <v>37.87397943047646</v>
          </cell>
          <cell r="AD51">
            <v>39.010198813390758</v>
          </cell>
        </row>
        <row r="52">
          <cell r="C52" t="str">
            <v>Other (4)</v>
          </cell>
          <cell r="G52">
            <v>66.144000000000005</v>
          </cell>
          <cell r="H52">
            <v>3.762638834910808E-3</v>
          </cell>
          <cell r="I52">
            <v>277.221</v>
          </cell>
          <cell r="J52">
            <v>1.3056981617115422E-2</v>
          </cell>
          <cell r="K52">
            <v>82.418000000000006</v>
          </cell>
          <cell r="L52">
            <v>4.0153725462263512E-3</v>
          </cell>
          <cell r="M52">
            <v>233.83500000000001</v>
          </cell>
          <cell r="N52">
            <v>1.2156111003014915E-2</v>
          </cell>
          <cell r="O52">
            <v>179.8</v>
          </cell>
          <cell r="P52">
            <v>9.1940461283216025E-3</v>
          </cell>
          <cell r="S52">
            <v>90</v>
          </cell>
          <cell r="T52">
            <v>4.52611904385596E-3</v>
          </cell>
          <cell r="U52">
            <v>92.7</v>
          </cell>
          <cell r="V52">
            <v>4.3568297218190138E-3</v>
          </cell>
          <cell r="W52">
            <v>95.481000000000009</v>
          </cell>
          <cell r="X52">
            <v>4.0824898345431567E-3</v>
          </cell>
          <cell r="Y52">
            <v>98.345430000000007</v>
          </cell>
          <cell r="Z52">
            <v>101.29579290000001</v>
          </cell>
          <cell r="AA52">
            <v>104.33466668700001</v>
          </cell>
          <cell r="AB52">
            <v>107.46470668761002</v>
          </cell>
          <cell r="AC52">
            <v>110.68864788823832</v>
          </cell>
          <cell r="AD52">
            <v>114.00930732488547</v>
          </cell>
        </row>
        <row r="53">
          <cell r="C53" t="str">
            <v>Rent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424.49599999999998</v>
          </cell>
          <cell r="L53">
            <v>2.0681278172036459E-2</v>
          </cell>
          <cell r="M53">
            <v>420.738</v>
          </cell>
          <cell r="N53">
            <v>2.1872422140340367E-2</v>
          </cell>
          <cell r="O53">
            <v>431</v>
          </cell>
          <cell r="P53">
            <v>2.2039120585687487E-2</v>
          </cell>
          <cell r="S53">
            <v>386</v>
          </cell>
          <cell r="T53">
            <v>1.9412021676982225E-2</v>
          </cell>
          <cell r="U53">
            <v>397.58</v>
          </cell>
          <cell r="V53">
            <v>1.8685958584690437E-2</v>
          </cell>
          <cell r="W53">
            <v>409.50740000000002</v>
          </cell>
          <cell r="X53">
            <v>1.7509345290373981E-2</v>
          </cell>
          <cell r="Y53">
            <v>421.79262200000005</v>
          </cell>
          <cell r="Z53">
            <v>434.44640066000005</v>
          </cell>
          <cell r="AA53">
            <v>447.47979267980008</v>
          </cell>
          <cell r="AB53">
            <v>460.90418646019413</v>
          </cell>
          <cell r="AC53">
            <v>474.73131205399994</v>
          </cell>
          <cell r="AD53">
            <v>488.97325141561993</v>
          </cell>
        </row>
        <row r="54">
          <cell r="C54" t="str">
            <v>Franchise Fee (5)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473.12175374425181</v>
          </cell>
          <cell r="T54">
            <v>2.3793393107604307E-2</v>
          </cell>
          <cell r="U54">
            <v>493.31760391481657</v>
          </cell>
          <cell r="V54">
            <v>2.3185553387622578E-2</v>
          </cell>
          <cell r="W54">
            <v>518.80334561956863</v>
          </cell>
          <cell r="X54">
            <v>2.2182522016096069E-2</v>
          </cell>
          <cell r="Y54">
            <v>549.93154635674273</v>
          </cell>
          <cell r="Z54">
            <v>577.42812367457998</v>
          </cell>
          <cell r="AA54">
            <v>594.75096738481739</v>
          </cell>
          <cell r="AB54">
            <v>612.59349640636196</v>
          </cell>
          <cell r="AC54">
            <v>630.97130129855282</v>
          </cell>
          <cell r="AD54">
            <v>649.90044033750939</v>
          </cell>
        </row>
        <row r="55">
          <cell r="C55" t="str">
            <v>Incentive Fee (6)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160.79942301526592</v>
          </cell>
          <cell r="V55">
            <v>7.5574509756662243E-3</v>
          </cell>
          <cell r="W55">
            <v>350.81899969023914</v>
          </cell>
          <cell r="X55">
            <v>1.4999999999999999E-2</v>
          </cell>
          <cell r="Y55">
            <v>383.28623693518119</v>
          </cell>
          <cell r="Z55">
            <v>405.06974956337007</v>
          </cell>
          <cell r="AA55">
            <v>417.22184205027116</v>
          </cell>
          <cell r="AB55">
            <v>429.73849731177933</v>
          </cell>
          <cell r="AC55">
            <v>442.63065223113284</v>
          </cell>
          <cell r="AD55">
            <v>455.90957179806674</v>
          </cell>
        </row>
        <row r="56">
          <cell r="C56" t="str">
            <v>FE&amp;E Reserve (7)</v>
          </cell>
          <cell r="G56">
            <v>602.60446000000002</v>
          </cell>
          <cell r="H56">
            <v>3.4279495393179371E-2</v>
          </cell>
          <cell r="I56">
            <v>749.60915200000011</v>
          </cell>
          <cell r="J56">
            <v>3.5306246343839325E-2</v>
          </cell>
          <cell r="K56">
            <v>706.3572099999999</v>
          </cell>
          <cell r="L56">
            <v>3.4413445471414505E-2</v>
          </cell>
          <cell r="M56">
            <v>658.05562039999995</v>
          </cell>
          <cell r="N56">
            <v>3.4209580121625276E-2</v>
          </cell>
          <cell r="O56">
            <v>667.9033683199998</v>
          </cell>
          <cell r="P56">
            <v>3.4153138918773362E-2</v>
          </cell>
          <cell r="S56">
            <v>675.32431018380146</v>
          </cell>
          <cell r="T56">
            <v>3.3962202456686588E-2</v>
          </cell>
          <cell r="U56">
            <v>713.0095929385916</v>
          </cell>
          <cell r="V56">
            <v>3.3510910317766263E-2</v>
          </cell>
          <cell r="W56">
            <v>776.73917275730446</v>
          </cell>
          <cell r="X56">
            <v>3.3211107726910653E-2</v>
          </cell>
          <cell r="Y56">
            <v>847.44065610214989</v>
          </cell>
          <cell r="Z56">
            <v>896.79722432440349</v>
          </cell>
          <cell r="AA56">
            <v>923.70114105413563</v>
          </cell>
          <cell r="AB56">
            <v>951.41217528575976</v>
          </cell>
          <cell r="AC56">
            <v>979.95454054433253</v>
          </cell>
          <cell r="AD56">
            <v>1009.3531767606626</v>
          </cell>
        </row>
        <row r="57">
          <cell r="G57" t="str">
            <v>_______</v>
          </cell>
          <cell r="H57" t="str">
            <v>______</v>
          </cell>
          <cell r="I57" t="str">
            <v>_______</v>
          </cell>
          <cell r="J57" t="str">
            <v>______</v>
          </cell>
          <cell r="K57" t="str">
            <v>_______</v>
          </cell>
          <cell r="L57" t="str">
            <v>______</v>
          </cell>
          <cell r="M57" t="str">
            <v>_______</v>
          </cell>
          <cell r="N57" t="str">
            <v>______</v>
          </cell>
          <cell r="O57" t="str">
            <v>_______</v>
          </cell>
          <cell r="P57" t="str">
            <v>______</v>
          </cell>
          <cell r="S57" t="str">
            <v>_______</v>
          </cell>
          <cell r="T57" t="str">
            <v>______</v>
          </cell>
          <cell r="U57" t="str">
            <v>_______</v>
          </cell>
          <cell r="V57" t="str">
            <v>______</v>
          </cell>
          <cell r="W57" t="str">
            <v>_______</v>
          </cell>
          <cell r="X57" t="str">
            <v>______</v>
          </cell>
          <cell r="Y57" t="str">
            <v>_______</v>
          </cell>
          <cell r="Z57" t="str">
            <v>_______</v>
          </cell>
          <cell r="AA57" t="str">
            <v>_______</v>
          </cell>
          <cell r="AB57" t="str">
            <v>_______</v>
          </cell>
          <cell r="AC57" t="str">
            <v>_______</v>
          </cell>
          <cell r="AD57" t="str">
            <v>_______</v>
          </cell>
        </row>
        <row r="58">
          <cell r="C58" t="str">
            <v xml:space="preserve">   Total</v>
          </cell>
          <cell r="G58">
            <v>2388.8904599999996</v>
          </cell>
          <cell r="H58">
            <v>0.13589338439078286</v>
          </cell>
          <cell r="I58">
            <v>3089.5381520000001</v>
          </cell>
          <cell r="J58">
            <v>0.14551582620378958</v>
          </cell>
          <cell r="K58">
            <v>2784.8362099999995</v>
          </cell>
          <cell r="L58">
            <v>0.13567612491653569</v>
          </cell>
          <cell r="M58">
            <v>2759.7736204000003</v>
          </cell>
          <cell r="N58">
            <v>0.14346917472908141</v>
          </cell>
          <cell r="O58">
            <v>3176.1100787199994</v>
          </cell>
          <cell r="P58">
            <v>0.16240991419565534</v>
          </cell>
          <cell r="S58">
            <v>2997.082257201937</v>
          </cell>
          <cell r="T58">
            <v>0.15072390089249435</v>
          </cell>
          <cell r="U58">
            <v>3131.1387202202154</v>
          </cell>
          <cell r="V58">
            <v>0.14716114605602787</v>
          </cell>
          <cell r="W58">
            <v>3502.0013065952185</v>
          </cell>
          <cell r="X58">
            <v>0.1497353896035005</v>
          </cell>
          <cell r="Y58">
            <v>3730.4160722528932</v>
          </cell>
          <cell r="Z58">
            <v>3905.5670382769508</v>
          </cell>
          <cell r="AA58">
            <v>4022.7340494252594</v>
          </cell>
          <cell r="AB58">
            <v>4143.416070908017</v>
          </cell>
          <cell r="AC58">
            <v>4267.7185530352581</v>
          </cell>
          <cell r="AD58">
            <v>4395.7501096263159</v>
          </cell>
        </row>
        <row r="60">
          <cell r="B60" t="str">
            <v>NET OPERATING INCOME (8)</v>
          </cell>
          <cell r="G60">
            <v>799.60954000000129</v>
          </cell>
          <cell r="H60">
            <v>4.5486240746994006E-2</v>
          </cell>
          <cell r="I60">
            <v>2957.6948480000001</v>
          </cell>
          <cell r="J60">
            <v>0.13930606721486824</v>
          </cell>
          <cell r="K60">
            <v>2849.9267900000013</v>
          </cell>
          <cell r="L60">
            <v>0.13884731237497872</v>
          </cell>
          <cell r="M60">
            <v>3089.9053795999989</v>
          </cell>
          <cell r="N60">
            <v>0.16063135451592159</v>
          </cell>
          <cell r="O60">
            <v>1948.8899212799988</v>
          </cell>
          <cell r="P60">
            <v>9.9656194856893018E-2</v>
          </cell>
          <cell r="S60">
            <v>1808.7462058204965</v>
          </cell>
          <cell r="T60">
            <v>9.0962229418515117E-2</v>
          </cell>
          <cell r="U60">
            <v>2797.8583948561122</v>
          </cell>
          <cell r="V60">
            <v>0.13149722343203829</v>
          </cell>
          <cell r="W60">
            <v>3546.5441276273909</v>
          </cell>
          <cell r="X60">
            <v>0.15163991106919231</v>
          </cell>
          <cell r="Y60">
            <v>4337.9943531681329</v>
          </cell>
          <cell r="Z60">
            <v>4877.6881229226856</v>
          </cell>
          <cell r="AA60">
            <v>5024.0187666103675</v>
          </cell>
          <cell r="AB60">
            <v>5174.7393296086757</v>
          </cell>
          <cell r="AC60">
            <v>5329.9815094969454</v>
          </cell>
          <cell r="AD60">
            <v>5489.8809547818482</v>
          </cell>
        </row>
        <row r="63">
          <cell r="B63" t="str">
            <v>(1) The actual financial achievements of the hotel may vary because of changing economic conditions and unforeseeable future events -- both positive and negative  as well as management actions, among other unknown factors.</v>
          </cell>
        </row>
      </sheetData>
      <sheetData sheetId="1" refreshError="1">
        <row r="1">
          <cell r="A1" t="str">
            <v>TISHMAN HOTEL CORPORATION</v>
          </cell>
        </row>
        <row r="2">
          <cell r="A2" t="str">
            <v>WYNDHAM OLD SAN JUAN</v>
          </cell>
        </row>
        <row r="3">
          <cell r="A3" t="str">
            <v>SAN JUAN, PUERTO RICO</v>
          </cell>
        </row>
        <row r="4">
          <cell r="A4" t="str">
            <v>INPUT PAGE:  HISTORICAL</v>
          </cell>
        </row>
        <row r="7">
          <cell r="A7" t="str">
            <v xml:space="preserve"> Rooms (Current):</v>
          </cell>
          <cell r="C7">
            <v>240</v>
          </cell>
          <cell r="E7" t="str">
            <v xml:space="preserve">   Historical</v>
          </cell>
          <cell r="F7" t="str">
            <v xml:space="preserve">   Historical</v>
          </cell>
          <cell r="G7" t="str">
            <v>Historical</v>
          </cell>
          <cell r="H7" t="str">
            <v>Historical</v>
          </cell>
          <cell r="I7" t="str">
            <v>Historical</v>
          </cell>
          <cell r="J7" t="str">
            <v xml:space="preserve">  Projected</v>
          </cell>
          <cell r="K7" t="str">
            <v xml:space="preserve">  Projected</v>
          </cell>
        </row>
        <row r="8">
          <cell r="E8">
            <v>1998</v>
          </cell>
          <cell r="F8">
            <v>1999</v>
          </cell>
          <cell r="G8">
            <v>2000</v>
          </cell>
          <cell r="H8">
            <v>2001</v>
          </cell>
          <cell r="I8">
            <v>2002</v>
          </cell>
          <cell r="J8">
            <v>2003</v>
          </cell>
          <cell r="K8">
            <v>2004</v>
          </cell>
        </row>
        <row r="9">
          <cell r="A9" t="str">
            <v>Days in Year</v>
          </cell>
          <cell r="E9">
            <v>365</v>
          </cell>
          <cell r="F9">
            <v>365</v>
          </cell>
          <cell r="G9">
            <v>366</v>
          </cell>
          <cell r="H9">
            <v>365</v>
          </cell>
          <cell r="I9">
            <v>365</v>
          </cell>
          <cell r="J9">
            <v>365</v>
          </cell>
          <cell r="K9">
            <v>366</v>
          </cell>
        </row>
        <row r="10">
          <cell r="A10" t="str">
            <v>Rooms (Annual)</v>
          </cell>
          <cell r="E10">
            <v>238.58500000000001</v>
          </cell>
          <cell r="F10">
            <v>240</v>
          </cell>
          <cell r="G10">
            <v>240</v>
          </cell>
          <cell r="H10">
            <v>240</v>
          </cell>
          <cell r="I10">
            <v>240</v>
          </cell>
          <cell r="J10">
            <v>240</v>
          </cell>
          <cell r="K10">
            <v>240</v>
          </cell>
        </row>
        <row r="11">
          <cell r="A11" t="str">
            <v>Occupancy %</v>
          </cell>
          <cell r="E11">
            <v>0.67954300196277073</v>
          </cell>
          <cell r="F11">
            <v>0.82317351598173516</v>
          </cell>
          <cell r="G11">
            <v>0.75768442622950816</v>
          </cell>
          <cell r="H11">
            <v>0.71779680365296805</v>
          </cell>
          <cell r="I11">
            <v>0.81599999999999995</v>
          </cell>
          <cell r="J11">
            <v>0</v>
          </cell>
          <cell r="K11">
            <v>0</v>
          </cell>
        </row>
        <row r="12">
          <cell r="A12" t="str">
            <v>Average Daily Rate</v>
          </cell>
          <cell r="E12">
            <v>140</v>
          </cell>
          <cell r="F12">
            <v>156.18</v>
          </cell>
          <cell r="G12">
            <v>158.55000000000001</v>
          </cell>
          <cell r="H12">
            <v>149.19</v>
          </cell>
          <cell r="I12">
            <v>132.38</v>
          </cell>
          <cell r="J12">
            <v>0</v>
          </cell>
          <cell r="K12">
            <v>0</v>
          </cell>
        </row>
        <row r="13">
          <cell r="A13" t="str">
            <v>Occupied Rooms</v>
          </cell>
          <cell r="E13">
            <v>59177</v>
          </cell>
          <cell r="F13">
            <v>72110</v>
          </cell>
          <cell r="G13">
            <v>66555</v>
          </cell>
          <cell r="H13">
            <v>62879</v>
          </cell>
          <cell r="I13">
            <v>71481.599999999991</v>
          </cell>
          <cell r="J13">
            <v>70079.845823999989</v>
          </cell>
          <cell r="K13">
            <v>69393.447334079989</v>
          </cell>
        </row>
        <row r="14">
          <cell r="A14" t="str">
            <v>Available Rooms</v>
          </cell>
          <cell r="E14">
            <v>87083.525000000009</v>
          </cell>
          <cell r="F14">
            <v>87600</v>
          </cell>
          <cell r="G14">
            <v>87840</v>
          </cell>
          <cell r="H14">
            <v>87600</v>
          </cell>
          <cell r="I14">
            <v>87600</v>
          </cell>
          <cell r="J14">
            <v>87600</v>
          </cell>
          <cell r="K14">
            <v>87840</v>
          </cell>
        </row>
        <row r="16">
          <cell r="A16" t="str">
            <v>REVENUES</v>
          </cell>
        </row>
        <row r="17">
          <cell r="B17" t="str">
            <v>Rooms</v>
          </cell>
          <cell r="E17">
            <v>8284.7800000000007</v>
          </cell>
          <cell r="F17">
            <v>11262.139800000001</v>
          </cell>
          <cell r="G17">
            <v>10552.295249999999</v>
          </cell>
          <cell r="H17">
            <v>9380.9180099999994</v>
          </cell>
          <cell r="I17">
            <v>9462.734207999998</v>
          </cell>
          <cell r="J17">
            <v>9462.4350748850356</v>
          </cell>
          <cell r="K17">
            <v>9866.3520782963315</v>
          </cell>
        </row>
        <row r="18">
          <cell r="B18" t="str">
            <v>Food</v>
          </cell>
          <cell r="E18">
            <v>2323.7080000000001</v>
          </cell>
          <cell r="F18">
            <v>2631.5790000000002</v>
          </cell>
          <cell r="G18">
            <v>2523.893</v>
          </cell>
          <cell r="H18">
            <v>2570.5529999999999</v>
          </cell>
          <cell r="I18">
            <v>2616.9</v>
          </cell>
          <cell r="J18">
            <v>0</v>
          </cell>
          <cell r="K18">
            <v>0</v>
          </cell>
        </row>
        <row r="19">
          <cell r="B19" t="str">
            <v>Beverage</v>
          </cell>
          <cell r="E19">
            <v>1433.498</v>
          </cell>
          <cell r="F19">
            <v>1530.1120000000001</v>
          </cell>
          <cell r="G19">
            <v>975.745</v>
          </cell>
          <cell r="H19">
            <v>990.15</v>
          </cell>
          <cell r="I19">
            <v>994</v>
          </cell>
          <cell r="J19">
            <v>0</v>
          </cell>
          <cell r="K19">
            <v>0</v>
          </cell>
        </row>
        <row r="20">
          <cell r="B20" t="str">
            <v>Communications</v>
          </cell>
          <cell r="E20">
            <v>356.58699999999999</v>
          </cell>
          <cell r="F20">
            <v>454.00400000000002</v>
          </cell>
          <cell r="G20">
            <v>393.80399999999997</v>
          </cell>
          <cell r="H20">
            <v>406.81</v>
          </cell>
          <cell r="I20">
            <v>369.1</v>
          </cell>
          <cell r="J20">
            <v>0</v>
          </cell>
          <cell r="K20">
            <v>0</v>
          </cell>
        </row>
        <row r="21">
          <cell r="B21" t="str">
            <v>Minor Ops. Dept.</v>
          </cell>
          <cell r="E21">
            <v>103.36199999999999</v>
          </cell>
          <cell r="F21">
            <v>259.94600000000003</v>
          </cell>
          <cell r="G21">
            <v>225.26400000000001</v>
          </cell>
          <cell r="H21">
            <v>224.20400000000001</v>
          </cell>
          <cell r="I21">
            <v>220.5</v>
          </cell>
          <cell r="J21">
            <v>0</v>
          </cell>
          <cell r="K21">
            <v>0</v>
          </cell>
        </row>
        <row r="22">
          <cell r="B22" t="str">
            <v>Rental &amp; Other Income</v>
          </cell>
          <cell r="E22">
            <v>49.136000000000003</v>
          </cell>
          <cell r="F22">
            <v>111.047</v>
          </cell>
          <cell r="G22">
            <v>121.242</v>
          </cell>
          <cell r="H22">
            <v>94.141999999999996</v>
          </cell>
          <cell r="I22">
            <v>175.8</v>
          </cell>
          <cell r="J22">
            <v>0</v>
          </cell>
          <cell r="K22">
            <v>0</v>
          </cell>
        </row>
        <row r="23">
          <cell r="B23" t="str">
            <v>Casino</v>
          </cell>
          <cell r="E23">
            <v>5028.0810000000001</v>
          </cell>
          <cell r="F23">
            <v>4982.8019999999997</v>
          </cell>
          <cell r="G23">
            <v>5733.3739999999998</v>
          </cell>
          <cell r="H23">
            <v>5569.2269999999999</v>
          </cell>
          <cell r="I23">
            <v>5717.1</v>
          </cell>
          <cell r="J23">
            <v>0</v>
          </cell>
          <cell r="K23">
            <v>0</v>
          </cell>
        </row>
        <row r="25">
          <cell r="B25" t="str">
            <v xml:space="preserve">   Total</v>
          </cell>
          <cell r="E25">
            <v>17579.152000000002</v>
          </cell>
          <cell r="F25">
            <v>21231.629800000002</v>
          </cell>
          <cell r="G25">
            <v>20525.617249999999</v>
          </cell>
          <cell r="H25">
            <v>19236.004009999997</v>
          </cell>
          <cell r="I25">
            <v>19556.134207999996</v>
          </cell>
          <cell r="J25">
            <v>9462.4350748850356</v>
          </cell>
          <cell r="K25">
            <v>9866.3520782963315</v>
          </cell>
        </row>
        <row r="27">
          <cell r="A27" t="str">
            <v>DEPARTMENTAL EXPENSES</v>
          </cell>
        </row>
        <row r="28">
          <cell r="B28" t="str">
            <v>Rooms</v>
          </cell>
          <cell r="E28">
            <v>2232.0200000000004</v>
          </cell>
          <cell r="F28">
            <v>2535.1038000000008</v>
          </cell>
          <cell r="G28">
            <v>2614.5672499999991</v>
          </cell>
          <cell r="H28">
            <v>2235.6670099999992</v>
          </cell>
          <cell r="I28">
            <v>2410.234207999998</v>
          </cell>
          <cell r="J28">
            <v>0</v>
          </cell>
          <cell r="K28">
            <v>0</v>
          </cell>
        </row>
        <row r="29">
          <cell r="B29" t="str">
            <v>Food &amp; Beverage</v>
          </cell>
          <cell r="E29">
            <v>3344.8389999999999</v>
          </cell>
          <cell r="F29">
            <v>3606.6510000000007</v>
          </cell>
          <cell r="G29">
            <v>3221.7660000000001</v>
          </cell>
          <cell r="H29">
            <v>2919.3270000000002</v>
          </cell>
          <cell r="I29">
            <v>3215.4</v>
          </cell>
          <cell r="J29">
            <v>0</v>
          </cell>
          <cell r="K29">
            <v>0</v>
          </cell>
        </row>
        <row r="30">
          <cell r="B30" t="str">
            <v>Communications</v>
          </cell>
          <cell r="E30">
            <v>260.65300000000002</v>
          </cell>
          <cell r="F30">
            <v>246.12900000000002</v>
          </cell>
          <cell r="G30">
            <v>213.21899999999997</v>
          </cell>
          <cell r="H30">
            <v>196.29300000000001</v>
          </cell>
          <cell r="I30">
            <v>181.60000000000002</v>
          </cell>
          <cell r="J30">
            <v>0</v>
          </cell>
          <cell r="K30">
            <v>0</v>
          </cell>
        </row>
        <row r="31">
          <cell r="B31" t="str">
            <v>Minor Ops. Dept.</v>
          </cell>
          <cell r="E31">
            <v>71.551999999999992</v>
          </cell>
          <cell r="F31">
            <v>176.97000000000003</v>
          </cell>
          <cell r="G31">
            <v>145.83300000000003</v>
          </cell>
          <cell r="H31">
            <v>146.34</v>
          </cell>
          <cell r="I31">
            <v>160.4</v>
          </cell>
          <cell r="J31">
            <v>0</v>
          </cell>
          <cell r="K31">
            <v>0</v>
          </cell>
        </row>
        <row r="32">
          <cell r="B32" t="str">
            <v>Casino</v>
          </cell>
          <cell r="E32">
            <v>3837.9300000000003</v>
          </cell>
          <cell r="F32">
            <v>3896.7579999999998</v>
          </cell>
          <cell r="G32">
            <v>3700.89</v>
          </cell>
          <cell r="H32">
            <v>3487.4479999999999</v>
          </cell>
          <cell r="I32">
            <v>3781.1000000000004</v>
          </cell>
          <cell r="J32">
            <v>0</v>
          </cell>
          <cell r="K32">
            <v>0</v>
          </cell>
        </row>
        <row r="33">
          <cell r="B33" t="str">
            <v xml:space="preserve">   Total</v>
          </cell>
          <cell r="E33">
            <v>9746.9940000000006</v>
          </cell>
          <cell r="F33">
            <v>10461.611800000002</v>
          </cell>
          <cell r="G33">
            <v>9896.2752499999988</v>
          </cell>
          <cell r="H33">
            <v>8985.0750099999987</v>
          </cell>
          <cell r="I33">
            <v>9748.734207999998</v>
          </cell>
          <cell r="J33">
            <v>0</v>
          </cell>
          <cell r="K33">
            <v>0</v>
          </cell>
        </row>
        <row r="35">
          <cell r="A35" t="str">
            <v>DEPARTMENTAL PROFIT</v>
          </cell>
          <cell r="E35">
            <v>7832.1580000000013</v>
          </cell>
          <cell r="F35">
            <v>10770.018</v>
          </cell>
          <cell r="G35">
            <v>10629.342000000001</v>
          </cell>
          <cell r="H35">
            <v>10250.928999999998</v>
          </cell>
          <cell r="I35">
            <v>9807.3999999999978</v>
          </cell>
          <cell r="J35">
            <v>9462.4350748850356</v>
          </cell>
          <cell r="K35">
            <v>9866.3520782963315</v>
          </cell>
        </row>
        <row r="37">
          <cell r="A37" t="str">
            <v xml:space="preserve">UNDISTRIBUTED EXPENSES </v>
          </cell>
        </row>
        <row r="38">
          <cell r="B38" t="str">
            <v xml:space="preserve">Administrative and General </v>
          </cell>
          <cell r="E38">
            <v>1867.739</v>
          </cell>
          <cell r="F38">
            <v>1792.7090000000001</v>
          </cell>
          <cell r="G38">
            <v>1766.2370000000001</v>
          </cell>
          <cell r="H38">
            <v>1573.46</v>
          </cell>
          <cell r="I38">
            <v>1496.8</v>
          </cell>
          <cell r="J38">
            <v>0</v>
          </cell>
          <cell r="K38">
            <v>0</v>
          </cell>
        </row>
        <row r="39">
          <cell r="B39" t="str">
            <v>Marketing</v>
          </cell>
          <cell r="E39">
            <v>1358.029</v>
          </cell>
          <cell r="F39">
            <v>1339.58</v>
          </cell>
          <cell r="G39">
            <v>1383.377</v>
          </cell>
          <cell r="H39">
            <v>1309.2350000000001</v>
          </cell>
          <cell r="I39">
            <v>1581.6</v>
          </cell>
          <cell r="J39">
            <v>0</v>
          </cell>
          <cell r="K39">
            <v>0</v>
          </cell>
        </row>
        <row r="40">
          <cell r="B40" t="str">
            <v>Energy</v>
          </cell>
          <cell r="E40">
            <v>702.255</v>
          </cell>
          <cell r="F40">
            <v>774.05200000000002</v>
          </cell>
          <cell r="G40">
            <v>936.01800000000003</v>
          </cell>
          <cell r="H40">
            <v>811.73500000000001</v>
          </cell>
          <cell r="I40">
            <v>845.1</v>
          </cell>
          <cell r="J40">
            <v>0</v>
          </cell>
          <cell r="K40">
            <v>0</v>
          </cell>
        </row>
        <row r="41">
          <cell r="B41" t="str">
            <v>POM</v>
          </cell>
          <cell r="E41">
            <v>715.63499999999999</v>
          </cell>
          <cell r="F41">
            <v>816.44399999999996</v>
          </cell>
          <cell r="G41">
            <v>908.947</v>
          </cell>
          <cell r="H41">
            <v>706.82</v>
          </cell>
          <cell r="I41">
            <v>758.9</v>
          </cell>
          <cell r="J41">
            <v>0</v>
          </cell>
          <cell r="K41">
            <v>0</v>
          </cell>
        </row>
        <row r="43">
          <cell r="B43" t="str">
            <v xml:space="preserve">   Total</v>
          </cell>
          <cell r="E43">
            <v>4643.6580000000004</v>
          </cell>
          <cell r="F43">
            <v>4722.7849999999999</v>
          </cell>
          <cell r="G43">
            <v>4994.5789999999997</v>
          </cell>
          <cell r="H43">
            <v>4401.25</v>
          </cell>
          <cell r="I43">
            <v>4682.3999999999996</v>
          </cell>
          <cell r="J43">
            <v>0</v>
          </cell>
          <cell r="K43">
            <v>0</v>
          </cell>
        </row>
        <row r="45">
          <cell r="A45" t="str">
            <v>GROSS OPERATING PROFIT</v>
          </cell>
          <cell r="E45">
            <v>3188.5000000000009</v>
          </cell>
          <cell r="F45">
            <v>6047.2330000000002</v>
          </cell>
          <cell r="G45">
            <v>5634.7630000000008</v>
          </cell>
          <cell r="H45">
            <v>5849.6789999999983</v>
          </cell>
          <cell r="I45">
            <v>5124.9999999999982</v>
          </cell>
          <cell r="J45">
            <v>9462.4350748850356</v>
          </cell>
          <cell r="K45">
            <v>9866.3520782963315</v>
          </cell>
        </row>
        <row r="47">
          <cell r="A47" t="str">
            <v>FIXED EXPENSES</v>
          </cell>
        </row>
        <row r="48">
          <cell r="B48" t="str">
            <v xml:space="preserve">Management Fees </v>
          </cell>
          <cell r="E48">
            <v>878.94600000000003</v>
          </cell>
          <cell r="F48">
            <v>1061.376</v>
          </cell>
          <cell r="G48">
            <v>1026.4590000000001</v>
          </cell>
          <cell r="H48">
            <v>961.79700000000003</v>
          </cell>
          <cell r="I48">
            <v>977.80671039999982</v>
          </cell>
          <cell r="J48">
            <v>0</v>
          </cell>
          <cell r="K48">
            <v>0</v>
          </cell>
        </row>
        <row r="49">
          <cell r="B49" t="str">
            <v>Taxes</v>
          </cell>
          <cell r="E49">
            <v>150</v>
          </cell>
          <cell r="F49">
            <v>150</v>
          </cell>
          <cell r="G49">
            <v>166.56800000000001</v>
          </cell>
          <cell r="H49">
            <v>122.429</v>
          </cell>
          <cell r="I49">
            <v>176.9</v>
          </cell>
          <cell r="J49">
            <v>0</v>
          </cell>
          <cell r="K49">
            <v>0</v>
          </cell>
        </row>
        <row r="50">
          <cell r="B50" t="str">
            <v>Insurance</v>
          </cell>
          <cell r="E50">
            <v>208.095</v>
          </cell>
          <cell r="F50">
            <v>383.30799999999999</v>
          </cell>
          <cell r="G50">
            <v>331.303</v>
          </cell>
          <cell r="H50">
            <v>336.61</v>
          </cell>
          <cell r="I50">
            <v>717.6</v>
          </cell>
          <cell r="J50">
            <v>0</v>
          </cell>
          <cell r="K50">
            <v>0</v>
          </cell>
        </row>
        <row r="51">
          <cell r="B51" t="str">
            <v>Leases</v>
          </cell>
          <cell r="E51">
            <v>483.101</v>
          </cell>
          <cell r="F51">
            <v>468.024</v>
          </cell>
          <cell r="G51">
            <v>47.234999999999999</v>
          </cell>
          <cell r="H51">
            <v>26.309000000000001</v>
          </cell>
          <cell r="I51">
            <v>25.1</v>
          </cell>
          <cell r="J51">
            <v>0</v>
          </cell>
          <cell r="K51">
            <v>0</v>
          </cell>
        </row>
        <row r="52">
          <cell r="B52" t="str">
            <v xml:space="preserve">Other </v>
          </cell>
          <cell r="E52">
            <v>66.144000000000005</v>
          </cell>
          <cell r="F52">
            <v>277.221</v>
          </cell>
          <cell r="G52">
            <v>82.418000000000006</v>
          </cell>
          <cell r="H52">
            <v>233.83500000000001</v>
          </cell>
          <cell r="I52">
            <v>179.8</v>
          </cell>
          <cell r="J52">
            <v>0</v>
          </cell>
          <cell r="K52">
            <v>0</v>
          </cell>
        </row>
        <row r="53">
          <cell r="B53" t="str">
            <v>Rent</v>
          </cell>
          <cell r="E53">
            <v>0</v>
          </cell>
          <cell r="F53">
            <v>0</v>
          </cell>
          <cell r="G53">
            <v>424.49599999999998</v>
          </cell>
          <cell r="H53">
            <v>420.738</v>
          </cell>
          <cell r="I53">
            <v>431</v>
          </cell>
          <cell r="J53">
            <v>0</v>
          </cell>
          <cell r="K53">
            <v>0</v>
          </cell>
        </row>
        <row r="54">
          <cell r="B54" t="str">
            <v>Franchise Fee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Incentive Fee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FE&amp;E Reserve (7)</v>
          </cell>
          <cell r="E56">
            <v>477.09375000000006</v>
          </cell>
          <cell r="F56">
            <v>587.12087400000007</v>
          </cell>
          <cell r="G56">
            <v>558.4347775</v>
          </cell>
          <cell r="H56">
            <v>521.38785029999985</v>
          </cell>
          <cell r="I56">
            <v>529.51302623999982</v>
          </cell>
          <cell r="J56">
            <v>0</v>
          </cell>
          <cell r="K56">
            <v>0</v>
          </cell>
        </row>
        <row r="58">
          <cell r="B58" t="str">
            <v xml:space="preserve">   Total</v>
          </cell>
          <cell r="E58">
            <v>2263.3797500000001</v>
          </cell>
          <cell r="F58">
            <v>2927.0498740000003</v>
          </cell>
          <cell r="G58">
            <v>2636.9137774999999</v>
          </cell>
          <cell r="H58">
            <v>2623.1058503000004</v>
          </cell>
          <cell r="I58">
            <v>3037.7197366399996</v>
          </cell>
          <cell r="J58">
            <v>0</v>
          </cell>
          <cell r="K58">
            <v>0</v>
          </cell>
        </row>
        <row r="60">
          <cell r="A60" t="str">
            <v>NET OPERATING INCOME (8)</v>
          </cell>
          <cell r="E60">
            <v>925.12025000000085</v>
          </cell>
          <cell r="F60">
            <v>3120.1831259999999</v>
          </cell>
          <cell r="G60">
            <v>2997.8492225000009</v>
          </cell>
          <cell r="H60">
            <v>3226.5731496999979</v>
          </cell>
          <cell r="I60">
            <v>2087.2802633599986</v>
          </cell>
          <cell r="J60">
            <v>9462.4350748850356</v>
          </cell>
          <cell r="K60">
            <v>9866.3520782963315</v>
          </cell>
        </row>
      </sheetData>
      <sheetData sheetId="2" refreshError="1">
        <row r="1">
          <cell r="A1" t="str">
            <v>TISHMAN HOTEL CORPORATION</v>
          </cell>
        </row>
        <row r="2">
          <cell r="A2" t="str">
            <v>WYNDHAM OLD SAN JUAN</v>
          </cell>
          <cell r="W2" t="str">
            <v>Last Revised:</v>
          </cell>
          <cell r="AA2">
            <v>37728.552949305558</v>
          </cell>
        </row>
        <row r="3">
          <cell r="A3" t="str">
            <v>ADDITIONAL KEY OPERATING STATISTICS</v>
          </cell>
        </row>
        <row r="5">
          <cell r="E5" t="str">
            <v xml:space="preserve">   Historical</v>
          </cell>
          <cell r="G5" t="str">
            <v xml:space="preserve">   Historical</v>
          </cell>
          <cell r="I5" t="str">
            <v>Historical</v>
          </cell>
          <cell r="K5" t="str">
            <v>Historical</v>
          </cell>
          <cell r="M5" t="str">
            <v>Historical</v>
          </cell>
          <cell r="O5" t="str">
            <v xml:space="preserve">  Projected</v>
          </cell>
          <cell r="Q5" t="str">
            <v xml:space="preserve">  Projected</v>
          </cell>
          <cell r="S5" t="str">
            <v>Projected</v>
          </cell>
          <cell r="U5" t="str">
            <v>Projected</v>
          </cell>
          <cell r="W5" t="str">
            <v>Projected</v>
          </cell>
          <cell r="Y5" t="str">
            <v>Projected</v>
          </cell>
          <cell r="AA5" t="str">
            <v>Projected</v>
          </cell>
        </row>
        <row r="6">
          <cell r="E6">
            <v>1998</v>
          </cell>
          <cell r="G6">
            <v>1999</v>
          </cell>
          <cell r="I6">
            <v>2000</v>
          </cell>
          <cell r="K6">
            <v>2001</v>
          </cell>
          <cell r="M6">
            <v>2002</v>
          </cell>
          <cell r="O6" t="str">
            <v>2003(2)</v>
          </cell>
          <cell r="Q6">
            <v>2004</v>
          </cell>
          <cell r="S6">
            <v>2005</v>
          </cell>
          <cell r="U6">
            <v>2006</v>
          </cell>
          <cell r="W6">
            <v>2007</v>
          </cell>
          <cell r="Y6">
            <v>2008</v>
          </cell>
          <cell r="AA6">
            <v>2009</v>
          </cell>
        </row>
        <row r="8">
          <cell r="A8" t="str">
            <v>OCCUPANCY</v>
          </cell>
          <cell r="D8" t="str">
            <v>Percentage:</v>
          </cell>
          <cell r="E8">
            <v>0.67954300196277073</v>
          </cell>
          <cell r="G8">
            <v>0.82317351598173516</v>
          </cell>
          <cell r="I8">
            <v>0.75768442622950816</v>
          </cell>
          <cell r="K8">
            <v>0.71779680365296805</v>
          </cell>
          <cell r="M8">
            <v>0.81599999999999995</v>
          </cell>
          <cell r="O8">
            <v>0.79999823999999986</v>
          </cell>
          <cell r="Q8">
            <v>0.7899982619999999</v>
          </cell>
          <cell r="S8">
            <v>0.78004428389879998</v>
          </cell>
          <cell r="U8">
            <v>0.78004428389879998</v>
          </cell>
          <cell r="W8">
            <v>0.78004428389879998</v>
          </cell>
          <cell r="Y8">
            <v>0.78004428389879998</v>
          </cell>
          <cell r="AA8">
            <v>0.78004428389879998</v>
          </cell>
        </row>
        <row r="10">
          <cell r="A10" t="str">
            <v>AVERAGE DAILY RATE</v>
          </cell>
          <cell r="D10" t="str">
            <v>Per Occupied Room:</v>
          </cell>
          <cell r="E10">
            <v>140</v>
          </cell>
          <cell r="G10">
            <v>156.18</v>
          </cell>
          <cell r="I10">
            <v>158.55000000000001</v>
          </cell>
          <cell r="K10">
            <v>149.19</v>
          </cell>
          <cell r="M10">
            <v>132.38</v>
          </cell>
          <cell r="O10">
            <v>135.0236286</v>
          </cell>
          <cell r="Q10">
            <v>142.1798809158</v>
          </cell>
          <cell r="S10">
            <v>151.84811281807441</v>
          </cell>
          <cell r="U10">
            <v>160.95899958715887</v>
          </cell>
          <cell r="W10">
            <v>169.00694956651682</v>
          </cell>
          <cell r="Y10">
            <v>174.07715805351233</v>
          </cell>
          <cell r="AA10">
            <v>179.29947279511771</v>
          </cell>
        </row>
        <row r="11">
          <cell r="D11" t="str">
            <v>Percent Change:</v>
          </cell>
          <cell r="E11" t="str">
            <v>NA</v>
          </cell>
          <cell r="G11" t="str">
            <v>NA</v>
          </cell>
          <cell r="I11">
            <v>1.5174798309642856E-2</v>
          </cell>
          <cell r="K11">
            <v>-5.9035004730369045E-2</v>
          </cell>
          <cell r="M11">
            <v>-0.11267511227294058</v>
          </cell>
          <cell r="O11">
            <v>1.9970000000000043E-2</v>
          </cell>
          <cell r="Q11">
            <v>5.2999999999999936E-2</v>
          </cell>
          <cell r="S11">
            <v>6.800000000000006E-2</v>
          </cell>
          <cell r="U11">
            <v>6.0000000000000053E-2</v>
          </cell>
          <cell r="W11">
            <v>5.0000000000000044E-2</v>
          </cell>
          <cell r="Y11">
            <v>3.0000000000000027E-2</v>
          </cell>
          <cell r="AA11">
            <v>3.0000000000000027E-2</v>
          </cell>
        </row>
        <row r="13">
          <cell r="A13" t="str">
            <v>REVPAR</v>
          </cell>
          <cell r="E13">
            <v>95.136020274787896</v>
          </cell>
          <cell r="G13">
            <v>128.5632397260274</v>
          </cell>
          <cell r="I13">
            <v>120.13086577868853</v>
          </cell>
          <cell r="K13">
            <v>107.0881051369863</v>
          </cell>
          <cell r="M13">
            <v>108.02207999999999</v>
          </cell>
          <cell r="O13">
            <v>108.01866523841365</v>
          </cell>
          <cell r="Q13">
            <v>112.32185881484895</v>
          </cell>
          <cell r="S13">
            <v>118.44825242455904</v>
          </cell>
          <cell r="U13">
            <v>125.55514757003259</v>
          </cell>
          <cell r="W13">
            <v>131.83290494853421</v>
          </cell>
          <cell r="Y13">
            <v>135.78789209699025</v>
          </cell>
          <cell r="AA13">
            <v>139.86152885989995</v>
          </cell>
        </row>
        <row r="14">
          <cell r="D14" t="str">
            <v>Percent Change:</v>
          </cell>
          <cell r="E14" t="str">
            <v>NA</v>
          </cell>
          <cell r="G14" t="str">
            <v>NA</v>
          </cell>
          <cell r="I14">
            <v>-6.5589308151447812E-2</v>
          </cell>
          <cell r="K14">
            <v>-0.1085712698161212</v>
          </cell>
          <cell r="M14">
            <v>8.7215555996527083E-3</v>
          </cell>
          <cell r="O14">
            <v>-3.1611700000100385E-5</v>
          </cell>
          <cell r="Q14">
            <v>3.983749999999997E-2</v>
          </cell>
          <cell r="S14">
            <v>5.4543200000000125E-2</v>
          </cell>
          <cell r="U14">
            <v>6.0000000000000053E-2</v>
          </cell>
          <cell r="W14">
            <v>4.9999999999999822E-2</v>
          </cell>
          <cell r="Y14">
            <v>3.0000000000000027E-2</v>
          </cell>
          <cell r="AA14">
            <v>3.0000000000000027E-2</v>
          </cell>
        </row>
        <row r="16">
          <cell r="A16" t="str">
            <v>REVENUES</v>
          </cell>
        </row>
        <row r="17">
          <cell r="A17" t="str">
            <v>Food</v>
          </cell>
          <cell r="D17" t="str">
            <v>Per Occupied Room:</v>
          </cell>
          <cell r="E17">
            <v>39.267080115585451</v>
          </cell>
          <cell r="G17">
            <v>36.493953681874913</v>
          </cell>
          <cell r="I17">
            <v>37.921914206295547</v>
          </cell>
          <cell r="K17">
            <v>40.88094594379681</v>
          </cell>
          <cell r="M17">
            <v>36.609421165726566</v>
          </cell>
          <cell r="O17">
            <v>37.707703800698361</v>
          </cell>
          <cell r="Q17">
            <v>38.83893491471931</v>
          </cell>
          <cell r="S17">
            <v>46.606721897663171</v>
          </cell>
          <cell r="U17">
            <v>55.928066277195803</v>
          </cell>
          <cell r="W17">
            <v>61.520872904915379</v>
          </cell>
          <cell r="Y17">
            <v>63.366499092062838</v>
          </cell>
          <cell r="AA17">
            <v>65.267494064824731</v>
          </cell>
        </row>
        <row r="18">
          <cell r="D18" t="str">
            <v>Percent Change:</v>
          </cell>
          <cell r="E18" t="str">
            <v>NA</v>
          </cell>
          <cell r="G18" t="str">
            <v>NA</v>
          </cell>
          <cell r="I18">
            <v>3.9128687915495508E-2</v>
          </cell>
          <cell r="K18">
            <v>7.8029598437571179E-2</v>
          </cell>
          <cell r="M18">
            <v>-0.10448693589289115</v>
          </cell>
          <cell r="O18">
            <v>3.0000000000000027E-2</v>
          </cell>
          <cell r="Q18">
            <v>3.0000000000000027E-2</v>
          </cell>
          <cell r="S18">
            <v>0.19999999999999996</v>
          </cell>
          <cell r="U18">
            <v>0.19999999999999996</v>
          </cell>
          <cell r="W18">
            <v>9.9999999999999867E-2</v>
          </cell>
          <cell r="Y18">
            <v>3.0000000000000027E-2</v>
          </cell>
          <cell r="AA18">
            <v>3.0000000000000027E-2</v>
          </cell>
        </row>
        <row r="20">
          <cell r="A20" t="str">
            <v>Beverage</v>
          </cell>
          <cell r="E20">
            <v>24.223904557513897</v>
          </cell>
          <cell r="G20">
            <v>21.219137428928029</v>
          </cell>
          <cell r="I20">
            <v>14.660731725640449</v>
          </cell>
          <cell r="K20">
            <v>15.746910733313188</v>
          </cell>
          <cell r="M20">
            <v>13.905676425821472</v>
          </cell>
          <cell r="O20">
            <v>14.322846718596116</v>
          </cell>
          <cell r="Q20">
            <v>14.752532120153999</v>
          </cell>
          <cell r="S20">
            <v>15.932734689766319</v>
          </cell>
          <cell r="U20">
            <v>17.207353464947627</v>
          </cell>
          <cell r="W20">
            <v>18.067721138195008</v>
          </cell>
          <cell r="Y20">
            <v>18.609752772340858</v>
          </cell>
          <cell r="AA20">
            <v>19.168045355511087</v>
          </cell>
        </row>
        <row r="21">
          <cell r="E21" t="str">
            <v>NA</v>
          </cell>
          <cell r="G21" t="str">
            <v>NA</v>
          </cell>
          <cell r="I21">
            <v>-0.309079750543795</v>
          </cell>
          <cell r="K21">
            <v>7.4087639553017448E-2</v>
          </cell>
          <cell r="M21">
            <v>-0.11692670001592853</v>
          </cell>
          <cell r="O21">
            <v>3.0000000000000027E-2</v>
          </cell>
          <cell r="Q21">
            <v>3.0000000000000027E-2</v>
          </cell>
          <cell r="S21">
            <v>8.0000000000000071E-2</v>
          </cell>
          <cell r="U21">
            <v>8.0000000000000071E-2</v>
          </cell>
          <cell r="W21">
            <v>5.0000000000000044E-2</v>
          </cell>
          <cell r="Y21">
            <v>3.0000000000000027E-2</v>
          </cell>
          <cell r="AA21">
            <v>3.0000000000000249E-2</v>
          </cell>
        </row>
        <row r="23">
          <cell r="A23" t="str">
            <v>Communications</v>
          </cell>
          <cell r="E23">
            <v>6.025770147185562</v>
          </cell>
          <cell r="G23">
            <v>6.2959922340868122</v>
          </cell>
          <cell r="I23">
            <v>5.9169709263015555</v>
          </cell>
          <cell r="K23">
            <v>6.4697275720033716</v>
          </cell>
          <cell r="M23">
            <v>5.1635665681797844</v>
          </cell>
          <cell r="O23">
            <v>5.3184735652251778</v>
          </cell>
          <cell r="Q23">
            <v>5.4780277721819335</v>
          </cell>
          <cell r="S23">
            <v>5.642368605347392</v>
          </cell>
          <cell r="U23">
            <v>5.8116396635078136</v>
          </cell>
          <cell r="W23">
            <v>5.9859888534130485</v>
          </cell>
          <cell r="Y23">
            <v>6.1655685190154408</v>
          </cell>
          <cell r="AA23">
            <v>6.350535574585904</v>
          </cell>
        </row>
        <row r="24">
          <cell r="E24" t="str">
            <v>NA</v>
          </cell>
          <cell r="G24" t="str">
            <v>NA</v>
          </cell>
          <cell r="I24">
            <v>-6.0200409036913483E-2</v>
          </cell>
          <cell r="K24">
            <v>9.3418854442017807E-2</v>
          </cell>
          <cell r="M24">
            <v>-0.20188809950449427</v>
          </cell>
          <cell r="O24">
            <v>3.0000000000000027E-2</v>
          </cell>
          <cell r="Q24">
            <v>3.0000000000000027E-2</v>
          </cell>
          <cell r="S24">
            <v>3.0000000000000027E-2</v>
          </cell>
          <cell r="U24">
            <v>3.0000000000000027E-2</v>
          </cell>
          <cell r="W24">
            <v>3.0000000000000027E-2</v>
          </cell>
          <cell r="Y24">
            <v>3.0000000000000027E-2</v>
          </cell>
          <cell r="AA24">
            <v>3.0000000000000027E-2</v>
          </cell>
        </row>
        <row r="26">
          <cell r="A26" t="str">
            <v>Minor Ops. Dept.</v>
          </cell>
          <cell r="E26">
            <v>1.746658330094462</v>
          </cell>
          <cell r="G26">
            <v>3.6048536957426158</v>
          </cell>
          <cell r="I26">
            <v>3.3846292540004508</v>
          </cell>
          <cell r="K26">
            <v>3.5656419472319851</v>
          </cell>
          <cell r="M26">
            <v>3.0847099113618053</v>
          </cell>
          <cell r="O26">
            <v>3.1772512087026596</v>
          </cell>
          <cell r="Q26">
            <v>3.2725687449637397</v>
          </cell>
          <cell r="S26">
            <v>3.3707458073126522</v>
          </cell>
          <cell r="U26">
            <v>3.4718681815320318</v>
          </cell>
          <cell r="W26">
            <v>3.5760242269779927</v>
          </cell>
          <cell r="Y26">
            <v>3.6833049537873324</v>
          </cell>
          <cell r="AA26">
            <v>3.7938041024009519</v>
          </cell>
        </row>
        <row r="27">
          <cell r="E27" t="str">
            <v>NA</v>
          </cell>
          <cell r="G27" t="str">
            <v>NA</v>
          </cell>
          <cell r="I27">
            <v>-6.109109004957769E-2</v>
          </cell>
          <cell r="K27">
            <v>5.3480803848039438E-2</v>
          </cell>
          <cell r="M27">
            <v>-0.13487950921250758</v>
          </cell>
          <cell r="O27">
            <v>3.0000000000000027E-2</v>
          </cell>
          <cell r="Q27">
            <v>3.0000000000000027E-2</v>
          </cell>
          <cell r="S27">
            <v>3.0000000000000027E-2</v>
          </cell>
          <cell r="U27">
            <v>3.0000000000000027E-2</v>
          </cell>
          <cell r="W27">
            <v>3.0000000000000027E-2</v>
          </cell>
          <cell r="Y27">
            <v>3.0000000000000027E-2</v>
          </cell>
          <cell r="AA27">
            <v>2.9999999999999805E-2</v>
          </cell>
        </row>
        <row r="29">
          <cell r="A29" t="str">
            <v>DEPARTMENTAL EXPENSES</v>
          </cell>
        </row>
        <row r="30">
          <cell r="A30" t="str">
            <v>Rooms</v>
          </cell>
          <cell r="D30" t="str">
            <v>Per Occupied Room:</v>
          </cell>
          <cell r="E30">
            <v>37.717694374503616</v>
          </cell>
          <cell r="G30">
            <v>35.156064346137853</v>
          </cell>
          <cell r="I30">
            <v>39.284309969198389</v>
          </cell>
          <cell r="K30">
            <v>35.555066238330745</v>
          </cell>
          <cell r="M30">
            <v>33.718246485808912</v>
          </cell>
          <cell r="O30">
            <v>34.729793880383177</v>
          </cell>
          <cell r="Q30">
            <v>37</v>
          </cell>
          <cell r="S30">
            <v>38.11</v>
          </cell>
          <cell r="U30">
            <v>39.253300000000003</v>
          </cell>
          <cell r="W30">
            <v>40.430899000000004</v>
          </cell>
          <cell r="Y30">
            <v>41.643825970000009</v>
          </cell>
          <cell r="AA30">
            <v>42.893140749100006</v>
          </cell>
        </row>
        <row r="31">
          <cell r="D31" t="str">
            <v>Percent Change:</v>
          </cell>
          <cell r="E31" t="str">
            <v>NA</v>
          </cell>
          <cell r="G31" t="str">
            <v>NA</v>
          </cell>
          <cell r="I31">
            <v>0.1174262733852931</v>
          </cell>
          <cell r="K31">
            <v>-9.4929597434487922E-2</v>
          </cell>
          <cell r="M31">
            <v>-5.1661266504451575E-2</v>
          </cell>
          <cell r="O31">
            <v>3.0000000000000027E-2</v>
          </cell>
          <cell r="Q31">
            <v>6.5367681922786414E-2</v>
          </cell>
          <cell r="S31">
            <v>3.0000000000000027E-2</v>
          </cell>
          <cell r="U31">
            <v>3.0000000000000027E-2</v>
          </cell>
          <cell r="W31">
            <v>3.0000000000000027E-2</v>
          </cell>
          <cell r="Y31">
            <v>3.0000000000000027E-2</v>
          </cell>
          <cell r="AA31">
            <v>3.0000000000000027E-2</v>
          </cell>
        </row>
        <row r="33">
          <cell r="A33" t="str">
            <v xml:space="preserve">UNDISTRIBUTED EXPENSES </v>
          </cell>
        </row>
        <row r="34">
          <cell r="A34" t="str">
            <v xml:space="preserve">Administrative and General </v>
          </cell>
          <cell r="D34" t="str">
            <v>Per Room:</v>
          </cell>
          <cell r="E34">
            <v>7828.4007795963698</v>
          </cell>
          <cell r="G34">
            <v>7469.6208333333334</v>
          </cell>
          <cell r="I34">
            <v>7359.3208333333332</v>
          </cell>
          <cell r="K34">
            <v>6556.0833333333339</v>
          </cell>
          <cell r="M34">
            <v>6236.6666666666661</v>
          </cell>
          <cell r="O34">
            <v>6500</v>
          </cell>
          <cell r="Q34">
            <v>6695</v>
          </cell>
          <cell r="S34">
            <v>6895.85</v>
          </cell>
          <cell r="U34">
            <v>7102.7255000000005</v>
          </cell>
          <cell r="W34">
            <v>7315.8072650000004</v>
          </cell>
          <cell r="Y34">
            <v>7535.2814829500012</v>
          </cell>
          <cell r="AA34">
            <v>7761.3399274385019</v>
          </cell>
        </row>
        <row r="35">
          <cell r="D35" t="str">
            <v>Percent Change:</v>
          </cell>
          <cell r="E35" t="str">
            <v>NA</v>
          </cell>
          <cell r="G35" t="str">
            <v>NA</v>
          </cell>
          <cell r="I35">
            <v>-1.4766479110664421E-2</v>
          </cell>
          <cell r="K35">
            <v>-0.10914560163783216</v>
          </cell>
          <cell r="M35">
            <v>-4.8720653845665152E-2</v>
          </cell>
          <cell r="O35">
            <v>4.222340994120799E-2</v>
          </cell>
          <cell r="Q35">
            <v>3.0000000000000027E-2</v>
          </cell>
          <cell r="S35">
            <v>3.0000000000000027E-2</v>
          </cell>
          <cell r="U35">
            <v>3.0000000000000027E-2</v>
          </cell>
          <cell r="W35">
            <v>3.0000000000000027E-2</v>
          </cell>
          <cell r="Y35">
            <v>3.0000000000000027E-2</v>
          </cell>
          <cell r="AA35">
            <v>3.0000000000000027E-2</v>
          </cell>
        </row>
        <row r="37">
          <cell r="A37" t="str">
            <v>Marketing</v>
          </cell>
          <cell r="E37">
            <v>5692.0133285831043</v>
          </cell>
          <cell r="G37">
            <v>5581.583333333333</v>
          </cell>
          <cell r="I37">
            <v>5764.0708333333332</v>
          </cell>
          <cell r="K37">
            <v>5455.1458333333339</v>
          </cell>
          <cell r="M37">
            <v>6590</v>
          </cell>
          <cell r="O37">
            <v>6787.7</v>
          </cell>
          <cell r="Q37">
            <v>6991.3310000000001</v>
          </cell>
          <cell r="S37">
            <v>7201.0709300000008</v>
          </cell>
          <cell r="U37">
            <v>7417.1030579000007</v>
          </cell>
          <cell r="W37">
            <v>7639.6161496370014</v>
          </cell>
          <cell r="Y37">
            <v>7868.8046341261115</v>
          </cell>
          <cell r="AA37">
            <v>8104.8687731498949</v>
          </cell>
        </row>
        <row r="38">
          <cell r="E38" t="str">
            <v>NA</v>
          </cell>
          <cell r="G38" t="str">
            <v>NA</v>
          </cell>
          <cell r="I38">
            <v>3.2694575911853097E-2</v>
          </cell>
          <cell r="K38">
            <v>-5.3594934714108922E-2</v>
          </cell>
          <cell r="M38">
            <v>0.20803369906853986</v>
          </cell>
          <cell r="O38">
            <v>3.0000000000000027E-2</v>
          </cell>
          <cell r="Q38">
            <v>3.0000000000000027E-2</v>
          </cell>
          <cell r="S38">
            <v>3.0000000000000027E-2</v>
          </cell>
          <cell r="U38">
            <v>3.0000000000000027E-2</v>
          </cell>
          <cell r="W38">
            <v>3.0000000000000027E-2</v>
          </cell>
          <cell r="Y38">
            <v>3.0000000000000027E-2</v>
          </cell>
          <cell r="AA38">
            <v>3.0000000000000027E-2</v>
          </cell>
        </row>
        <row r="40">
          <cell r="A40" t="str">
            <v>Energy</v>
          </cell>
          <cell r="E40">
            <v>2943.4163924806671</v>
          </cell>
          <cell r="G40">
            <v>3225.2166666666667</v>
          </cell>
          <cell r="I40">
            <v>3900.0750000000003</v>
          </cell>
          <cell r="K40">
            <v>3382.229166666667</v>
          </cell>
          <cell r="M40">
            <v>3521.25</v>
          </cell>
          <cell r="O40">
            <v>3626.8875000000003</v>
          </cell>
          <cell r="Q40">
            <v>3735.6941250000004</v>
          </cell>
          <cell r="S40">
            <v>3847.7649487500007</v>
          </cell>
          <cell r="U40">
            <v>3963.1978972125007</v>
          </cell>
          <cell r="W40">
            <v>4082.0938341288756</v>
          </cell>
          <cell r="Y40">
            <v>4204.5566491527416</v>
          </cell>
          <cell r="AA40">
            <v>4330.6933486273247</v>
          </cell>
        </row>
        <row r="41">
          <cell r="E41" t="str">
            <v>NA</v>
          </cell>
          <cell r="G41" t="str">
            <v>NA</v>
          </cell>
          <cell r="I41">
            <v>0.20924434017352844</v>
          </cell>
          <cell r="K41">
            <v>-0.1327784294746468</v>
          </cell>
          <cell r="M41">
            <v>4.1103315737278656E-2</v>
          </cell>
          <cell r="O41">
            <v>3.0000000000000027E-2</v>
          </cell>
          <cell r="Q41">
            <v>3.0000000000000027E-2</v>
          </cell>
          <cell r="S41">
            <v>3.0000000000000027E-2</v>
          </cell>
          <cell r="U41">
            <v>3.0000000000000027E-2</v>
          </cell>
          <cell r="W41">
            <v>3.0000000000000027E-2</v>
          </cell>
          <cell r="Y41">
            <v>2.9999999999999805E-2</v>
          </cell>
          <cell r="AA41">
            <v>3.0000000000000249E-2</v>
          </cell>
        </row>
        <row r="43">
          <cell r="A43" t="str">
            <v>POM</v>
          </cell>
          <cell r="E43">
            <v>2999.4970345998281</v>
          </cell>
          <cell r="G43">
            <v>3401.85</v>
          </cell>
          <cell r="I43">
            <v>3787.2791666666667</v>
          </cell>
          <cell r="K43">
            <v>2945.0833333333339</v>
          </cell>
          <cell r="M43">
            <v>3162.0833333333335</v>
          </cell>
          <cell r="O43">
            <v>3256.9458333333337</v>
          </cell>
          <cell r="Q43">
            <v>3354.6542083333338</v>
          </cell>
          <cell r="S43">
            <v>3455.293834583334</v>
          </cell>
          <cell r="U43">
            <v>3558.9526496208341</v>
          </cell>
          <cell r="W43">
            <v>3665.7212291094593</v>
          </cell>
          <cell r="Y43">
            <v>3775.6928659827431</v>
          </cell>
          <cell r="AA43">
            <v>3888.963651962225</v>
          </cell>
        </row>
        <row r="44">
          <cell r="E44" t="str">
            <v>NA</v>
          </cell>
          <cell r="G44" t="str">
            <v>NA</v>
          </cell>
          <cell r="I44">
            <v>0.11329987114854179</v>
          </cell>
          <cell r="K44">
            <v>-0.22237490194697807</v>
          </cell>
          <cell r="M44">
            <v>7.3682125576525648E-2</v>
          </cell>
          <cell r="O44">
            <v>3.0000000000000027E-2</v>
          </cell>
          <cell r="Q44">
            <v>3.0000000000000027E-2</v>
          </cell>
          <cell r="S44">
            <v>3.0000000000000027E-2</v>
          </cell>
          <cell r="U44">
            <v>3.0000000000000027E-2</v>
          </cell>
          <cell r="W44">
            <v>3.0000000000000027E-2</v>
          </cell>
          <cell r="Y44">
            <v>3.0000000000000027E-2</v>
          </cell>
          <cell r="AA44">
            <v>2.9999999999999805E-2</v>
          </cell>
        </row>
        <row r="46">
          <cell r="A46" t="str">
            <v xml:space="preserve">   Total</v>
          </cell>
          <cell r="E46">
            <v>19463.32753525997</v>
          </cell>
          <cell r="G46">
            <v>19678.270833333332</v>
          </cell>
          <cell r="I46">
            <v>20810.745833333334</v>
          </cell>
          <cell r="K46">
            <v>18338.541666666672</v>
          </cell>
          <cell r="M46">
            <v>19510</v>
          </cell>
          <cell r="O46">
            <v>20171.533333333333</v>
          </cell>
          <cell r="Q46">
            <v>20776.679333333333</v>
          </cell>
          <cell r="S46">
            <v>21399.979713333341</v>
          </cell>
          <cell r="U46">
            <v>22041.979104733335</v>
          </cell>
          <cell r="W46">
            <v>22703.238477875337</v>
          </cell>
          <cell r="Y46">
            <v>23384.335632211598</v>
          </cell>
          <cell r="AA46">
            <v>24085.865701177947</v>
          </cell>
        </row>
        <row r="47">
          <cell r="E47" t="str">
            <v>NA</v>
          </cell>
          <cell r="G47" t="str">
            <v>NA</v>
          </cell>
          <cell r="I47">
            <v>5.7549517922158344E-2</v>
          </cell>
          <cell r="K47">
            <v>-0.11879459710217799</v>
          </cell>
          <cell r="M47">
            <v>6.3879579664867681E-2</v>
          </cell>
          <cell r="O47">
            <v>3.3907397915598825E-2</v>
          </cell>
          <cell r="Q47">
            <v>3.0000000000000027E-2</v>
          </cell>
          <cell r="S47">
            <v>3.0000000000000471E-2</v>
          </cell>
          <cell r="U47">
            <v>2.9999999999999583E-2</v>
          </cell>
          <cell r="W47">
            <v>3.0000000000000027E-2</v>
          </cell>
          <cell r="Y47">
            <v>3.0000000000000027E-2</v>
          </cell>
          <cell r="AA47">
            <v>3.0000000000000027E-2</v>
          </cell>
        </row>
        <row r="49">
          <cell r="A49" t="str">
            <v>GROSS OPERATING PROFIT</v>
          </cell>
          <cell r="D49" t="str">
            <v>Percent of Gross Rev.:</v>
          </cell>
          <cell r="E49">
            <v>0.18137962513777686</v>
          </cell>
          <cell r="G49">
            <v>0.28482189341865782</v>
          </cell>
          <cell r="I49">
            <v>0.2745234372915144</v>
          </cell>
          <cell r="K49">
            <v>0.30410052924500303</v>
          </cell>
          <cell r="M49">
            <v>0.26206610905254835</v>
          </cell>
          <cell r="O49">
            <v>0.24168613031100947</v>
          </cell>
          <cell r="Q49">
            <v>0.27865836948806616</v>
          </cell>
          <cell r="S49">
            <v>0.3013753006726928</v>
          </cell>
          <cell r="U49">
            <v>0.31575920218022996</v>
          </cell>
          <cell r="W49">
            <v>0.32524973183015593</v>
          </cell>
          <cell r="Y49">
            <v>0.32524973183015599</v>
          </cell>
          <cell r="AA49">
            <v>0.32524973183015587</v>
          </cell>
        </row>
        <row r="50">
          <cell r="D50" t="str">
            <v>Per Occupied Room:</v>
          </cell>
          <cell r="E50">
            <v>53.880730689288086</v>
          </cell>
          <cell r="G50">
            <v>83.861225904867567</v>
          </cell>
          <cell r="I50">
            <v>84.663255953722498</v>
          </cell>
          <cell r="K50">
            <v>93.030725679479616</v>
          </cell>
          <cell r="M50">
            <v>71.696772316232412</v>
          </cell>
          <cell r="O50">
            <v>68.576470260677979</v>
          </cell>
          <cell r="Q50">
            <v>85.440302259843534</v>
          </cell>
          <cell r="S50">
            <v>103.15164034080848</v>
          </cell>
          <cell r="U50">
            <v>118.07681146299528</v>
          </cell>
          <cell r="W50">
            <v>128.53817654500784</v>
          </cell>
          <cell r="Y50">
            <v>132.39432184135811</v>
          </cell>
          <cell r="AA50">
            <v>136.3661514965988</v>
          </cell>
        </row>
        <row r="51">
          <cell r="D51" t="str">
            <v>Per Room:</v>
          </cell>
          <cell r="E51">
            <v>13364.209820399441</v>
          </cell>
          <cell r="G51">
            <v>25196.804166666665</v>
          </cell>
          <cell r="I51">
            <v>23478.179166666672</v>
          </cell>
          <cell r="K51">
            <v>24373.662499999995</v>
          </cell>
          <cell r="M51">
            <v>21354.166666666661</v>
          </cell>
          <cell r="O51">
            <v>20024.285262593472</v>
          </cell>
          <cell r="Q51">
            <v>24704.154646151364</v>
          </cell>
          <cell r="S51">
            <v>29368.939309260873</v>
          </cell>
          <cell r="U51">
            <v>33618.37677258761</v>
          </cell>
          <cell r="W51">
            <v>36596.896504998484</v>
          </cell>
          <cell r="Y51">
            <v>37694.803400148441</v>
          </cell>
          <cell r="AA51">
            <v>38825.647502152882</v>
          </cell>
        </row>
        <row r="52">
          <cell r="D52" t="str">
            <v>Percent Change:</v>
          </cell>
          <cell r="E52" t="str">
            <v>NA</v>
          </cell>
          <cell r="G52" t="str">
            <v>NA</v>
          </cell>
          <cell r="I52">
            <v>-6.8208054824412834E-2</v>
          </cell>
          <cell r="K52">
            <v>3.8141089518760163E-2</v>
          </cell>
          <cell r="M52">
            <v>-0.12388354984948757</v>
          </cell>
          <cell r="O52">
            <v>-6.2277373068793218E-2</v>
          </cell>
          <cell r="Q52">
            <v>0.23370968412541337</v>
          </cell>
          <cell r="S52">
            <v>0.1888259173376019</v>
          </cell>
          <cell r="U52">
            <v>0.14469155384126409</v>
          </cell>
          <cell r="W52">
            <v>8.8597963921909439E-2</v>
          </cell>
          <cell r="Y52">
            <v>3.0000000000000027E-2</v>
          </cell>
          <cell r="AA52">
            <v>2.9999999999999583E-2</v>
          </cell>
        </row>
        <row r="54">
          <cell r="A54" t="str">
            <v>FIXED EXPENSES</v>
          </cell>
        </row>
        <row r="55">
          <cell r="D55" t="str">
            <v>Per Room:</v>
          </cell>
          <cell r="E55">
            <v>628.70675021480815</v>
          </cell>
          <cell r="G55">
            <v>625</v>
          </cell>
          <cell r="I55">
            <v>694.03333333333342</v>
          </cell>
          <cell r="K55">
            <v>510.12083333333334</v>
          </cell>
          <cell r="M55">
            <v>737.08333333333326</v>
          </cell>
          <cell r="O55">
            <v>625</v>
          </cell>
          <cell r="Q55">
            <v>643.75</v>
          </cell>
          <cell r="S55">
            <v>663.0625</v>
          </cell>
          <cell r="U55">
            <v>682.95437500000003</v>
          </cell>
          <cell r="W55">
            <v>703.44300625000005</v>
          </cell>
          <cell r="Y55">
            <v>724.54629643750002</v>
          </cell>
          <cell r="AA55">
            <v>746.28268533062499</v>
          </cell>
        </row>
        <row r="56">
          <cell r="A56" t="str">
            <v>Taxes</v>
          </cell>
          <cell r="D56" t="str">
            <v>Percent Change:</v>
          </cell>
          <cell r="E56" t="str">
            <v>NA</v>
          </cell>
          <cell r="G56" t="str">
            <v>NA</v>
          </cell>
          <cell r="I56">
            <v>0.11045333333333351</v>
          </cell>
          <cell r="K56">
            <v>-0.26499087459776194</v>
          </cell>
          <cell r="M56">
            <v>0.44491909596582513</v>
          </cell>
          <cell r="O56">
            <v>-0.15206331260599215</v>
          </cell>
          <cell r="Q56">
            <v>3.0000000000000027E-2</v>
          </cell>
          <cell r="S56">
            <v>3.0000000000000027E-2</v>
          </cell>
          <cell r="U56">
            <v>3.0000000000000027E-2</v>
          </cell>
          <cell r="W56">
            <v>3.0000000000000027E-2</v>
          </cell>
          <cell r="Y56">
            <v>3.0000000000000027E-2</v>
          </cell>
          <cell r="AA56">
            <v>3.0000000000000027E-2</v>
          </cell>
        </row>
        <row r="58">
          <cell r="D58" t="str">
            <v>Per Room:</v>
          </cell>
          <cell r="E58">
            <v>872.20487457300328</v>
          </cell>
          <cell r="G58">
            <v>1597.1166666666668</v>
          </cell>
          <cell r="I58">
            <v>1380.4291666666666</v>
          </cell>
          <cell r="K58">
            <v>1402.5416666666667</v>
          </cell>
          <cell r="M58">
            <v>2990</v>
          </cell>
          <cell r="O58">
            <v>2916.6666666666665</v>
          </cell>
          <cell r="Q58">
            <v>2333.3333333333335</v>
          </cell>
          <cell r="S58">
            <v>2403.3333333333339</v>
          </cell>
          <cell r="U58">
            <v>2475.4333333333334</v>
          </cell>
          <cell r="W58">
            <v>2549.6963333333338</v>
          </cell>
          <cell r="Y58">
            <v>2626.1872233333333</v>
          </cell>
          <cell r="AA58">
            <v>2704.9728400333338</v>
          </cell>
        </row>
        <row r="59">
          <cell r="A59" t="str">
            <v>Insurance</v>
          </cell>
          <cell r="D59" t="str">
            <v>Percent Change:</v>
          </cell>
          <cell r="E59" t="str">
            <v>NA</v>
          </cell>
          <cell r="G59" t="str">
            <v>NA</v>
          </cell>
          <cell r="I59">
            <v>-0.13567418368518269</v>
          </cell>
          <cell r="K59">
            <v>1.6018569104415015E-2</v>
          </cell>
          <cell r="M59">
            <v>1.131843973738154</v>
          </cell>
          <cell r="O59">
            <v>-2.4526198439241975E-2</v>
          </cell>
          <cell r="Q59">
            <v>-0.19999999999999996</v>
          </cell>
          <cell r="S59">
            <v>3.0000000000000027E-2</v>
          </cell>
          <cell r="U59">
            <v>3.0000000000000027E-2</v>
          </cell>
          <cell r="W59">
            <v>3.0000000000000027E-2</v>
          </cell>
          <cell r="Y59">
            <v>3.0000000000000027E-2</v>
          </cell>
          <cell r="AA59">
            <v>3.0000000000000027E-2</v>
          </cell>
        </row>
        <row r="61">
          <cell r="A61" t="str">
            <v>NET OPERATING INCOME</v>
          </cell>
          <cell r="D61" t="str">
            <v>Percent of Gross Rev.:</v>
          </cell>
          <cell r="E61">
            <v>4.5486240746994006E-2</v>
          </cell>
          <cell r="G61">
            <v>0.13930606721486824</v>
          </cell>
          <cell r="I61">
            <v>0.13884731237497872</v>
          </cell>
          <cell r="K61">
            <v>0.16063135451592159</v>
          </cell>
          <cell r="M61">
            <v>9.9656194856893018E-2</v>
          </cell>
          <cell r="O61">
            <v>9.0962229418515117E-2</v>
          </cell>
          <cell r="Q61">
            <v>0.13149722343203829</v>
          </cell>
          <cell r="S61">
            <v>0.15163991106919231</v>
          </cell>
          <cell r="U61">
            <v>0.16976846290602962</v>
          </cell>
          <cell r="W61">
            <v>0.18062400839042198</v>
          </cell>
          <cell r="Y61">
            <v>0.180624008390422</v>
          </cell>
          <cell r="AA61">
            <v>0.18062400839042192</v>
          </cell>
        </row>
        <row r="62">
          <cell r="D62" t="str">
            <v>Per Occupied Room:</v>
          </cell>
          <cell r="E62">
            <v>13.512167565101329</v>
          </cell>
          <cell r="G62">
            <v>41.016431119123567</v>
          </cell>
          <cell r="I62">
            <v>42.82062639921871</v>
          </cell>
          <cell r="K62">
            <v>49.140498093163039</v>
          </cell>
          <cell r="M62">
            <v>27.264217942519458</v>
          </cell>
          <cell r="O62">
            <v>25.809791453637327</v>
          </cell>
          <cell r="Q62">
            <v>40.318769312416748</v>
          </cell>
          <cell r="S62">
            <v>51.90175018658654</v>
          </cell>
          <cell r="U62">
            <v>63.484195071775034</v>
          </cell>
          <cell r="W62">
            <v>71.382320742016489</v>
          </cell>
          <cell r="Y62">
            <v>73.523790364276991</v>
          </cell>
          <cell r="AA62">
            <v>75.72950407520527</v>
          </cell>
        </row>
        <row r="63">
          <cell r="D63" t="str">
            <v>Per Room:</v>
          </cell>
          <cell r="E63">
            <v>3351.4661022277228</v>
          </cell>
          <cell r="G63">
            <v>12323.728533333335</v>
          </cell>
          <cell r="I63">
            <v>11874.694958333339</v>
          </cell>
          <cell r="K63">
            <v>12874.605748333328</v>
          </cell>
          <cell r="M63">
            <v>8120.3746719999954</v>
          </cell>
          <cell r="O63">
            <v>7536.4425242520683</v>
          </cell>
          <cell r="Q63">
            <v>11657.743311900467</v>
          </cell>
          <cell r="S63">
            <v>14777.267198447464</v>
          </cell>
          <cell r="U63">
            <v>18074.976471533886</v>
          </cell>
          <cell r="W63">
            <v>20323.700512177857</v>
          </cell>
          <cell r="Y63">
            <v>20933.411527543198</v>
          </cell>
          <cell r="AA63">
            <v>21561.413873369482</v>
          </cell>
        </row>
        <row r="64">
          <cell r="D64" t="str">
            <v>Percent Change:</v>
          </cell>
          <cell r="E64" t="str">
            <v>NA</v>
          </cell>
          <cell r="G64" t="str">
            <v>NA</v>
          </cell>
          <cell r="I64">
            <v>-3.6436503269724363E-2</v>
          </cell>
          <cell r="K64">
            <v>8.4205176933684456E-2</v>
          </cell>
          <cell r="M64">
            <v>-0.36927197378053989</v>
          </cell>
          <cell r="O64">
            <v>-7.1909508038021097E-2</v>
          </cell>
          <cell r="Q64">
            <v>0.54684962757775502</v>
          </cell>
          <cell r="S64">
            <v>0.26759243217874951</v>
          </cell>
          <cell r="U64">
            <v>0.22316096939986907</v>
          </cell>
          <cell r="W64">
            <v>0.12441089725264454</v>
          </cell>
          <cell r="Y64">
            <v>3.0000000000000249E-2</v>
          </cell>
          <cell r="AA64">
            <v>2.9999999999999361E-2</v>
          </cell>
        </row>
      </sheetData>
      <sheetData sheetId="3" refreshError="1"/>
      <sheetData sheetId="4" refreshError="1">
        <row r="1">
          <cell r="A1" t="str">
            <v>TISHMAN HOTEL CORPORATION</v>
          </cell>
        </row>
        <row r="2">
          <cell r="A2" t="str">
            <v>WYNDHAM OLD SAN JUAN</v>
          </cell>
        </row>
        <row r="3">
          <cell r="A3" t="str">
            <v>SAN JUAN, PUERTO RICO</v>
          </cell>
        </row>
        <row r="4">
          <cell r="A4" t="str">
            <v>INPUT PAGE: PROJECTED</v>
          </cell>
        </row>
        <row r="6">
          <cell r="D6" t="str">
            <v>Actual</v>
          </cell>
          <cell r="E6" t="str">
            <v>Actual</v>
          </cell>
          <cell r="F6" t="str">
            <v>Actual</v>
          </cell>
          <cell r="G6" t="str">
            <v>Actual</v>
          </cell>
          <cell r="H6" t="str">
            <v>Forecast</v>
          </cell>
          <cell r="I6" t="str">
            <v>Projected</v>
          </cell>
          <cell r="J6" t="str">
            <v>Projected</v>
          </cell>
          <cell r="K6" t="str">
            <v>Projected</v>
          </cell>
          <cell r="L6" t="str">
            <v>Projected</v>
          </cell>
          <cell r="M6" t="str">
            <v>Projected</v>
          </cell>
        </row>
        <row r="7">
          <cell r="D7">
            <v>1998</v>
          </cell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</row>
        <row r="8">
          <cell r="A8" t="str">
            <v>Days in Year</v>
          </cell>
          <cell r="D8">
            <v>365</v>
          </cell>
          <cell r="E8">
            <v>365</v>
          </cell>
          <cell r="F8">
            <v>366</v>
          </cell>
          <cell r="G8">
            <v>365</v>
          </cell>
          <cell r="H8">
            <v>365</v>
          </cell>
          <cell r="I8">
            <v>365</v>
          </cell>
          <cell r="J8">
            <v>366</v>
          </cell>
          <cell r="K8">
            <v>365</v>
          </cell>
          <cell r="L8">
            <v>365</v>
          </cell>
          <cell r="M8">
            <v>365</v>
          </cell>
          <cell r="P8" t="str">
            <v>Assumptions</v>
          </cell>
        </row>
        <row r="9">
          <cell r="A9" t="str">
            <v>Rooms (Annual)</v>
          </cell>
          <cell r="D9">
            <v>238.58500000000001</v>
          </cell>
          <cell r="E9">
            <v>240</v>
          </cell>
          <cell r="F9">
            <v>240</v>
          </cell>
          <cell r="G9">
            <v>240</v>
          </cell>
          <cell r="H9">
            <v>240</v>
          </cell>
          <cell r="I9">
            <v>240</v>
          </cell>
          <cell r="J9">
            <v>240</v>
          </cell>
          <cell r="K9">
            <v>240</v>
          </cell>
          <cell r="L9">
            <v>240</v>
          </cell>
          <cell r="M9">
            <v>240</v>
          </cell>
          <cell r="P9" t="str">
            <v xml:space="preserve">  Rooms (Current)</v>
          </cell>
          <cell r="R9">
            <v>240</v>
          </cell>
        </row>
        <row r="10">
          <cell r="A10" t="str">
            <v>Occupancy</v>
          </cell>
          <cell r="D10">
            <v>0.67954300196277073</v>
          </cell>
          <cell r="E10">
            <v>0.82317351598173516</v>
          </cell>
          <cell r="F10">
            <v>0.75768442622950816</v>
          </cell>
          <cell r="G10">
            <v>0.71779680365296805</v>
          </cell>
          <cell r="H10">
            <v>0.81599999999999995</v>
          </cell>
          <cell r="I10">
            <v>0.79999823999999986</v>
          </cell>
          <cell r="J10">
            <v>0.7899982619999999</v>
          </cell>
          <cell r="K10">
            <v>0.78004428389879998</v>
          </cell>
          <cell r="L10">
            <v>0.78004428389879998</v>
          </cell>
          <cell r="M10">
            <v>0.78004428389879998</v>
          </cell>
          <cell r="P10" t="str">
            <v xml:space="preserve">  First Year</v>
          </cell>
          <cell r="R10">
            <v>1998</v>
          </cell>
        </row>
        <row r="11">
          <cell r="A11" t="str">
            <v>Occupied Rooms</v>
          </cell>
          <cell r="D11">
            <v>59177</v>
          </cell>
          <cell r="E11">
            <v>72110</v>
          </cell>
          <cell r="F11">
            <v>66555</v>
          </cell>
          <cell r="G11">
            <v>62879</v>
          </cell>
          <cell r="H11">
            <v>71481.599999999991</v>
          </cell>
          <cell r="I11">
            <v>70079.845823999989</v>
          </cell>
          <cell r="J11">
            <v>69393.447334079989</v>
          </cell>
          <cell r="K11">
            <v>68331.879269534882</v>
          </cell>
          <cell r="L11">
            <v>68331.879269534882</v>
          </cell>
          <cell r="M11">
            <v>68331.879269534882</v>
          </cell>
          <cell r="P11" t="str">
            <v xml:space="preserve">  Inflation</v>
          </cell>
          <cell r="R11">
            <v>0.03</v>
          </cell>
        </row>
        <row r="12">
          <cell r="A12" t="str">
            <v>Rate Growth</v>
          </cell>
          <cell r="E12">
            <v>0.11557142857142866</v>
          </cell>
          <cell r="F12">
            <v>1.5174798309642856E-2</v>
          </cell>
          <cell r="G12">
            <v>-5.9035004730369045E-2</v>
          </cell>
          <cell r="H12">
            <v>-0.11267511227294057</v>
          </cell>
          <cell r="I12">
            <v>1.9969999999999998E-2</v>
          </cell>
          <cell r="J12">
            <v>5.3000000000000026E-2</v>
          </cell>
          <cell r="K12">
            <v>6.8000000000000102E-2</v>
          </cell>
          <cell r="L12">
            <v>5.9999999999999963E-2</v>
          </cell>
          <cell r="M12">
            <v>5.0000000000000051E-2</v>
          </cell>
        </row>
        <row r="13">
          <cell r="A13" t="str">
            <v>Average Rate</v>
          </cell>
          <cell r="D13">
            <v>140</v>
          </cell>
          <cell r="E13">
            <v>156.18</v>
          </cell>
          <cell r="F13">
            <v>158.55000000000001</v>
          </cell>
          <cell r="G13">
            <v>149.19</v>
          </cell>
          <cell r="H13">
            <v>132.38</v>
          </cell>
          <cell r="I13">
            <v>135.0236286</v>
          </cell>
          <cell r="J13">
            <v>142.1798809158</v>
          </cell>
          <cell r="K13">
            <v>151.84811281807441</v>
          </cell>
          <cell r="L13">
            <v>160.95899958715887</v>
          </cell>
          <cell r="M13">
            <v>169.00694956651682</v>
          </cell>
        </row>
        <row r="14">
          <cell r="B14" t="str">
            <v>RevPAR</v>
          </cell>
          <cell r="D14">
            <v>95.136020274787896</v>
          </cell>
          <cell r="E14">
            <v>128.5632397260274</v>
          </cell>
          <cell r="F14">
            <v>120.13086577868853</v>
          </cell>
          <cell r="G14">
            <v>107.0881051369863</v>
          </cell>
          <cell r="H14">
            <v>108.02207999999999</v>
          </cell>
          <cell r="I14">
            <v>108.01866523841365</v>
          </cell>
          <cell r="J14">
            <v>112.32185881484895</v>
          </cell>
          <cell r="K14">
            <v>118.44825242455904</v>
          </cell>
          <cell r="L14">
            <v>125.55514757003259</v>
          </cell>
          <cell r="M14">
            <v>131.83290494853421</v>
          </cell>
        </row>
        <row r="15">
          <cell r="B15" t="str">
            <v>RevPAR Growth</v>
          </cell>
          <cell r="C15" t="str">
            <v>RevPAR Growth</v>
          </cell>
          <cell r="E15">
            <v>0.26000604467088756</v>
          </cell>
          <cell r="F15">
            <v>-7.0193233792832571E-2</v>
          </cell>
          <cell r="G15">
            <v>-0.12179467201346059</v>
          </cell>
          <cell r="H15">
            <v>8.6461477414033153E-3</v>
          </cell>
          <cell r="I15">
            <v>-3.1611700000053669E-5</v>
          </cell>
          <cell r="J15">
            <v>3.9837500000000012E-2</v>
          </cell>
          <cell r="K15">
            <v>5.4543200000000208E-2</v>
          </cell>
          <cell r="L15">
            <v>6.0000000000000012E-2</v>
          </cell>
          <cell r="M15">
            <v>4.9999999999999913E-2</v>
          </cell>
          <cell r="S15" t="str">
            <v>Actual</v>
          </cell>
          <cell r="T15" t="str">
            <v>Actual</v>
          </cell>
          <cell r="U15" t="str">
            <v>Actual</v>
          </cell>
          <cell r="V15" t="str">
            <v>Actual</v>
          </cell>
          <cell r="W15" t="str">
            <v>Forecast</v>
          </cell>
          <cell r="X15" t="str">
            <v>Projected</v>
          </cell>
          <cell r="Y15" t="str">
            <v>Projected</v>
          </cell>
          <cell r="Z15" t="str">
            <v>Projected</v>
          </cell>
          <cell r="AA15" t="str">
            <v>Projected</v>
          </cell>
        </row>
        <row r="16">
          <cell r="A16" t="str">
            <v>REVENUE</v>
          </cell>
          <cell r="P16" t="str">
            <v>UNDISTRIBUTED EXPENSES</v>
          </cell>
          <cell r="S16">
            <v>1998</v>
          </cell>
          <cell r="T16">
            <v>1999</v>
          </cell>
          <cell r="U16">
            <v>2000</v>
          </cell>
          <cell r="V16">
            <v>2001</v>
          </cell>
          <cell r="W16">
            <v>2002</v>
          </cell>
          <cell r="X16">
            <v>2003</v>
          </cell>
          <cell r="Y16">
            <v>2004</v>
          </cell>
          <cell r="Z16">
            <v>2005</v>
          </cell>
          <cell r="AA16">
            <v>2006</v>
          </cell>
        </row>
        <row r="17">
          <cell r="A17" t="str">
            <v>Food</v>
          </cell>
          <cell r="P17" t="str">
            <v>A&amp;G</v>
          </cell>
        </row>
        <row r="18">
          <cell r="E18">
            <v>-7.0622170671912343E-2</v>
          </cell>
          <cell r="F18">
            <v>3.9128687915495508E-2</v>
          </cell>
          <cell r="G18">
            <v>7.8029598437571179E-2</v>
          </cell>
          <cell r="H18">
            <v>-0.10448693589289115</v>
          </cell>
          <cell r="I18">
            <v>0.03</v>
          </cell>
          <cell r="J18">
            <v>0.03</v>
          </cell>
          <cell r="K18">
            <v>0.2</v>
          </cell>
          <cell r="L18">
            <v>0.2</v>
          </cell>
          <cell r="M18">
            <v>0.1</v>
          </cell>
        </row>
        <row r="19">
          <cell r="A19" t="str">
            <v xml:space="preserve">$POR  </v>
          </cell>
          <cell r="B19">
            <v>1</v>
          </cell>
          <cell r="D19">
            <v>39.267080115585443</v>
          </cell>
          <cell r="E19">
            <v>36.493953681874913</v>
          </cell>
          <cell r="F19">
            <v>37.921914206295547</v>
          </cell>
          <cell r="G19">
            <v>40.88094594379681</v>
          </cell>
          <cell r="H19">
            <v>36.609421165726566</v>
          </cell>
          <cell r="I19">
            <v>37.707703800698361</v>
          </cell>
          <cell r="J19">
            <v>38.83893491471931</v>
          </cell>
          <cell r="K19">
            <v>46.606721897663171</v>
          </cell>
          <cell r="L19">
            <v>55.928066277195803</v>
          </cell>
          <cell r="M19">
            <v>61.520872904915386</v>
          </cell>
          <cell r="P19" t="str">
            <v xml:space="preserve">% of Rev  </v>
          </cell>
          <cell r="Q19">
            <v>0</v>
          </cell>
          <cell r="S19">
            <v>0.10624738895255015</v>
          </cell>
          <cell r="T19">
            <v>8.443576950460957E-2</v>
          </cell>
          <cell r="U19">
            <v>8.6050372005256018E-2</v>
          </cell>
          <cell r="V19">
            <v>8.1797653981670188E-2</v>
          </cell>
          <cell r="W19">
            <v>7.6538644298508193E-2</v>
          </cell>
          <cell r="X19">
            <v>7.8452730093503301E-2</v>
          </cell>
          <cell r="Y19">
            <v>7.5518381844862911E-2</v>
          </cell>
          <cell r="Z19">
            <v>7.0763157132081367E-2</v>
          </cell>
          <cell r="AA19">
            <v>6.6712053123692508E-2</v>
          </cell>
        </row>
        <row r="21">
          <cell r="B21" t="str">
            <v xml:space="preserve"> % Fix </v>
          </cell>
          <cell r="Q21" t="str">
            <v xml:space="preserve"> % Fix </v>
          </cell>
          <cell r="U21">
            <v>-1.4766479110664421E-2</v>
          </cell>
          <cell r="V21">
            <v>-0.10914560163783216</v>
          </cell>
          <cell r="W21">
            <v>-4.8720653845665152E-2</v>
          </cell>
          <cell r="X21">
            <v>4.2223409941208011E-2</v>
          </cell>
          <cell r="Y21">
            <v>0.03</v>
          </cell>
          <cell r="Z21">
            <v>0.03</v>
          </cell>
          <cell r="AA21">
            <v>0.03</v>
          </cell>
        </row>
        <row r="22">
          <cell r="A22" t="str">
            <v xml:space="preserve">$FIX (000)  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P22" t="str">
            <v xml:space="preserve">$ Per Room  </v>
          </cell>
          <cell r="Q22">
            <v>1</v>
          </cell>
          <cell r="S22">
            <v>7828.4007795963698</v>
          </cell>
          <cell r="T22">
            <v>7469.6208333333334</v>
          </cell>
          <cell r="U22">
            <v>7359.3208333333332</v>
          </cell>
          <cell r="V22">
            <v>6556.0833333333339</v>
          </cell>
          <cell r="W22">
            <v>6236.6666666666661</v>
          </cell>
          <cell r="X22">
            <v>6500</v>
          </cell>
          <cell r="Y22">
            <v>6695</v>
          </cell>
          <cell r="Z22">
            <v>6895.85</v>
          </cell>
          <cell r="AA22">
            <v>7102.7255000000005</v>
          </cell>
        </row>
        <row r="24">
          <cell r="A24" t="str">
            <v>Beverage</v>
          </cell>
          <cell r="P24" t="str">
            <v>Marketing</v>
          </cell>
        </row>
        <row r="25">
          <cell r="F25">
            <v>-0.309079750543795</v>
          </cell>
          <cell r="G25">
            <v>7.4087639553017448E-2</v>
          </cell>
          <cell r="H25">
            <v>-0.11692670001592849</v>
          </cell>
          <cell r="I25">
            <v>0.03</v>
          </cell>
          <cell r="J25">
            <v>0.03</v>
          </cell>
          <cell r="K25">
            <v>0.08</v>
          </cell>
          <cell r="L25">
            <v>0.08</v>
          </cell>
          <cell r="M25">
            <v>0.05</v>
          </cell>
        </row>
        <row r="26">
          <cell r="A26" t="str">
            <v xml:space="preserve">$POR  </v>
          </cell>
          <cell r="B26">
            <v>1</v>
          </cell>
          <cell r="D26">
            <v>24.223904557513901</v>
          </cell>
          <cell r="E26">
            <v>21.219137428928029</v>
          </cell>
          <cell r="F26">
            <v>14.660731725640449</v>
          </cell>
          <cell r="G26">
            <v>15.746910733313188</v>
          </cell>
          <cell r="H26">
            <v>13.905676425821472</v>
          </cell>
          <cell r="I26">
            <v>14.322846718596116</v>
          </cell>
          <cell r="J26">
            <v>14.752532120153999</v>
          </cell>
          <cell r="K26">
            <v>15.93273468976632</v>
          </cell>
          <cell r="L26">
            <v>17.207353464947627</v>
          </cell>
          <cell r="M26">
            <v>18.067721138195008</v>
          </cell>
          <cell r="P26" t="str">
            <v xml:space="preserve">% of Rev  </v>
          </cell>
          <cell r="Q26">
            <v>0</v>
          </cell>
          <cell r="S26">
            <v>7.7252247434916085E-2</v>
          </cell>
          <cell r="T26">
            <v>6.3093601980569569E-2</v>
          </cell>
          <cell r="U26">
            <v>6.7397583378399989E-2</v>
          </cell>
          <cell r="V26">
            <v>6.8061693027272371E-2</v>
          </cell>
          <cell r="W26">
            <v>8.0874879624880117E-2</v>
          </cell>
          <cell r="X26">
            <v>8.1925168623949593E-2</v>
          </cell>
          <cell r="Y26">
            <v>7.8860941607442447E-2</v>
          </cell>
          <cell r="Z26">
            <v>7.3895243333142901E-2</v>
          </cell>
          <cell r="AA26">
            <v>6.9664831228875013E-2</v>
          </cell>
        </row>
        <row r="28">
          <cell r="B28" t="str">
            <v xml:space="preserve"> % Fix </v>
          </cell>
          <cell r="Q28" t="str">
            <v xml:space="preserve"> % Fix </v>
          </cell>
          <cell r="U28">
            <v>3.2694575911853097E-2</v>
          </cell>
          <cell r="V28">
            <v>-5.3594934714108922E-2</v>
          </cell>
          <cell r="W28">
            <v>0.20803369906853986</v>
          </cell>
          <cell r="X28">
            <v>0.03</v>
          </cell>
          <cell r="Y28">
            <v>0.03</v>
          </cell>
          <cell r="Z28">
            <v>0.03</v>
          </cell>
          <cell r="AA28">
            <v>0.03</v>
          </cell>
        </row>
        <row r="29">
          <cell r="A29" t="str">
            <v xml:space="preserve">$FIX (000)  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P29" t="str">
            <v xml:space="preserve">$ Per Room  </v>
          </cell>
          <cell r="Q29">
            <v>1</v>
          </cell>
          <cell r="S29">
            <v>5692.0133285831043</v>
          </cell>
          <cell r="T29">
            <v>5581.583333333333</v>
          </cell>
          <cell r="U29">
            <v>5764.0708333333332</v>
          </cell>
          <cell r="V29">
            <v>5455.1458333333339</v>
          </cell>
          <cell r="W29">
            <v>6590</v>
          </cell>
          <cell r="X29">
            <v>6787.7</v>
          </cell>
          <cell r="Y29">
            <v>6991.3310000000001</v>
          </cell>
          <cell r="Z29">
            <v>7201.0709300000008</v>
          </cell>
          <cell r="AA29">
            <v>7417.1030579000007</v>
          </cell>
        </row>
        <row r="31">
          <cell r="A31" t="str">
            <v>Communications</v>
          </cell>
          <cell r="P31" t="str">
            <v>Energy</v>
          </cell>
        </row>
        <row r="32">
          <cell r="F32">
            <v>-6.0200409036913483E-2</v>
          </cell>
          <cell r="G32">
            <v>9.3418854442017807E-2</v>
          </cell>
          <cell r="H32">
            <v>-0.20188809950449427</v>
          </cell>
          <cell r="I32">
            <v>0.03</v>
          </cell>
          <cell r="J32">
            <v>0.03</v>
          </cell>
          <cell r="K32">
            <v>0.03</v>
          </cell>
          <cell r="L32">
            <v>0.03</v>
          </cell>
          <cell r="M32">
            <v>0.03</v>
          </cell>
        </row>
        <row r="33">
          <cell r="A33" t="str">
            <v xml:space="preserve">$POR  </v>
          </cell>
          <cell r="D33">
            <v>6.025770147185562</v>
          </cell>
          <cell r="E33">
            <v>6.2959922340868122</v>
          </cell>
          <cell r="F33">
            <v>5.9169709263015555</v>
          </cell>
          <cell r="G33">
            <v>6.4697275720033716</v>
          </cell>
          <cell r="H33">
            <v>5.1635665681797844</v>
          </cell>
          <cell r="I33">
            <v>5.3184735652251778</v>
          </cell>
          <cell r="J33">
            <v>5.4780277721819335</v>
          </cell>
          <cell r="K33">
            <v>5.642368605347392</v>
          </cell>
          <cell r="L33">
            <v>5.8116396635078136</v>
          </cell>
          <cell r="M33">
            <v>5.9859888534130485</v>
          </cell>
          <cell r="P33" t="str">
            <v xml:space="preserve">% of Rev  </v>
          </cell>
          <cell r="Q33">
            <v>0</v>
          </cell>
          <cell r="S33">
            <v>3.9948172699115402E-2</v>
          </cell>
          <cell r="T33">
            <v>3.6457493244348105E-2</v>
          </cell>
          <cell r="U33">
            <v>4.5602428838041401E-2</v>
          </cell>
          <cell r="V33">
            <v>4.2198733145304652E-2</v>
          </cell>
          <cell r="W33">
            <v>4.3214062197133404E-2</v>
          </cell>
          <cell r="X33">
            <v>4.377526555646169E-2</v>
          </cell>
          <cell r="Y33">
            <v>4.2137950020516964E-2</v>
          </cell>
          <cell r="Z33">
            <v>3.948461693275105E-2</v>
          </cell>
          <cell r="AA33">
            <v>3.7224171011331748E-2</v>
          </cell>
        </row>
        <row r="35">
          <cell r="A35" t="str">
            <v>Other Operated Departments</v>
          </cell>
          <cell r="Q35" t="str">
            <v xml:space="preserve"> % Fix </v>
          </cell>
          <cell r="U35">
            <v>0.20924434017352844</v>
          </cell>
          <cell r="V35">
            <v>-0.1327784294746468</v>
          </cell>
          <cell r="W35">
            <v>4.1103315737278656E-2</v>
          </cell>
          <cell r="X35">
            <v>0.03</v>
          </cell>
          <cell r="Y35">
            <v>0.03</v>
          </cell>
          <cell r="Z35">
            <v>0.03</v>
          </cell>
          <cell r="AA35">
            <v>0.03</v>
          </cell>
        </row>
        <row r="36">
          <cell r="F36">
            <v>-6.109109004957769E-2</v>
          </cell>
          <cell r="G36">
            <v>5.3480803848039438E-2</v>
          </cell>
          <cell r="H36">
            <v>-0.13487950921250758</v>
          </cell>
          <cell r="I36">
            <v>0.03</v>
          </cell>
          <cell r="J36">
            <v>0.03</v>
          </cell>
          <cell r="K36">
            <v>0.03</v>
          </cell>
          <cell r="L36">
            <v>0.03</v>
          </cell>
          <cell r="M36">
            <v>0.03</v>
          </cell>
          <cell r="P36" t="str">
            <v xml:space="preserve">$ Per Room  </v>
          </cell>
          <cell r="Q36">
            <v>1</v>
          </cell>
          <cell r="S36">
            <v>2943.4163924806671</v>
          </cell>
          <cell r="T36">
            <v>3225.2166666666667</v>
          </cell>
          <cell r="U36">
            <v>3900.0750000000003</v>
          </cell>
          <cell r="V36">
            <v>3382.229166666667</v>
          </cell>
          <cell r="W36">
            <v>3521.25</v>
          </cell>
          <cell r="X36">
            <v>3626.8875000000003</v>
          </cell>
          <cell r="Y36">
            <v>3735.6941250000004</v>
          </cell>
          <cell r="Z36">
            <v>3847.7649487500007</v>
          </cell>
          <cell r="AA36">
            <v>3963.1978972125007</v>
          </cell>
        </row>
        <row r="37">
          <cell r="A37" t="str">
            <v xml:space="preserve">$POR  </v>
          </cell>
          <cell r="D37">
            <v>1.7466583300944623</v>
          </cell>
          <cell r="E37">
            <v>3.6048536957426158</v>
          </cell>
          <cell r="F37">
            <v>3.3846292540004508</v>
          </cell>
          <cell r="G37">
            <v>3.5656419472319851</v>
          </cell>
          <cell r="H37">
            <v>3.0847099113618053</v>
          </cell>
          <cell r="I37">
            <v>3.1772512087026596</v>
          </cell>
          <cell r="J37">
            <v>3.2725687449637397</v>
          </cell>
          <cell r="K37">
            <v>3.3707458073126522</v>
          </cell>
          <cell r="L37">
            <v>3.4718681815320318</v>
          </cell>
          <cell r="M37">
            <v>3.5760242269779927</v>
          </cell>
        </row>
        <row r="38">
          <cell r="P38" t="str">
            <v>PO&amp;M</v>
          </cell>
        </row>
        <row r="39">
          <cell r="A39" t="str">
            <v>Rental &amp; Other Income</v>
          </cell>
        </row>
        <row r="40">
          <cell r="F40">
            <v>0.18293551119360996</v>
          </cell>
          <cell r="G40">
            <v>-0.178125719246644</v>
          </cell>
          <cell r="H40">
            <v>0.64265670843856393</v>
          </cell>
          <cell r="I40">
            <v>0.03</v>
          </cell>
          <cell r="J40">
            <v>0.03</v>
          </cell>
          <cell r="K40">
            <v>0.03</v>
          </cell>
          <cell r="L40">
            <v>0.03</v>
          </cell>
          <cell r="M40">
            <v>0.03</v>
          </cell>
          <cell r="P40" t="str">
            <v xml:space="preserve">% of Rev  </v>
          </cell>
          <cell r="Q40">
            <v>0</v>
          </cell>
          <cell r="S40">
            <v>4.0709301563579402E-2</v>
          </cell>
          <cell r="T40">
            <v>3.845413694995755E-2</v>
          </cell>
          <cell r="U40">
            <v>4.4283540364663088E-2</v>
          </cell>
          <cell r="V40">
            <v>3.674463779652748E-2</v>
          </cell>
          <cell r="W40">
            <v>3.8806238079995906E-2</v>
          </cell>
          <cell r="X40">
            <v>3.9310198829486193E-2</v>
          </cell>
          <cell r="Y40">
            <v>3.7839889090723375E-2</v>
          </cell>
          <cell r="Z40">
            <v>3.5457195349976066E-2</v>
          </cell>
          <cell r="AA40">
            <v>3.3427314377588051E-2</v>
          </cell>
        </row>
        <row r="41">
          <cell r="A41" t="str">
            <v xml:space="preserve">$POR  </v>
          </cell>
          <cell r="D41">
            <v>0.83032259154739174</v>
          </cell>
          <cell r="E41">
            <v>1.5399667175149077</v>
          </cell>
          <cell r="F41">
            <v>1.8216813162046428</v>
          </cell>
          <cell r="G41">
            <v>1.4971930215175178</v>
          </cell>
          <cell r="H41">
            <v>2.4593741606231538</v>
          </cell>
          <cell r="I41">
            <v>2.5331553854418485</v>
          </cell>
          <cell r="J41">
            <v>2.6091500470051039</v>
          </cell>
          <cell r="K41">
            <v>2.6874245484152572</v>
          </cell>
          <cell r="L41">
            <v>2.7680472848677149</v>
          </cell>
          <cell r="M41">
            <v>2.8510887034137462</v>
          </cell>
        </row>
        <row r="42">
          <cell r="Q42" t="str">
            <v xml:space="preserve"> % Fix </v>
          </cell>
          <cell r="U42">
            <v>0.11329987114854179</v>
          </cell>
          <cell r="V42">
            <v>-0.22237490194697807</v>
          </cell>
          <cell r="W42">
            <v>7.3682125576525648E-2</v>
          </cell>
          <cell r="X42">
            <v>0.03</v>
          </cell>
          <cell r="Y42">
            <v>0.03</v>
          </cell>
          <cell r="Z42">
            <v>0.03</v>
          </cell>
          <cell r="AA42">
            <v>0.03</v>
          </cell>
        </row>
        <row r="43">
          <cell r="A43" t="str">
            <v>Casino</v>
          </cell>
          <cell r="F43">
            <v>0.15063251560066007</v>
          </cell>
          <cell r="G43">
            <v>-2.8630087623797075E-2</v>
          </cell>
          <cell r="H43">
            <v>2.6551799738096599E-2</v>
          </cell>
          <cell r="I43">
            <v>0.05</v>
          </cell>
          <cell r="J43">
            <v>0.15</v>
          </cell>
          <cell r="K43">
            <v>0.15</v>
          </cell>
          <cell r="L43">
            <v>0.1</v>
          </cell>
          <cell r="M43">
            <v>0.05</v>
          </cell>
          <cell r="P43" t="str">
            <v xml:space="preserve">$ Per Room  </v>
          </cell>
          <cell r="Q43">
            <v>1</v>
          </cell>
          <cell r="S43">
            <v>2999.4970345998281</v>
          </cell>
          <cell r="T43">
            <v>3401.85</v>
          </cell>
          <cell r="U43">
            <v>3787.2791666666667</v>
          </cell>
          <cell r="V43">
            <v>2945.0833333333339</v>
          </cell>
          <cell r="W43">
            <v>3162.0833333333335</v>
          </cell>
          <cell r="X43">
            <v>3256.9458333333337</v>
          </cell>
          <cell r="Y43">
            <v>3354.6542083333338</v>
          </cell>
          <cell r="Z43">
            <v>3455.293834583334</v>
          </cell>
          <cell r="AA43">
            <v>3558.9526496208341</v>
          </cell>
        </row>
        <row r="44">
          <cell r="A44" t="str">
            <v>$</v>
          </cell>
          <cell r="D44">
            <v>5028.0810000000001</v>
          </cell>
          <cell r="E44">
            <v>4982.8019999999997</v>
          </cell>
          <cell r="F44">
            <v>5733.3739999999998</v>
          </cell>
          <cell r="G44">
            <v>5569.2269999999999</v>
          </cell>
          <cell r="H44">
            <v>5717.1</v>
          </cell>
          <cell r="I44">
            <v>6002.9550000000008</v>
          </cell>
          <cell r="J44">
            <v>6903.3982500000002</v>
          </cell>
          <cell r="K44">
            <v>7938.9079874999998</v>
          </cell>
          <cell r="L44">
            <v>8732.7987862500013</v>
          </cell>
          <cell r="M44">
            <v>9169.4387255625024</v>
          </cell>
        </row>
        <row r="46">
          <cell r="A46" t="str">
            <v>DEPARTMENTAL EXPENSES</v>
          </cell>
          <cell r="P46" t="str">
            <v>FIXED EXPENSES</v>
          </cell>
        </row>
        <row r="48">
          <cell r="A48" t="str">
            <v>Rooms</v>
          </cell>
          <cell r="P48" t="str">
            <v xml:space="preserve"> Management Fee</v>
          </cell>
          <cell r="R48" t="str">
            <v xml:space="preserve">% of Rev  </v>
          </cell>
          <cell r="S48">
            <v>4.9999340127441866E-2</v>
          </cell>
          <cell r="T48">
            <v>4.999032151549665E-2</v>
          </cell>
          <cell r="U48">
            <v>5.0008678788941177E-2</v>
          </cell>
          <cell r="V48">
            <v>4.9999833619290258E-2</v>
          </cell>
          <cell r="W48">
            <v>0.05</v>
          </cell>
          <cell r="X48">
            <v>2.5000000000000001E-2</v>
          </cell>
          <cell r="Y48">
            <v>2.5000000000000001E-2</v>
          </cell>
          <cell r="Z48">
            <v>2.5000000000000001E-2</v>
          </cell>
          <cell r="AA48">
            <v>2.5000000000000001E-2</v>
          </cell>
        </row>
        <row r="50">
          <cell r="A50" t="str">
            <v xml:space="preserve"> CHOOSE </v>
          </cell>
          <cell r="B50" t="str">
            <v xml:space="preserve">    % Variable</v>
          </cell>
          <cell r="P50" t="str">
            <v xml:space="preserve"> Real Estate Taxes</v>
          </cell>
          <cell r="U50">
            <v>0.11045333333333351</v>
          </cell>
          <cell r="V50">
            <v>-0.26499087459776194</v>
          </cell>
          <cell r="W50">
            <v>0.44491909596582513</v>
          </cell>
          <cell r="X50">
            <v>-0.15206331260599212</v>
          </cell>
          <cell r="Y50">
            <v>0.03</v>
          </cell>
          <cell r="Z50">
            <v>0.03</v>
          </cell>
          <cell r="AA50">
            <v>0.03</v>
          </cell>
        </row>
        <row r="51">
          <cell r="A51" t="str">
            <v xml:space="preserve">% of Rev  </v>
          </cell>
          <cell r="B51">
            <v>0</v>
          </cell>
          <cell r="D51">
            <v>0.2694121026750258</v>
          </cell>
          <cell r="E51">
            <v>0.22509965646137695</v>
          </cell>
          <cell r="F51">
            <v>0.24777237445095174</v>
          </cell>
          <cell r="G51">
            <v>0.23832070673859343</v>
          </cell>
          <cell r="H51">
            <v>0.25470801092165668</v>
          </cell>
          <cell r="I51">
            <v>0.25721271336343848</v>
          </cell>
          <cell r="J51">
            <v>0.26023372478354856</v>
          </cell>
          <cell r="K51">
            <v>0.25097447240360954</v>
          </cell>
          <cell r="L51">
            <v>0.24387142129784703</v>
          </cell>
          <cell r="M51">
            <v>0.2392262513683642</v>
          </cell>
          <cell r="R51" t="str">
            <v xml:space="preserve">Actual $  </v>
          </cell>
          <cell r="S51">
            <v>150</v>
          </cell>
          <cell r="T51">
            <v>150</v>
          </cell>
          <cell r="U51">
            <v>166.56800000000001</v>
          </cell>
          <cell r="V51">
            <v>122.429</v>
          </cell>
          <cell r="W51">
            <v>176.9</v>
          </cell>
          <cell r="X51">
            <v>150</v>
          </cell>
          <cell r="Y51">
            <v>154.5</v>
          </cell>
          <cell r="Z51">
            <v>159.13499999999999</v>
          </cell>
          <cell r="AA51">
            <v>163.90905000000001</v>
          </cell>
        </row>
        <row r="53">
          <cell r="A53" t="str">
            <v>OR</v>
          </cell>
          <cell r="B53">
            <v>0</v>
          </cell>
          <cell r="F53">
            <v>0.1174262733852931</v>
          </cell>
          <cell r="G53">
            <v>-9.4929597434487922E-2</v>
          </cell>
          <cell r="H53">
            <v>-5.1661266504451575E-2</v>
          </cell>
          <cell r="I53">
            <v>0.03</v>
          </cell>
          <cell r="J53">
            <v>6.5367681922786455E-2</v>
          </cell>
          <cell r="K53">
            <v>0.03</v>
          </cell>
          <cell r="L53">
            <v>0.03</v>
          </cell>
          <cell r="M53">
            <v>0.03</v>
          </cell>
          <cell r="P53" t="str">
            <v>Insurance</v>
          </cell>
          <cell r="U53">
            <v>-0.13567418368518269</v>
          </cell>
          <cell r="V53">
            <v>1.6018569104415015E-2</v>
          </cell>
          <cell r="W53">
            <v>1.131843973738154</v>
          </cell>
          <cell r="X53">
            <v>-2.4526198439241975E-2</v>
          </cell>
          <cell r="Y53">
            <v>-0.19999999999999996</v>
          </cell>
          <cell r="Z53">
            <v>0.03</v>
          </cell>
          <cell r="AA53">
            <v>0.03</v>
          </cell>
        </row>
        <row r="54">
          <cell r="A54" t="str">
            <v xml:space="preserve">$POR  </v>
          </cell>
          <cell r="B54">
            <v>1</v>
          </cell>
          <cell r="D54">
            <v>37.717694374503616</v>
          </cell>
          <cell r="E54">
            <v>35.156064346137853</v>
          </cell>
          <cell r="F54">
            <v>39.284309969198389</v>
          </cell>
          <cell r="G54">
            <v>35.555066238330745</v>
          </cell>
          <cell r="H54">
            <v>33.718246485808912</v>
          </cell>
          <cell r="I54">
            <v>34.729793880383177</v>
          </cell>
          <cell r="J54">
            <v>37</v>
          </cell>
          <cell r="K54">
            <v>38.11</v>
          </cell>
          <cell r="L54">
            <v>39.253300000000003</v>
          </cell>
          <cell r="M54">
            <v>40.430899000000004</v>
          </cell>
          <cell r="R54" t="str">
            <v xml:space="preserve">Actual $  </v>
          </cell>
          <cell r="S54">
            <v>208.095</v>
          </cell>
          <cell r="T54">
            <v>383.30799999999999</v>
          </cell>
          <cell r="U54">
            <v>331.303</v>
          </cell>
          <cell r="V54">
            <v>336.61</v>
          </cell>
          <cell r="W54">
            <v>717.6</v>
          </cell>
          <cell r="X54">
            <v>700</v>
          </cell>
          <cell r="Y54">
            <v>560</v>
          </cell>
          <cell r="Z54">
            <v>576.80000000000007</v>
          </cell>
          <cell r="AA54">
            <v>594.10400000000004</v>
          </cell>
        </row>
        <row r="56">
          <cell r="B56" t="str">
            <v xml:space="preserve"> % Fix </v>
          </cell>
          <cell r="G56" t="str">
            <v xml:space="preserve"> </v>
          </cell>
          <cell r="P56" t="str">
            <v>Leases</v>
          </cell>
          <cell r="R56" t="str">
            <v xml:space="preserve">% of Rev  </v>
          </cell>
          <cell r="S56">
            <v>2.7481473509074837E-2</v>
          </cell>
          <cell r="T56">
            <v>2.2043715174423394E-2</v>
          </cell>
          <cell r="U56">
            <v>2.3012706231769959E-3</v>
          </cell>
          <cell r="V56">
            <v>1.3676957015772637E-3</v>
          </cell>
          <cell r="W56">
            <v>1.2834847487256519E-3</v>
          </cell>
          <cell r="X56">
            <v>1.2834847487256519E-3</v>
          </cell>
          <cell r="Y56">
            <v>1.2834847487256519E-3</v>
          </cell>
          <cell r="Z56">
            <v>1.2834847487256519E-3</v>
          </cell>
          <cell r="AA56">
            <v>1.2834847487256519E-3</v>
          </cell>
        </row>
        <row r="57">
          <cell r="A57" t="str">
            <v xml:space="preserve">$FIX (000)  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P58" t="str">
            <v xml:space="preserve">Other </v>
          </cell>
          <cell r="U58">
            <v>-0.70269929045779356</v>
          </cell>
          <cell r="V58">
            <v>1.8371836249363001</v>
          </cell>
          <cell r="W58">
            <v>-0.23108174567536932</v>
          </cell>
          <cell r="X58">
            <v>-0.49944382647385988</v>
          </cell>
          <cell r="Y58">
            <v>0.03</v>
          </cell>
          <cell r="Z58">
            <v>0.03</v>
          </cell>
          <cell r="AA58">
            <v>0.03</v>
          </cell>
        </row>
        <row r="59">
          <cell r="A59" t="str">
            <v>F&amp;B</v>
          </cell>
          <cell r="R59" t="str">
            <v xml:space="preserve">Actual $  </v>
          </cell>
          <cell r="S59">
            <v>66.144000000000005</v>
          </cell>
          <cell r="T59">
            <v>277.221</v>
          </cell>
          <cell r="U59">
            <v>82.418000000000006</v>
          </cell>
          <cell r="V59">
            <v>233.83500000000001</v>
          </cell>
          <cell r="W59">
            <v>179.8</v>
          </cell>
          <cell r="X59">
            <v>90</v>
          </cell>
          <cell r="Y59">
            <v>92.7</v>
          </cell>
          <cell r="Z59">
            <v>95.481000000000009</v>
          </cell>
          <cell r="AA59">
            <v>98.345430000000007</v>
          </cell>
        </row>
        <row r="61">
          <cell r="A61" t="str">
            <v xml:space="preserve">% of Rev  </v>
          </cell>
          <cell r="B61">
            <v>1</v>
          </cell>
          <cell r="D61">
            <v>0.89024636924352829</v>
          </cell>
          <cell r="E61">
            <v>0.86663113623764954</v>
          </cell>
          <cell r="F61">
            <v>0.92059978774947582</v>
          </cell>
          <cell r="G61">
            <v>0.81987377211747237</v>
          </cell>
          <cell r="H61">
            <v>0.89047051981500458</v>
          </cell>
          <cell r="I61">
            <v>0.85</v>
          </cell>
          <cell r="J61">
            <v>0.78</v>
          </cell>
          <cell r="K61">
            <v>0.75</v>
          </cell>
          <cell r="L61">
            <v>0.72</v>
          </cell>
          <cell r="M61">
            <v>0.7</v>
          </cell>
          <cell r="P61" t="str">
            <v>Rent</v>
          </cell>
          <cell r="U61">
            <v>0</v>
          </cell>
          <cell r="V61">
            <v>-8.8528513814027932E-3</v>
          </cell>
          <cell r="W61">
            <v>2.4390475783028887E-2</v>
          </cell>
          <cell r="X61">
            <v>-0.10440835266821345</v>
          </cell>
          <cell r="Y61">
            <v>0.03</v>
          </cell>
          <cell r="Z61">
            <v>0.03</v>
          </cell>
          <cell r="AA61">
            <v>0.03</v>
          </cell>
        </row>
        <row r="62">
          <cell r="R62" t="str">
            <v xml:space="preserve">Actual $  </v>
          </cell>
          <cell r="S62">
            <v>0</v>
          </cell>
          <cell r="T62">
            <v>0</v>
          </cell>
          <cell r="U62">
            <v>424.49599999999998</v>
          </cell>
          <cell r="V62">
            <v>420.738</v>
          </cell>
          <cell r="W62">
            <v>431</v>
          </cell>
          <cell r="X62">
            <v>386</v>
          </cell>
          <cell r="Y62">
            <v>397.58</v>
          </cell>
          <cell r="Z62">
            <v>409.50740000000002</v>
          </cell>
          <cell r="AA62">
            <v>421.79262200000005</v>
          </cell>
        </row>
        <row r="63">
          <cell r="B63" t="str">
            <v xml:space="preserve"> % Fix </v>
          </cell>
          <cell r="G63" t="str">
            <v xml:space="preserve"> </v>
          </cell>
        </row>
        <row r="64">
          <cell r="A64" t="str">
            <v xml:space="preserve">$FIX (000)  </v>
          </cell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P64" t="str">
            <v>Franchise Fee</v>
          </cell>
          <cell r="R64" t="str">
            <v xml:space="preserve">% of Rms  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0.05</v>
          </cell>
          <cell r="Y64">
            <v>0.05</v>
          </cell>
          <cell r="Z64">
            <v>0.05</v>
          </cell>
          <cell r="AA64">
            <v>0.05</v>
          </cell>
        </row>
        <row r="66">
          <cell r="A66" t="str">
            <v>Communications</v>
          </cell>
          <cell r="B66" t="str">
            <v xml:space="preserve">   % of Rev</v>
          </cell>
          <cell r="D66">
            <v>0.73096607560006399</v>
          </cell>
          <cell r="E66">
            <v>0.54212958476136774</v>
          </cell>
          <cell r="F66">
            <v>0.54143431757930338</v>
          </cell>
          <cell r="G66">
            <v>0.48251763722622354</v>
          </cell>
          <cell r="H66">
            <v>0.49200758602004879</v>
          </cell>
          <cell r="I66">
            <v>0.61529999999999996</v>
          </cell>
          <cell r="J66">
            <v>0.61529999999999996</v>
          </cell>
          <cell r="K66">
            <v>0.61529999999999996</v>
          </cell>
          <cell r="L66">
            <v>0.61529999999999996</v>
          </cell>
          <cell r="M66">
            <v>0.61529999999999996</v>
          </cell>
          <cell r="P66" t="str">
            <v>Incentive Fee (on GOP Growth)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0.2</v>
          </cell>
          <cell r="Y66">
            <v>0.2</v>
          </cell>
          <cell r="Z66">
            <v>0.2</v>
          </cell>
          <cell r="AA66">
            <v>0.2</v>
          </cell>
        </row>
        <row r="67">
          <cell r="P67" t="str">
            <v>Incentive Cap (% of Rev)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1.4999999999999999E-2</v>
          </cell>
          <cell r="Y67">
            <v>1.4999999999999999E-2</v>
          </cell>
          <cell r="Z67">
            <v>1.4999999999999999E-2</v>
          </cell>
          <cell r="AA67">
            <v>1.4999999999999999E-2</v>
          </cell>
        </row>
        <row r="68">
          <cell r="A68" t="str">
            <v>Minor Ops. Dept.</v>
          </cell>
          <cell r="B68" t="str">
            <v xml:space="preserve">   % of Rev</v>
          </cell>
          <cell r="D68">
            <v>0.69224666705365601</v>
          </cell>
          <cell r="E68">
            <v>0.68079524208874154</v>
          </cell>
          <cell r="F68">
            <v>0.64738706584274464</v>
          </cell>
          <cell r="G68">
            <v>0.65270913989045687</v>
          </cell>
          <cell r="H68">
            <v>0.72743764172335601</v>
          </cell>
          <cell r="I68">
            <v>0.27160000000000001</v>
          </cell>
          <cell r="J68">
            <v>0.27160000000000001</v>
          </cell>
          <cell r="K68">
            <v>0.27160000000000001</v>
          </cell>
          <cell r="L68">
            <v>0.27160000000000001</v>
          </cell>
          <cell r="M68">
            <v>0.27160000000000001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ist, CPS &amp; Comp Inputs"/>
      <sheetName val="General &amp; Revenue Inputs"/>
      <sheetName val="Expense Inputs"/>
      <sheetName val="Override Inputs"/>
      <sheetName val="Historical Financials - Output"/>
      <sheetName val="CPS Financials - Output"/>
      <sheetName val="Comp Financials - Output"/>
      <sheetName val="Hist &amp; Comp Dept Summ - Output"/>
      <sheetName val="Financial Projections - Output"/>
      <sheetName val="Department Metrics - Output"/>
      <sheetName val="UOE &amp; Fixed Exp Metrics -Output"/>
      <sheetName val="Investment Inputs"/>
      <sheetName val="Investment Summary"/>
      <sheetName val="Promote Summary"/>
      <sheetName val="DCF Analysis"/>
      <sheetName val="Penetration"/>
      <sheetName val="Module2"/>
      <sheetName val="Module3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tel Codes"/>
      <sheetName val="Start and Stop dates"/>
      <sheetName val="Summary"/>
      <sheetName val="Estimated Payroll"/>
      <sheetName val="Payroll Audit"/>
      <sheetName val="California"/>
      <sheetName val="CA-Blank"/>
      <sheetName val="The Opal"/>
      <sheetName val="Connecticut"/>
      <sheetName val="Mystic"/>
      <sheetName val="Florida"/>
      <sheetName val="Sheet1"/>
      <sheetName val="Tampa Sheraton"/>
      <sheetName val="Sunrise"/>
      <sheetName val="Tampa Hampton"/>
      <sheetName val="Coco Grove"/>
      <sheetName val="Il Lugano"/>
      <sheetName val="Georgia"/>
      <sheetName val="GA_Blank"/>
      <sheetName val="Courtyard Marriott - Atl"/>
      <sheetName val="Fairfield Inn - Atl"/>
      <sheetName val="Savannah - Staybridge"/>
      <sheetName val="Georgian Terrace"/>
      <sheetName val="Indiana"/>
      <sheetName val="IN-Blank"/>
      <sheetName val="Iowa"/>
      <sheetName val="IA - Blank"/>
      <sheetName val="Maryland"/>
      <sheetName val="Sheraton College Park"/>
      <sheetName val="Massachusetts"/>
      <sheetName val="Tewksbury"/>
      <sheetName val="Milford"/>
      <sheetName val="Michigan"/>
      <sheetName val="Grand Rapids"/>
      <sheetName val="Livonia"/>
      <sheetName val="Holiday Inn Exp - Saginaw"/>
      <sheetName val="4-points Saginaw"/>
      <sheetName val="Mississippi"/>
      <sheetName val="MS -blank"/>
      <sheetName val="Nebraska"/>
      <sheetName val="NE - Blank"/>
      <sheetName val="Nevada"/>
      <sheetName val="Reno"/>
      <sheetName val="New Jersey"/>
      <sheetName val="Tinton Falls"/>
      <sheetName val="New York"/>
      <sheetName val="NY - Blank"/>
      <sheetName val="NorthCarolina"/>
      <sheetName val="NC - Blank"/>
      <sheetName val="Ohio"/>
      <sheetName val="Pennsylvania"/>
      <sheetName val="Inn at Nichols Village"/>
      <sheetName val="PA Blank 3"/>
      <sheetName val="Westchester"/>
      <sheetName val="PA - Blank 1"/>
      <sheetName val="PA Blank 2"/>
      <sheetName val="Pitt Crowne Plaza"/>
      <sheetName val="Plymouth Meeting"/>
      <sheetName val="Texas"/>
      <sheetName val="Boerne - Holiday Inn"/>
      <sheetName val="Plano Inn"/>
      <sheetName val="Candelwood"/>
      <sheetName val="TX - Blank"/>
      <sheetName val="Virginia"/>
      <sheetName val="Lynchburg"/>
      <sheetName val="Richmond"/>
      <sheetName val="HQ"/>
      <sheetName val="Wisconsin"/>
      <sheetName val="Brookfield Sheraton"/>
      <sheetName val="Brookefield Marriott"/>
      <sheetName val="Lodge at Cedar Creek"/>
    </sheetNames>
    <sheetDataSet>
      <sheetData sheetId="0" refreshError="1"/>
      <sheetData sheetId="1" refreshError="1"/>
      <sheetData sheetId="2" refreshError="1">
        <row r="3">
          <cell r="H3">
            <v>-0.13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I65"/>
  <sheetViews>
    <sheetView tabSelected="1" workbookViewId="0">
      <selection activeCell="K15" sqref="K15"/>
    </sheetView>
  </sheetViews>
  <sheetFormatPr defaultColWidth="8.85546875" defaultRowHeight="12.75" x14ac:dyDescent="0.2"/>
  <cols>
    <col min="1" max="1" width="3.85546875" customWidth="1"/>
    <col min="2" max="2" width="15.7109375" customWidth="1"/>
    <col min="3" max="3" width="13" customWidth="1"/>
    <col min="4" max="4" width="11.28515625" customWidth="1"/>
    <col min="5" max="5" width="12.85546875" customWidth="1"/>
    <col min="6" max="6" width="11" customWidth="1"/>
    <col min="7" max="7" width="12.7109375" customWidth="1"/>
    <col min="8" max="8" width="11.140625" customWidth="1"/>
    <col min="9" max="9" width="9.7109375" customWidth="1"/>
  </cols>
  <sheetData>
    <row r="6" spans="2:9" x14ac:dyDescent="0.2">
      <c r="B6" s="38" t="str">
        <f>Proforma!B1</f>
        <v>Stonecroft - 4900 Raytown Rd, Kansas City, MO</v>
      </c>
    </row>
    <row r="8" spans="2:9" ht="33" customHeight="1" x14ac:dyDescent="0.2">
      <c r="B8" s="217" t="s">
        <v>35</v>
      </c>
      <c r="C8" s="217" t="s">
        <v>40</v>
      </c>
      <c r="D8" s="217" t="s">
        <v>36</v>
      </c>
      <c r="E8" s="217" t="s">
        <v>37</v>
      </c>
      <c r="F8" s="217" t="s">
        <v>41</v>
      </c>
      <c r="G8" s="217" t="s">
        <v>38</v>
      </c>
      <c r="H8" s="217" t="s">
        <v>39</v>
      </c>
      <c r="I8" s="217" t="s">
        <v>42</v>
      </c>
    </row>
    <row r="9" spans="2:9" ht="26.1" customHeight="1" x14ac:dyDescent="0.2">
      <c r="B9" s="7">
        <f>'Financial Summary'!B5</f>
        <v>970000</v>
      </c>
      <c r="C9" s="8">
        <f>Proforma!C14</f>
        <v>148</v>
      </c>
      <c r="D9" s="7">
        <f>B9/C9</f>
        <v>6554.0540540540542</v>
      </c>
      <c r="E9" s="7">
        <f>Proforma!C5</f>
        <v>785849.19</v>
      </c>
      <c r="F9" s="9">
        <f>Proforma!F14</f>
        <v>0.86486486486486491</v>
      </c>
      <c r="G9" s="8">
        <f>Proforma!C16</f>
        <v>9</v>
      </c>
      <c r="H9" s="9">
        <f ca="1">Proforma!C8</f>
        <v>-4.3966361370705184E-2</v>
      </c>
      <c r="I9" s="9">
        <f ca="1">Proforma!C128</f>
        <v>0.20693334051628942</v>
      </c>
    </row>
    <row r="11" spans="2:9" ht="15" x14ac:dyDescent="0.2">
      <c r="B11" s="213" t="s">
        <v>43</v>
      </c>
    </row>
    <row r="12" spans="2:9" ht="13.15" customHeight="1" x14ac:dyDescent="0.2">
      <c r="B12" s="160" t="s">
        <v>623</v>
      </c>
      <c r="C12" s="160"/>
      <c r="D12" s="160"/>
      <c r="E12" s="160"/>
      <c r="F12" s="160" t="s">
        <v>628</v>
      </c>
      <c r="G12" s="160"/>
      <c r="H12" s="160"/>
      <c r="I12" s="160"/>
    </row>
    <row r="13" spans="2:9" ht="15" x14ac:dyDescent="0.2">
      <c r="B13" s="160" t="s">
        <v>624</v>
      </c>
      <c r="C13" s="160"/>
      <c r="D13" s="160"/>
      <c r="E13" s="160"/>
      <c r="F13" s="160"/>
      <c r="G13" s="160"/>
      <c r="H13" s="160"/>
      <c r="I13" s="160"/>
    </row>
    <row r="14" spans="2:9" ht="15" x14ac:dyDescent="0.2">
      <c r="B14" s="160" t="s">
        <v>625</v>
      </c>
      <c r="C14" s="160"/>
      <c r="D14" s="160"/>
      <c r="E14" s="160"/>
      <c r="F14" s="160"/>
      <c r="G14" s="160"/>
      <c r="H14" s="160"/>
      <c r="I14" s="160"/>
    </row>
    <row r="15" spans="2:9" ht="15" x14ac:dyDescent="0.2">
      <c r="B15" s="160" t="s">
        <v>626</v>
      </c>
      <c r="C15" s="160"/>
      <c r="D15" s="160"/>
      <c r="E15" s="160"/>
      <c r="F15" s="160"/>
      <c r="H15" s="160"/>
      <c r="I15" s="160"/>
    </row>
    <row r="16" spans="2:9" ht="13.15" customHeight="1" x14ac:dyDescent="0.2">
      <c r="B16" s="160" t="s">
        <v>627</v>
      </c>
    </row>
    <row r="18" spans="2:9" ht="15" x14ac:dyDescent="0.2">
      <c r="B18" s="213" t="s">
        <v>44</v>
      </c>
    </row>
    <row r="19" spans="2:9" ht="140.44999999999999" customHeight="1" x14ac:dyDescent="0.2">
      <c r="B19" s="553"/>
      <c r="C19" s="553"/>
      <c r="D19" s="553"/>
      <c r="E19" s="553"/>
      <c r="F19" s="553"/>
      <c r="G19" s="553"/>
      <c r="H19" s="553"/>
      <c r="I19" s="553"/>
    </row>
    <row r="20" spans="2:9" ht="15" x14ac:dyDescent="0.2">
      <c r="B20" s="213" t="s">
        <v>47</v>
      </c>
      <c r="C20" s="10"/>
      <c r="D20" s="10"/>
      <c r="E20" s="10"/>
      <c r="F20" s="10"/>
      <c r="G20" s="10"/>
      <c r="H20" s="10"/>
      <c r="I20" s="10"/>
    </row>
    <row r="21" spans="2:9" ht="15" x14ac:dyDescent="0.2">
      <c r="B21" s="160" t="s">
        <v>629</v>
      </c>
      <c r="C21" s="10"/>
      <c r="D21" s="10"/>
      <c r="E21" s="10"/>
      <c r="F21" s="10"/>
      <c r="G21" s="10"/>
      <c r="H21" s="10"/>
      <c r="I21" s="10"/>
    </row>
    <row r="22" spans="2:9" ht="15" x14ac:dyDescent="0.2">
      <c r="B22" s="160" t="s">
        <v>632</v>
      </c>
      <c r="C22" s="10"/>
      <c r="D22" s="10"/>
      <c r="E22" s="10"/>
      <c r="F22" s="10"/>
      <c r="G22" s="10"/>
      <c r="H22" s="10"/>
      <c r="I22" s="10"/>
    </row>
    <row r="23" spans="2:9" ht="15" x14ac:dyDescent="0.2">
      <c r="B23" s="160" t="s">
        <v>633</v>
      </c>
      <c r="C23" s="10"/>
      <c r="D23" s="10"/>
      <c r="E23" s="10"/>
      <c r="F23" s="10"/>
      <c r="G23" s="10"/>
      <c r="H23" s="10"/>
      <c r="I23" s="10"/>
    </row>
    <row r="24" spans="2:9" ht="15" x14ac:dyDescent="0.2">
      <c r="B24" s="160" t="s">
        <v>634</v>
      </c>
      <c r="C24" s="10"/>
      <c r="D24" s="10"/>
      <c r="E24" s="10"/>
      <c r="F24" s="10"/>
      <c r="G24" s="10"/>
      <c r="H24" s="10"/>
      <c r="I24" s="10"/>
    </row>
    <row r="25" spans="2:9" ht="15" x14ac:dyDescent="0.2">
      <c r="B25" s="160" t="s">
        <v>635</v>
      </c>
      <c r="C25" s="10"/>
      <c r="D25" s="10"/>
      <c r="E25" s="10"/>
      <c r="F25" s="10"/>
      <c r="G25" s="10"/>
      <c r="H25" s="10"/>
      <c r="I25" s="10"/>
    </row>
    <row r="26" spans="2:9" ht="15" x14ac:dyDescent="0.25">
      <c r="B26" s="546" t="s">
        <v>636</v>
      </c>
      <c r="C26" s="10"/>
      <c r="D26" s="10"/>
      <c r="E26" s="10"/>
      <c r="F26" s="10"/>
      <c r="G26" s="10"/>
      <c r="H26" s="10"/>
      <c r="I26" s="10"/>
    </row>
    <row r="27" spans="2:9" ht="15" x14ac:dyDescent="0.25">
      <c r="B27" s="547" t="s">
        <v>637</v>
      </c>
      <c r="C27" s="10"/>
      <c r="D27" s="10"/>
      <c r="E27" s="10"/>
      <c r="F27" s="10"/>
      <c r="G27" s="10"/>
      <c r="H27" s="10"/>
      <c r="I27" s="10"/>
    </row>
    <row r="28" spans="2:9" ht="15" x14ac:dyDescent="0.25">
      <c r="B28" s="547" t="s">
        <v>638</v>
      </c>
      <c r="C28" s="10"/>
      <c r="D28" s="10"/>
      <c r="E28" s="10"/>
      <c r="F28" s="10"/>
      <c r="G28" s="10"/>
      <c r="H28" s="10"/>
      <c r="I28" s="10"/>
    </row>
    <row r="29" spans="2:9" ht="15" x14ac:dyDescent="0.2">
      <c r="B29" s="160"/>
      <c r="C29" s="10"/>
      <c r="D29" s="10"/>
      <c r="E29" s="10"/>
      <c r="F29" s="10"/>
      <c r="G29" s="10"/>
      <c r="H29" s="10"/>
      <c r="I29" s="10"/>
    </row>
    <row r="30" spans="2:9" ht="15" hidden="1" x14ac:dyDescent="0.2">
      <c r="B30" s="11"/>
      <c r="C30" s="10"/>
      <c r="D30" s="10"/>
      <c r="E30" s="10"/>
      <c r="F30" s="10"/>
      <c r="G30" s="10"/>
      <c r="H30" s="10"/>
      <c r="I30" s="10"/>
    </row>
    <row r="31" spans="2:9" ht="15" hidden="1" x14ac:dyDescent="0.2">
      <c r="B31" s="11"/>
    </row>
    <row r="32" spans="2:9" ht="15" hidden="1" x14ac:dyDescent="0.2">
      <c r="B32" s="11"/>
    </row>
    <row r="33" spans="2:9" hidden="1" x14ac:dyDescent="0.2"/>
    <row r="34" spans="2:9" hidden="1" x14ac:dyDescent="0.2"/>
    <row r="35" spans="2:9" hidden="1" x14ac:dyDescent="0.2"/>
    <row r="36" spans="2:9" ht="20.45" customHeight="1" x14ac:dyDescent="0.2">
      <c r="B36" s="213" t="s">
        <v>46</v>
      </c>
    </row>
    <row r="37" spans="2:9" ht="108" customHeight="1" x14ac:dyDescent="0.2">
      <c r="B37" s="554"/>
      <c r="C37" s="555"/>
      <c r="D37" s="555"/>
      <c r="E37" s="555"/>
      <c r="F37" s="555"/>
      <c r="G37" s="555"/>
      <c r="H37" s="555"/>
    </row>
    <row r="38" spans="2:9" ht="15" x14ac:dyDescent="0.2">
      <c r="B38" s="11"/>
    </row>
    <row r="39" spans="2:9" ht="13.5" thickBot="1" x14ac:dyDescent="0.25"/>
    <row r="40" spans="2:9" x14ac:dyDescent="0.2">
      <c r="B40" s="214" t="s">
        <v>152</v>
      </c>
      <c r="C40" s="214" t="s">
        <v>45</v>
      </c>
      <c r="D40" s="214" t="s">
        <v>41</v>
      </c>
      <c r="E40" s="214" t="s">
        <v>187</v>
      </c>
      <c r="F40" s="215" t="s">
        <v>153</v>
      </c>
      <c r="G40" s="216"/>
    </row>
    <row r="41" spans="2:9" ht="27.75" customHeight="1" thickBot="1" x14ac:dyDescent="0.25">
      <c r="B41" s="5">
        <f ca="1">Proforma!I100</f>
        <v>5339494.1186318761</v>
      </c>
      <c r="C41" s="152">
        <f ca="1">B41/C9</f>
        <v>36077.662963728893</v>
      </c>
      <c r="D41" s="6">
        <f>Proforma!D38</f>
        <v>0.05</v>
      </c>
      <c r="E41" s="6">
        <f>Proforma!C9</f>
        <v>6.5000000000000002E-2</v>
      </c>
      <c r="F41" s="551">
        <f ca="1">Proforma!C130/-Proforma!D126</f>
        <v>1.8789405559721761</v>
      </c>
      <c r="G41" s="552"/>
    </row>
    <row r="42" spans="2:9" ht="13.5" thickBot="1" x14ac:dyDescent="0.25"/>
    <row r="43" spans="2:9" ht="18" x14ac:dyDescent="0.25">
      <c r="B43" s="185" t="s">
        <v>174</v>
      </c>
      <c r="C43" s="186"/>
      <c r="D43" s="186"/>
      <c r="E43" s="186"/>
      <c r="F43" s="186"/>
      <c r="G43" s="186"/>
      <c r="H43" s="186"/>
      <c r="I43" s="187"/>
    </row>
    <row r="44" spans="2:9" x14ac:dyDescent="0.2">
      <c r="B44" s="188"/>
      <c r="C44" s="106"/>
      <c r="D44" s="106"/>
      <c r="E44" s="106"/>
      <c r="F44" s="106"/>
      <c r="G44" s="106"/>
      <c r="H44" s="106"/>
      <c r="I44" s="189"/>
    </row>
    <row r="45" spans="2:9" ht="13.15" customHeight="1" thickBot="1" x14ac:dyDescent="0.25">
      <c r="B45" s="208" t="s">
        <v>175</v>
      </c>
      <c r="C45" s="159"/>
      <c r="D45" s="190">
        <f>-Proforma!D109</f>
        <v>1755849.19</v>
      </c>
      <c r="E45" s="556" t="s">
        <v>191</v>
      </c>
      <c r="F45" s="556"/>
      <c r="G45" s="556"/>
      <c r="H45" s="556"/>
      <c r="I45" s="557"/>
    </row>
    <row r="46" spans="2:9" ht="15.75" thickBot="1" x14ac:dyDescent="0.3">
      <c r="B46" s="210" t="s">
        <v>176</v>
      </c>
      <c r="C46" s="211"/>
      <c r="D46" s="212">
        <v>300000</v>
      </c>
      <c r="E46" s="556"/>
      <c r="F46" s="556"/>
      <c r="G46" s="556"/>
      <c r="H46" s="556"/>
      <c r="I46" s="557"/>
    </row>
    <row r="47" spans="2:9" x14ac:dyDescent="0.2">
      <c r="B47" s="208" t="s">
        <v>177</v>
      </c>
      <c r="C47" s="159"/>
      <c r="D47" s="191">
        <f>D46/(D45/5000)</f>
        <v>854.2874915128674</v>
      </c>
      <c r="E47" s="556"/>
      <c r="F47" s="556"/>
      <c r="G47" s="556"/>
      <c r="H47" s="556"/>
      <c r="I47" s="557"/>
    </row>
    <row r="48" spans="2:9" x14ac:dyDescent="0.2">
      <c r="B48" s="205"/>
      <c r="C48" s="159" t="s">
        <v>182</v>
      </c>
      <c r="D48" s="204">
        <f>D47/10000</f>
        <v>8.5428749151286745E-2</v>
      </c>
      <c r="E48" s="556"/>
      <c r="F48" s="556"/>
      <c r="G48" s="556"/>
      <c r="H48" s="556"/>
      <c r="I48" s="557"/>
    </row>
    <row r="49" spans="2:9" x14ac:dyDescent="0.2">
      <c r="B49" s="209"/>
      <c r="C49" s="159"/>
      <c r="D49" s="190"/>
      <c r="E49" s="556"/>
      <c r="F49" s="556"/>
      <c r="G49" s="556"/>
      <c r="H49" s="556"/>
      <c r="I49" s="557"/>
    </row>
    <row r="50" spans="2:9" x14ac:dyDescent="0.2">
      <c r="B50" s="209"/>
      <c r="C50" s="159"/>
      <c r="D50" s="192"/>
      <c r="E50" s="193"/>
      <c r="F50" s="193"/>
      <c r="G50" s="193"/>
      <c r="H50" s="193"/>
      <c r="I50" s="194"/>
    </row>
    <row r="51" spans="2:9" x14ac:dyDescent="0.2">
      <c r="B51" s="205" t="s">
        <v>183</v>
      </c>
      <c r="C51" s="159"/>
      <c r="D51" s="159"/>
      <c r="E51" s="206" t="s">
        <v>25</v>
      </c>
      <c r="F51" s="206" t="s">
        <v>26</v>
      </c>
      <c r="G51" s="206" t="s">
        <v>27</v>
      </c>
      <c r="H51" s="206" t="s">
        <v>28</v>
      </c>
      <c r="I51" s="207" t="s">
        <v>178</v>
      </c>
    </row>
    <row r="52" spans="2:9" x14ac:dyDescent="0.2">
      <c r="B52" s="205"/>
      <c r="C52" s="159"/>
      <c r="D52" s="159"/>
      <c r="E52" s="195">
        <f ca="1">$D$46*E53</f>
        <v>-13189.908411211556</v>
      </c>
      <c r="F52" s="195">
        <f t="shared" ref="F52:I52" ca="1" si="0">$D$46*F53</f>
        <v>2428.2496607809599</v>
      </c>
      <c r="G52" s="195">
        <f t="shared" ca="1" si="0"/>
        <v>19970.247560953681</v>
      </c>
      <c r="H52" s="195">
        <f t="shared" ca="1" si="0"/>
        <v>38899.607324522003</v>
      </c>
      <c r="I52" s="196">
        <f t="shared" ca="1" si="0"/>
        <v>515573.97065660777</v>
      </c>
    </row>
    <row r="53" spans="2:9" x14ac:dyDescent="0.2">
      <c r="B53" s="205"/>
      <c r="C53" s="159"/>
      <c r="D53" s="159"/>
      <c r="E53" s="197">
        <f ca="1">'Financial Summary'!E17</f>
        <v>-4.3966361370705184E-2</v>
      </c>
      <c r="F53" s="197">
        <f ca="1">'Financial Summary'!F17</f>
        <v>8.0941655359365334E-3</v>
      </c>
      <c r="G53" s="197">
        <f ca="1">'Financial Summary'!G17</f>
        <v>6.6567491869845605E-2</v>
      </c>
      <c r="H53" s="197">
        <f ca="1">'Financial Summary'!H17</f>
        <v>0.12966535774840668</v>
      </c>
      <c r="I53" s="198">
        <f ca="1">'Financial Summary'!I17</f>
        <v>1.7185799021886925</v>
      </c>
    </row>
    <row r="54" spans="2:9" ht="6.6" customHeight="1" x14ac:dyDescent="0.2">
      <c r="B54" s="205"/>
      <c r="C54" s="159"/>
      <c r="D54" s="159"/>
      <c r="E54" s="159"/>
      <c r="F54" s="159"/>
      <c r="G54" s="159"/>
      <c r="H54" s="159"/>
      <c r="I54" s="199"/>
    </row>
    <row r="55" spans="2:9" x14ac:dyDescent="0.2">
      <c r="B55" s="205" t="s">
        <v>184</v>
      </c>
      <c r="C55" s="159"/>
      <c r="D55" s="159"/>
      <c r="E55" s="200">
        <f>$D$48*Proforma!E134*2</f>
        <v>6229.5679381108012</v>
      </c>
      <c r="F55" s="200">
        <f>$D$48*Proforma!F134*2</f>
        <v>6229.5679381108012</v>
      </c>
      <c r="G55" s="200">
        <f>$D$48*Proforma!G134*2</f>
        <v>6229.5679381108012</v>
      </c>
      <c r="H55" s="200">
        <f>$D$48*Proforma!H134*2</f>
        <v>6229.5679381108012</v>
      </c>
      <c r="I55" s="201">
        <f>$D$48*Proforma!I134*2</f>
        <v>6229.5679381108012</v>
      </c>
    </row>
    <row r="56" spans="2:9" x14ac:dyDescent="0.2">
      <c r="B56" s="205"/>
      <c r="C56" s="159"/>
      <c r="D56" s="159"/>
      <c r="E56" s="159"/>
      <c r="F56" s="159"/>
      <c r="G56" s="159"/>
      <c r="H56" s="159"/>
      <c r="I56" s="199"/>
    </row>
    <row r="57" spans="2:9" x14ac:dyDescent="0.2">
      <c r="B57" s="205" t="s">
        <v>188</v>
      </c>
      <c r="E57" s="218">
        <f ca="1">SUM(E52:I52)</f>
        <v>563682.16679165279</v>
      </c>
      <c r="H57" s="219" t="s">
        <v>164</v>
      </c>
      <c r="I57" s="220">
        <f ca="1">Proforma!C128</f>
        <v>0.20693334051628942</v>
      </c>
    </row>
    <row r="58" spans="2:9" ht="15" x14ac:dyDescent="0.35">
      <c r="B58" s="205" t="s">
        <v>189</v>
      </c>
      <c r="E58" s="221">
        <f ca="1">D48*(Proforma!I100-Proforma!J91)</f>
        <v>136843.89109661203</v>
      </c>
      <c r="H58" s="219" t="s">
        <v>185</v>
      </c>
      <c r="I58" s="220">
        <f ca="1">Proforma!C138</f>
        <v>0.20300903926032987</v>
      </c>
    </row>
    <row r="59" spans="2:9" ht="13.5" thickBot="1" x14ac:dyDescent="0.25">
      <c r="B59" s="222" t="s">
        <v>190</v>
      </c>
      <c r="C59" s="223"/>
      <c r="D59" s="223"/>
      <c r="E59" s="224">
        <f ca="1">E57+E58</f>
        <v>700526.05788826477</v>
      </c>
      <c r="F59" s="202"/>
      <c r="G59" s="202"/>
      <c r="H59" s="202"/>
      <c r="I59" s="225"/>
    </row>
    <row r="61" spans="2:9" x14ac:dyDescent="0.2">
      <c r="I61" s="176" t="s">
        <v>180</v>
      </c>
    </row>
    <row r="62" spans="2:9" x14ac:dyDescent="0.2">
      <c r="F62" s="37" t="s">
        <v>179</v>
      </c>
      <c r="I62" s="176" t="s">
        <v>181</v>
      </c>
    </row>
    <row r="64" spans="2:9" x14ac:dyDescent="0.2">
      <c r="H64" s="37"/>
      <c r="I64" s="177"/>
    </row>
    <row r="65" spans="9:9" x14ac:dyDescent="0.2">
      <c r="I65" s="177"/>
    </row>
  </sheetData>
  <sheetProtection algorithmName="SHA-512" hashValue="uGXxo5lSUsohcKpbHUw3t28F/l2J20N/+rtliU8KbM3FPRXDmx/zILTD8SyMzKjvKZcq4xCKqcu+vD/i1BB1+g==" saltValue="zshrV5ZWWTb/yqXKuGV2FA==" spinCount="100000" sheet="1" objects="1" scenarios="1"/>
  <protectedRanges>
    <protectedRange sqref="D46" name="Range1"/>
  </protectedRanges>
  <mergeCells count="4">
    <mergeCell ref="F41:G41"/>
    <mergeCell ref="B19:I19"/>
    <mergeCell ref="B37:H37"/>
    <mergeCell ref="E45:I49"/>
  </mergeCells>
  <pageMargins left="0.5" right="0.5" top="0.5" bottom="0.5" header="0.3" footer="0.3"/>
  <pageSetup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81D2-335C-43A6-BBC4-B42BDF8518C2}">
  <sheetPr>
    <tabColor rgb="FF7030A0"/>
  </sheetPr>
  <dimension ref="A1:Z101"/>
  <sheetViews>
    <sheetView workbookViewId="0">
      <selection activeCell="O3" sqref="O3"/>
    </sheetView>
  </sheetViews>
  <sheetFormatPr defaultRowHeight="15" x14ac:dyDescent="0.25"/>
  <cols>
    <col min="1" max="1" width="27.7109375" style="289" bestFit="1" customWidth="1"/>
    <col min="2" max="2" width="9.5703125" style="293" bestFit="1" customWidth="1"/>
    <col min="3" max="3" width="10.5703125" style="289" bestFit="1" customWidth="1"/>
    <col min="4" max="4" width="10.7109375" style="289" bestFit="1" customWidth="1"/>
    <col min="5" max="5" width="9.85546875" style="289" bestFit="1" customWidth="1"/>
    <col min="6" max="6" width="9.85546875" style="289" customWidth="1"/>
    <col min="7" max="7" width="9.85546875" style="289" bestFit="1" customWidth="1"/>
    <col min="8" max="8" width="10.28515625" style="289" bestFit="1" customWidth="1"/>
    <col min="9" max="9" width="13.85546875" style="289" customWidth="1"/>
    <col min="10" max="10" width="1.42578125" style="289" customWidth="1"/>
    <col min="11" max="11" width="38.5703125" style="289" customWidth="1"/>
    <col min="12" max="12" width="55.5703125" style="289" customWidth="1"/>
    <col min="13" max="16384" width="9.140625" style="289"/>
  </cols>
  <sheetData>
    <row r="1" spans="1:26" ht="15.75" thickBot="1" x14ac:dyDescent="0.3">
      <c r="A1" s="560" t="s">
        <v>214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O1" s="560" t="s">
        <v>348</v>
      </c>
      <c r="P1" s="560"/>
      <c r="Q1" s="560"/>
      <c r="R1" s="560"/>
      <c r="S1" s="450"/>
      <c r="T1" s="450"/>
      <c r="U1" s="450"/>
      <c r="V1" s="450"/>
      <c r="W1" s="450"/>
      <c r="X1" s="450"/>
      <c r="Y1" s="450"/>
      <c r="Z1" s="450"/>
    </row>
    <row r="2" spans="1:26" x14ac:dyDescent="0.25">
      <c r="A2" s="289" t="s">
        <v>215</v>
      </c>
      <c r="B2" s="290"/>
      <c r="C2" s="291"/>
      <c r="D2" s="291"/>
      <c r="E2" s="291"/>
      <c r="F2" s="291"/>
      <c r="G2" s="291"/>
      <c r="H2" s="291"/>
      <c r="I2" s="291"/>
      <c r="J2" s="291"/>
      <c r="K2" s="291"/>
      <c r="L2" s="291"/>
      <c r="O2" s="451" t="s">
        <v>304</v>
      </c>
      <c r="P2" s="452" t="s">
        <v>347</v>
      </c>
      <c r="Q2" s="453">
        <v>0</v>
      </c>
      <c r="R2" s="454"/>
    </row>
    <row r="3" spans="1:26" x14ac:dyDescent="0.25">
      <c r="A3" s="289" t="s">
        <v>216</v>
      </c>
      <c r="B3" s="292">
        <v>2018</v>
      </c>
      <c r="C3" s="293"/>
      <c r="D3" s="293"/>
      <c r="O3" s="455">
        <f>VLOOKUP(Proforma!M4,P2:Q5,2,FALSE)</f>
        <v>0</v>
      </c>
      <c r="P3" s="456" t="s">
        <v>227</v>
      </c>
      <c r="Q3" s="37">
        <v>1</v>
      </c>
      <c r="R3" s="457"/>
    </row>
    <row r="4" spans="1:26" x14ac:dyDescent="0.25">
      <c r="A4" s="289" t="s">
        <v>217</v>
      </c>
      <c r="B4" s="293">
        <f>+B3-1</f>
        <v>2017</v>
      </c>
      <c r="C4" s="293">
        <f>+B4-1</f>
        <v>2016</v>
      </c>
      <c r="D4" s="293">
        <f>+C4-1</f>
        <v>2015</v>
      </c>
      <c r="O4" s="458"/>
      <c r="P4" s="456" t="s">
        <v>302</v>
      </c>
      <c r="Q4" s="37">
        <v>2</v>
      </c>
      <c r="R4" s="457"/>
    </row>
    <row r="5" spans="1:26" ht="15.75" thickBot="1" x14ac:dyDescent="0.3">
      <c r="A5" s="289" t="str">
        <f>"For YTD "&amp;B3&amp;" Income Statement"</f>
        <v>For YTD 2018 Income Statement</v>
      </c>
      <c r="B5" s="289"/>
      <c r="C5" s="294" t="s">
        <v>218</v>
      </c>
      <c r="D5" s="295">
        <v>43465</v>
      </c>
      <c r="E5" s="296"/>
      <c r="F5" s="296"/>
      <c r="G5" s="297" t="s">
        <v>219</v>
      </c>
      <c r="H5" s="298">
        <f>MONTH(D5)</f>
        <v>12</v>
      </c>
      <c r="O5" s="459"/>
      <c r="P5" s="460" t="s">
        <v>303</v>
      </c>
      <c r="Q5" s="461">
        <v>4</v>
      </c>
      <c r="R5" s="462"/>
    </row>
    <row r="6" spans="1:26" ht="6" customHeight="1" x14ac:dyDescent="0.25">
      <c r="B6" s="289"/>
    </row>
    <row r="7" spans="1:26" x14ac:dyDescent="0.25">
      <c r="A7" s="562" t="s">
        <v>220</v>
      </c>
      <c r="B7" s="562"/>
      <c r="C7" s="562"/>
      <c r="D7" s="562"/>
      <c r="E7" s="562"/>
      <c r="F7" s="562"/>
      <c r="G7" s="562"/>
      <c r="H7" s="562"/>
      <c r="I7" s="562"/>
      <c r="J7" s="562"/>
      <c r="K7" s="562"/>
      <c r="L7" s="562"/>
    </row>
    <row r="8" spans="1:26" x14ac:dyDescent="0.25">
      <c r="A8" s="299"/>
      <c r="B8" s="300" t="s">
        <v>221</v>
      </c>
      <c r="C8" s="300"/>
      <c r="D8" s="300"/>
      <c r="E8" s="300"/>
      <c r="F8" s="300"/>
      <c r="G8" s="300" t="s">
        <v>222</v>
      </c>
      <c r="H8" s="300" t="s">
        <v>223</v>
      </c>
      <c r="I8" s="300" t="s">
        <v>224</v>
      </c>
      <c r="J8" s="300"/>
    </row>
    <row r="9" spans="1:26" ht="15.75" thickBot="1" x14ac:dyDescent="0.3">
      <c r="A9" s="299" t="s">
        <v>225</v>
      </c>
      <c r="B9" s="300" t="s">
        <v>226</v>
      </c>
      <c r="C9" s="300">
        <f>+D4</f>
        <v>2015</v>
      </c>
      <c r="D9" s="300">
        <f>+C4</f>
        <v>2016</v>
      </c>
      <c r="E9" s="300">
        <f>+B4</f>
        <v>2017</v>
      </c>
      <c r="F9" s="300" t="s">
        <v>227</v>
      </c>
      <c r="G9" s="300">
        <f>Current_Year</f>
        <v>2018</v>
      </c>
      <c r="H9" s="301">
        <f>Current_Year</f>
        <v>2018</v>
      </c>
      <c r="I9" s="300" t="s">
        <v>228</v>
      </c>
      <c r="J9" s="301"/>
      <c r="K9" s="302" t="s">
        <v>229</v>
      </c>
      <c r="L9" s="302" t="s">
        <v>230</v>
      </c>
    </row>
    <row r="10" spans="1:26" x14ac:dyDescent="0.25">
      <c r="A10" s="303" t="s">
        <v>231</v>
      </c>
      <c r="B10" s="304">
        <v>1</v>
      </c>
      <c r="C10" s="305"/>
      <c r="D10" s="305"/>
      <c r="E10" s="305">
        <v>174960</v>
      </c>
      <c r="F10" s="305"/>
      <c r="G10" s="305"/>
      <c r="H10" s="306">
        <f t="shared" ref="H10:H24" si="0">+G10/$H$5*12</f>
        <v>0</v>
      </c>
      <c r="I10" s="305"/>
      <c r="K10" s="289" t="str">
        <f t="shared" ref="K10:K24" si="1">VLOOKUP($B10,Income_Account_Codes,2,)</f>
        <v>MH Space Rent Tier 1</v>
      </c>
    </row>
    <row r="11" spans="1:26" x14ac:dyDescent="0.25">
      <c r="A11" s="303"/>
      <c r="B11" s="304"/>
      <c r="C11" s="305"/>
      <c r="D11" s="305"/>
      <c r="E11" s="305"/>
      <c r="F11" s="305"/>
      <c r="G11" s="305"/>
      <c r="H11" s="306">
        <f t="shared" si="0"/>
        <v>0</v>
      </c>
      <c r="I11" s="305"/>
      <c r="K11" s="289" t="e">
        <f t="shared" si="1"/>
        <v>#N/A</v>
      </c>
    </row>
    <row r="12" spans="1:26" x14ac:dyDescent="0.25">
      <c r="A12" s="303"/>
      <c r="B12" s="304"/>
      <c r="C12" s="305"/>
      <c r="D12" s="305"/>
      <c r="E12" s="305"/>
      <c r="F12" s="305"/>
      <c r="G12" s="305"/>
      <c r="H12" s="306">
        <f t="shared" si="0"/>
        <v>0</v>
      </c>
      <c r="I12" s="305"/>
      <c r="K12" s="289" t="e">
        <f t="shared" si="1"/>
        <v>#N/A</v>
      </c>
    </row>
    <row r="13" spans="1:26" x14ac:dyDescent="0.25">
      <c r="A13" s="303"/>
      <c r="B13" s="304"/>
      <c r="C13" s="305"/>
      <c r="D13" s="305"/>
      <c r="E13" s="305"/>
      <c r="F13" s="305"/>
      <c r="G13" s="305"/>
      <c r="H13" s="306">
        <f t="shared" si="0"/>
        <v>0</v>
      </c>
      <c r="I13" s="305"/>
      <c r="K13" s="289" t="e">
        <f t="shared" si="1"/>
        <v>#N/A</v>
      </c>
    </row>
    <row r="14" spans="1:26" x14ac:dyDescent="0.25">
      <c r="A14" s="303"/>
      <c r="B14" s="304"/>
      <c r="C14" s="305"/>
      <c r="D14" s="305"/>
      <c r="E14" s="305"/>
      <c r="F14" s="305"/>
      <c r="G14" s="305"/>
      <c r="H14" s="306">
        <f t="shared" si="0"/>
        <v>0</v>
      </c>
      <c r="I14" s="305"/>
      <c r="K14" s="289" t="e">
        <f t="shared" si="1"/>
        <v>#N/A</v>
      </c>
    </row>
    <row r="15" spans="1:26" x14ac:dyDescent="0.25">
      <c r="A15" s="303"/>
      <c r="B15" s="304"/>
      <c r="C15" s="305"/>
      <c r="D15" s="305"/>
      <c r="E15" s="305"/>
      <c r="F15" s="305"/>
      <c r="G15" s="305"/>
      <c r="H15" s="306">
        <f t="shared" si="0"/>
        <v>0</v>
      </c>
      <c r="I15" s="305"/>
      <c r="K15" s="289" t="e">
        <f t="shared" si="1"/>
        <v>#N/A</v>
      </c>
    </row>
    <row r="16" spans="1:26" x14ac:dyDescent="0.25">
      <c r="A16" s="303"/>
      <c r="B16" s="304"/>
      <c r="C16" s="305"/>
      <c r="D16" s="305"/>
      <c r="E16" s="305"/>
      <c r="F16" s="305"/>
      <c r="G16" s="305"/>
      <c r="H16" s="306">
        <f t="shared" si="0"/>
        <v>0</v>
      </c>
      <c r="I16" s="305"/>
      <c r="K16" s="289" t="e">
        <f t="shared" si="1"/>
        <v>#N/A</v>
      </c>
    </row>
    <row r="17" spans="1:12" x14ac:dyDescent="0.25">
      <c r="A17" s="303"/>
      <c r="B17" s="304"/>
      <c r="C17" s="305"/>
      <c r="D17" s="305"/>
      <c r="E17" s="305"/>
      <c r="F17" s="305"/>
      <c r="G17" s="305"/>
      <c r="H17" s="306">
        <f t="shared" si="0"/>
        <v>0</v>
      </c>
      <c r="I17" s="305"/>
      <c r="K17" s="289" t="e">
        <f t="shared" si="1"/>
        <v>#N/A</v>
      </c>
    </row>
    <row r="18" spans="1:12" x14ac:dyDescent="0.25">
      <c r="A18" s="303"/>
      <c r="B18" s="304"/>
      <c r="C18" s="305"/>
      <c r="D18" s="305"/>
      <c r="E18" s="305"/>
      <c r="F18" s="305"/>
      <c r="G18" s="305"/>
      <c r="H18" s="306">
        <f t="shared" si="0"/>
        <v>0</v>
      </c>
      <c r="I18" s="305"/>
      <c r="K18" s="289" t="e">
        <f t="shared" si="1"/>
        <v>#N/A</v>
      </c>
    </row>
    <row r="19" spans="1:12" x14ac:dyDescent="0.25">
      <c r="A19" s="303"/>
      <c r="B19" s="304"/>
      <c r="C19" s="305"/>
      <c r="D19" s="305"/>
      <c r="E19" s="305"/>
      <c r="F19" s="305"/>
      <c r="G19" s="305"/>
      <c r="H19" s="306">
        <f t="shared" si="0"/>
        <v>0</v>
      </c>
      <c r="I19" s="305"/>
      <c r="K19" s="289" t="e">
        <f t="shared" si="1"/>
        <v>#N/A</v>
      </c>
    </row>
    <row r="20" spans="1:12" x14ac:dyDescent="0.25">
      <c r="A20" s="303"/>
      <c r="B20" s="304"/>
      <c r="C20" s="305"/>
      <c r="D20" s="305"/>
      <c r="E20" s="305"/>
      <c r="F20" s="305"/>
      <c r="G20" s="305"/>
      <c r="H20" s="306">
        <f t="shared" si="0"/>
        <v>0</v>
      </c>
      <c r="I20" s="305"/>
      <c r="K20" s="289" t="e">
        <f t="shared" si="1"/>
        <v>#N/A</v>
      </c>
    </row>
    <row r="21" spans="1:12" x14ac:dyDescent="0.25">
      <c r="A21" s="303"/>
      <c r="B21" s="304"/>
      <c r="C21" s="305"/>
      <c r="D21" s="305"/>
      <c r="E21" s="305"/>
      <c r="F21" s="305"/>
      <c r="G21" s="305"/>
      <c r="H21" s="306">
        <f t="shared" si="0"/>
        <v>0</v>
      </c>
      <c r="I21" s="305"/>
      <c r="K21" s="289" t="e">
        <f t="shared" si="1"/>
        <v>#N/A</v>
      </c>
    </row>
    <row r="22" spans="1:12" x14ac:dyDescent="0.25">
      <c r="A22" s="303"/>
      <c r="B22" s="304"/>
      <c r="C22" s="305"/>
      <c r="D22" s="305"/>
      <c r="E22" s="305"/>
      <c r="F22" s="305"/>
      <c r="G22" s="305"/>
      <c r="H22" s="306">
        <f t="shared" si="0"/>
        <v>0</v>
      </c>
      <c r="I22" s="305"/>
      <c r="K22" s="289" t="e">
        <f t="shared" si="1"/>
        <v>#N/A</v>
      </c>
    </row>
    <row r="23" spans="1:12" x14ac:dyDescent="0.25">
      <c r="A23" s="303"/>
      <c r="B23" s="304"/>
      <c r="C23" s="305"/>
      <c r="D23" s="305"/>
      <c r="E23" s="305"/>
      <c r="F23" s="305"/>
      <c r="G23" s="305"/>
      <c r="H23" s="306">
        <f t="shared" si="0"/>
        <v>0</v>
      </c>
      <c r="I23" s="305"/>
      <c r="K23" s="289" t="e">
        <f t="shared" si="1"/>
        <v>#N/A</v>
      </c>
    </row>
    <row r="24" spans="1:12" x14ac:dyDescent="0.25">
      <c r="A24" s="303"/>
      <c r="B24" s="304"/>
      <c r="C24" s="305"/>
      <c r="D24" s="305"/>
      <c r="E24" s="305"/>
      <c r="F24" s="305"/>
      <c r="G24" s="305"/>
      <c r="H24" s="306">
        <f t="shared" si="0"/>
        <v>0</v>
      </c>
      <c r="I24" s="305"/>
      <c r="K24" s="289" t="e">
        <f t="shared" si="1"/>
        <v>#N/A</v>
      </c>
    </row>
    <row r="25" spans="1:12" x14ac:dyDescent="0.25">
      <c r="B25" s="289"/>
    </row>
    <row r="26" spans="1:12" x14ac:dyDescent="0.25">
      <c r="B26" s="289"/>
    </row>
    <row r="27" spans="1:12" x14ac:dyDescent="0.25">
      <c r="A27" s="562" t="s">
        <v>232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</row>
    <row r="28" spans="1:12" x14ac:dyDescent="0.25">
      <c r="A28" s="299"/>
      <c r="B28" s="300" t="s">
        <v>221</v>
      </c>
      <c r="C28" s="300"/>
      <c r="D28" s="300"/>
      <c r="E28" s="300"/>
      <c r="F28" s="300"/>
      <c r="G28" s="300" t="s">
        <v>222</v>
      </c>
      <c r="H28" s="300" t="s">
        <v>223</v>
      </c>
      <c r="I28" s="300" t="s">
        <v>224</v>
      </c>
      <c r="J28" s="300"/>
    </row>
    <row r="29" spans="1:12" ht="15.75" thickBot="1" x14ac:dyDescent="0.3">
      <c r="A29" s="302" t="s">
        <v>233</v>
      </c>
      <c r="B29" s="301" t="s">
        <v>226</v>
      </c>
      <c r="C29" s="301">
        <f>+D4</f>
        <v>2015</v>
      </c>
      <c r="D29" s="301">
        <f>+C4</f>
        <v>2016</v>
      </c>
      <c r="E29" s="301">
        <f>+B4</f>
        <v>2017</v>
      </c>
      <c r="F29" s="301" t="str">
        <f>+F9</f>
        <v>Trailing 12</v>
      </c>
      <c r="G29" s="301">
        <f>Current_Year</f>
        <v>2018</v>
      </c>
      <c r="H29" s="301">
        <f>Current_Year</f>
        <v>2018</v>
      </c>
      <c r="I29" s="301" t="s">
        <v>228</v>
      </c>
      <c r="J29" s="301"/>
      <c r="K29" s="302" t="s">
        <v>229</v>
      </c>
      <c r="L29" s="302" t="s">
        <v>230</v>
      </c>
    </row>
    <row r="30" spans="1:12" x14ac:dyDescent="0.25">
      <c r="A30" s="307" t="s">
        <v>300</v>
      </c>
      <c r="B30" s="308">
        <v>5701</v>
      </c>
      <c r="C30" s="309"/>
      <c r="D30" s="309"/>
      <c r="E30" s="309">
        <v>34726</v>
      </c>
      <c r="F30" s="309"/>
      <c r="G30" s="309">
        <f>+F30+1000</f>
        <v>1000</v>
      </c>
      <c r="H30" s="306">
        <f>+G30/$H$5*12</f>
        <v>1000</v>
      </c>
      <c r="I30" s="309">
        <f>+G30+1000</f>
        <v>2000</v>
      </c>
      <c r="K30" s="310" t="str">
        <f t="shared" ref="K30:K100" si="2">VLOOKUP(B30,ChartOfAccounts,2,)</f>
        <v>Manager/Maint Salary Expense</v>
      </c>
      <c r="L30" s="310"/>
    </row>
    <row r="31" spans="1:12" x14ac:dyDescent="0.25">
      <c r="A31" s="303" t="s">
        <v>148</v>
      </c>
      <c r="B31" s="304">
        <v>5305</v>
      </c>
      <c r="C31" s="305"/>
      <c r="D31" s="305"/>
      <c r="E31" s="305">
        <v>654</v>
      </c>
      <c r="F31" s="305"/>
      <c r="G31" s="305">
        <f t="shared" ref="G31" si="3">+F31+1000</f>
        <v>1000</v>
      </c>
      <c r="H31" s="306">
        <f t="shared" ref="H31:H100" si="4">+G31/$H$5*12</f>
        <v>1000</v>
      </c>
      <c r="I31" s="305">
        <f t="shared" ref="I31:I53" si="5">+G31+1000</f>
        <v>2000</v>
      </c>
      <c r="K31" s="311" t="str">
        <f t="shared" si="2"/>
        <v>Payroll Taxes</v>
      </c>
      <c r="L31" s="311"/>
    </row>
    <row r="32" spans="1:12" x14ac:dyDescent="0.25">
      <c r="A32" s="303" t="s">
        <v>147</v>
      </c>
      <c r="B32" s="304">
        <v>5306</v>
      </c>
      <c r="C32" s="305"/>
      <c r="D32" s="305"/>
      <c r="E32" s="305"/>
      <c r="F32" s="305"/>
      <c r="G32" s="305">
        <f t="shared" ref="G32" si="6">+F32+1000</f>
        <v>1000</v>
      </c>
      <c r="H32" s="306">
        <f t="shared" si="4"/>
        <v>1000</v>
      </c>
      <c r="I32" s="305">
        <f t="shared" si="5"/>
        <v>2000</v>
      </c>
      <c r="K32" s="311" t="str">
        <f t="shared" si="2"/>
        <v>Workers Comp</v>
      </c>
      <c r="L32" s="311"/>
    </row>
    <row r="33" spans="1:12" x14ac:dyDescent="0.25">
      <c r="A33" s="303" t="s">
        <v>12</v>
      </c>
      <c r="B33" s="304">
        <v>5404</v>
      </c>
      <c r="C33" s="305"/>
      <c r="D33" s="305"/>
      <c r="E33" s="305">
        <v>3089</v>
      </c>
      <c r="F33" s="305"/>
      <c r="G33" s="305">
        <f t="shared" ref="G33" si="7">+F33+1000</f>
        <v>1000</v>
      </c>
      <c r="H33" s="306">
        <f t="shared" si="4"/>
        <v>1000</v>
      </c>
      <c r="I33" s="305">
        <f t="shared" si="5"/>
        <v>2000</v>
      </c>
      <c r="K33" s="311" t="str">
        <f t="shared" si="2"/>
        <v>Electric</v>
      </c>
      <c r="L33" s="311"/>
    </row>
    <row r="34" spans="1:12" x14ac:dyDescent="0.25">
      <c r="A34" s="303" t="s">
        <v>207</v>
      </c>
      <c r="B34" s="304">
        <v>5401</v>
      </c>
      <c r="C34" s="305"/>
      <c r="D34" s="305"/>
      <c r="E34" s="305">
        <v>926</v>
      </c>
      <c r="F34" s="305"/>
      <c r="G34" s="305">
        <f t="shared" ref="G34" si="8">+F34+1000</f>
        <v>1000</v>
      </c>
      <c r="H34" s="306">
        <f t="shared" si="4"/>
        <v>1000</v>
      </c>
      <c r="I34" s="305">
        <f t="shared" si="5"/>
        <v>2000</v>
      </c>
      <c r="K34" s="311" t="str">
        <f t="shared" si="2"/>
        <v>Gas</v>
      </c>
      <c r="L34" s="311"/>
    </row>
    <row r="35" spans="1:12" x14ac:dyDescent="0.25">
      <c r="A35" s="303" t="s">
        <v>10</v>
      </c>
      <c r="B35" s="304">
        <v>5405</v>
      </c>
      <c r="C35" s="305"/>
      <c r="D35" s="305"/>
      <c r="E35" s="305"/>
      <c r="F35" s="305"/>
      <c r="G35" s="305">
        <f t="shared" ref="G35" si="9">+F35+1000</f>
        <v>1000</v>
      </c>
      <c r="H35" s="306">
        <f t="shared" si="4"/>
        <v>1000</v>
      </c>
      <c r="I35" s="305">
        <f t="shared" si="5"/>
        <v>2000</v>
      </c>
      <c r="K35" s="311" t="str">
        <f t="shared" si="2"/>
        <v>Trash</v>
      </c>
      <c r="L35" s="311" t="s">
        <v>234</v>
      </c>
    </row>
    <row r="36" spans="1:12" x14ac:dyDescent="0.25">
      <c r="A36" s="303" t="s">
        <v>145</v>
      </c>
      <c r="B36" s="304">
        <v>5403</v>
      </c>
      <c r="C36" s="305"/>
      <c r="D36" s="305"/>
      <c r="E36" s="305"/>
      <c r="F36" s="305"/>
      <c r="G36" s="305">
        <f t="shared" ref="G36" si="10">+F36+1000</f>
        <v>1000</v>
      </c>
      <c r="H36" s="306">
        <f t="shared" si="4"/>
        <v>1000</v>
      </c>
      <c r="I36" s="305">
        <f t="shared" si="5"/>
        <v>2000</v>
      </c>
      <c r="K36" s="311" t="str">
        <f t="shared" si="2"/>
        <v>Sewer-septic</v>
      </c>
      <c r="L36" s="311"/>
    </row>
    <row r="37" spans="1:12" x14ac:dyDescent="0.25">
      <c r="A37" s="303" t="s">
        <v>144</v>
      </c>
      <c r="B37" s="304">
        <v>5402</v>
      </c>
      <c r="C37" s="305"/>
      <c r="D37" s="305"/>
      <c r="E37" s="305">
        <v>192412</v>
      </c>
      <c r="F37" s="305"/>
      <c r="G37" s="305">
        <f t="shared" ref="G37" si="11">+F37+1000</f>
        <v>1000</v>
      </c>
      <c r="H37" s="306">
        <f t="shared" si="4"/>
        <v>1000</v>
      </c>
      <c r="I37" s="305">
        <f t="shared" si="5"/>
        <v>2000</v>
      </c>
      <c r="K37" s="311" t="str">
        <f t="shared" si="2"/>
        <v xml:space="preserve">Water </v>
      </c>
      <c r="L37" s="311"/>
    </row>
    <row r="38" spans="1:12" x14ac:dyDescent="0.25">
      <c r="A38" s="303" t="s">
        <v>208</v>
      </c>
      <c r="B38" s="304">
        <v>5603</v>
      </c>
      <c r="C38" s="305"/>
      <c r="D38" s="305"/>
      <c r="E38" s="305"/>
      <c r="F38" s="305"/>
      <c r="G38" s="305">
        <f t="shared" ref="G38" si="12">+F38+1000</f>
        <v>1000</v>
      </c>
      <c r="H38" s="306">
        <f t="shared" si="4"/>
        <v>1000</v>
      </c>
      <c r="I38" s="305">
        <f t="shared" si="5"/>
        <v>2000</v>
      </c>
      <c r="K38" s="311" t="str">
        <f t="shared" si="2"/>
        <v xml:space="preserve">Phone/Cable </v>
      </c>
      <c r="L38" s="311"/>
    </row>
    <row r="39" spans="1:12" x14ac:dyDescent="0.25">
      <c r="A39" s="303" t="s">
        <v>156</v>
      </c>
      <c r="B39" s="304">
        <v>5020</v>
      </c>
      <c r="C39" s="305"/>
      <c r="D39" s="305"/>
      <c r="E39" s="305"/>
      <c r="F39" s="305"/>
      <c r="G39" s="305">
        <f t="shared" ref="G39" si="13">+F39+1000</f>
        <v>1000</v>
      </c>
      <c r="H39" s="306">
        <f t="shared" si="4"/>
        <v>1000</v>
      </c>
      <c r="I39" s="305">
        <f t="shared" si="5"/>
        <v>2000</v>
      </c>
      <c r="K39" s="311" t="str">
        <f t="shared" si="2"/>
        <v>Auto expense &amp; travel</v>
      </c>
      <c r="L39" s="311"/>
    </row>
    <row r="40" spans="1:12" x14ac:dyDescent="0.25">
      <c r="A40" s="303" t="s">
        <v>157</v>
      </c>
      <c r="B40" s="304">
        <v>5104</v>
      </c>
      <c r="C40" s="305"/>
      <c r="D40" s="305"/>
      <c r="E40" s="305">
        <f>2250+9630+1200</f>
        <v>13080</v>
      </c>
      <c r="F40" s="305"/>
      <c r="G40" s="305">
        <f t="shared" ref="G40" si="14">+F40+1000</f>
        <v>1000</v>
      </c>
      <c r="H40" s="306">
        <f t="shared" si="4"/>
        <v>1000</v>
      </c>
      <c r="I40" s="305">
        <f t="shared" si="5"/>
        <v>2000</v>
      </c>
      <c r="K40" s="311" t="str">
        <f t="shared" si="2"/>
        <v xml:space="preserve">Maintenance $250 per space </v>
      </c>
      <c r="L40" s="311"/>
    </row>
    <row r="41" spans="1:12" x14ac:dyDescent="0.25">
      <c r="A41" s="303" t="s">
        <v>146</v>
      </c>
      <c r="B41" s="304">
        <v>5109</v>
      </c>
      <c r="C41" s="305"/>
      <c r="D41" s="305"/>
      <c r="E41" s="305">
        <v>365</v>
      </c>
      <c r="F41" s="305"/>
      <c r="G41" s="305">
        <f t="shared" ref="G41" si="15">+F41+1000</f>
        <v>1000</v>
      </c>
      <c r="H41" s="306">
        <f t="shared" si="4"/>
        <v>1000</v>
      </c>
      <c r="I41" s="305">
        <f t="shared" si="5"/>
        <v>2000</v>
      </c>
      <c r="K41" s="311" t="str">
        <f t="shared" si="2"/>
        <v>Outside Services -plumbing, electrical, etc</v>
      </c>
      <c r="L41" s="311"/>
    </row>
    <row r="42" spans="1:12" x14ac:dyDescent="0.25">
      <c r="A42" s="303" t="s">
        <v>155</v>
      </c>
      <c r="B42" s="304">
        <v>5200</v>
      </c>
      <c r="C42" s="305"/>
      <c r="D42" s="305"/>
      <c r="E42" s="305"/>
      <c r="F42" s="305"/>
      <c r="G42" s="305">
        <f t="shared" ref="G42" si="16">+F42+1000</f>
        <v>1000</v>
      </c>
      <c r="H42" s="306">
        <f t="shared" si="4"/>
        <v>1000</v>
      </c>
      <c r="I42" s="305">
        <f t="shared" si="5"/>
        <v>2000</v>
      </c>
      <c r="K42" s="311" t="str">
        <f t="shared" si="2"/>
        <v>Landscape, pool, &amp; sweeping maintenance &amp; supplies</v>
      </c>
      <c r="L42" s="311"/>
    </row>
    <row r="43" spans="1:12" x14ac:dyDescent="0.25">
      <c r="A43" s="303" t="s">
        <v>301</v>
      </c>
      <c r="B43" s="304">
        <v>5301</v>
      </c>
      <c r="C43" s="305"/>
      <c r="D43" s="305"/>
      <c r="E43" s="305">
        <v>28516</v>
      </c>
      <c r="F43" s="305"/>
      <c r="G43" s="305">
        <f t="shared" ref="G43" si="17">+F43+1000</f>
        <v>1000</v>
      </c>
      <c r="H43" s="306">
        <f t="shared" si="4"/>
        <v>1000</v>
      </c>
      <c r="I43" s="305">
        <f t="shared" si="5"/>
        <v>2000</v>
      </c>
      <c r="K43" s="311" t="str">
        <f t="shared" si="2"/>
        <v xml:space="preserve">Property Taxes </v>
      </c>
      <c r="L43" s="311"/>
    </row>
    <row r="44" spans="1:12" x14ac:dyDescent="0.25">
      <c r="A44" s="303" t="s">
        <v>13</v>
      </c>
      <c r="B44" s="304">
        <v>5053</v>
      </c>
      <c r="C44" s="305"/>
      <c r="D44" s="305"/>
      <c r="E44" s="305">
        <v>8368</v>
      </c>
      <c r="F44" s="305"/>
      <c r="G44" s="305">
        <f t="shared" ref="G44" si="18">+F44+1000</f>
        <v>1000</v>
      </c>
      <c r="H44" s="306">
        <f t="shared" si="4"/>
        <v>1000</v>
      </c>
      <c r="I44" s="305">
        <f t="shared" si="5"/>
        <v>2000</v>
      </c>
      <c r="K44" s="311" t="str">
        <f t="shared" si="2"/>
        <v xml:space="preserve">Insurance </v>
      </c>
      <c r="L44" s="311"/>
    </row>
    <row r="45" spans="1:12" x14ac:dyDescent="0.25">
      <c r="A45" s="303" t="s">
        <v>121</v>
      </c>
      <c r="B45" s="304">
        <v>5604</v>
      </c>
      <c r="C45" s="305"/>
      <c r="D45" s="305"/>
      <c r="E45" s="305"/>
      <c r="F45" s="305"/>
      <c r="G45" s="305">
        <f t="shared" ref="G45" si="19">+F45+1000</f>
        <v>1000</v>
      </c>
      <c r="H45" s="306">
        <f t="shared" si="4"/>
        <v>1000</v>
      </c>
      <c r="I45" s="305">
        <f t="shared" si="5"/>
        <v>2000</v>
      </c>
      <c r="K45" s="311" t="str">
        <f t="shared" si="2"/>
        <v>Billing Software</v>
      </c>
      <c r="L45" s="311"/>
    </row>
    <row r="46" spans="1:12" x14ac:dyDescent="0.25">
      <c r="A46" s="303" t="s">
        <v>3</v>
      </c>
      <c r="B46" s="304">
        <v>5062</v>
      </c>
      <c r="C46" s="305"/>
      <c r="D46" s="305"/>
      <c r="E46" s="305"/>
      <c r="F46" s="305"/>
      <c r="G46" s="305">
        <f t="shared" ref="G46" si="20">+F46+1000</f>
        <v>1000</v>
      </c>
      <c r="H46" s="306">
        <f t="shared" si="4"/>
        <v>1000</v>
      </c>
      <c r="I46" s="305">
        <f t="shared" si="5"/>
        <v>2000</v>
      </c>
      <c r="K46" s="311" t="str">
        <f t="shared" si="2"/>
        <v>Legal Expenses</v>
      </c>
      <c r="L46" s="311"/>
    </row>
    <row r="47" spans="1:12" x14ac:dyDescent="0.25">
      <c r="A47" s="303" t="s">
        <v>129</v>
      </c>
      <c r="B47" s="304">
        <v>5302</v>
      </c>
      <c r="C47" s="305"/>
      <c r="D47" s="305"/>
      <c r="E47" s="305"/>
      <c r="F47" s="305"/>
      <c r="G47" s="305">
        <f t="shared" ref="G47" si="21">+F47+1000</f>
        <v>1000</v>
      </c>
      <c r="H47" s="306">
        <f t="shared" si="4"/>
        <v>1000</v>
      </c>
      <c r="I47" s="305">
        <f t="shared" si="5"/>
        <v>2000</v>
      </c>
      <c r="K47" s="311" t="str">
        <f t="shared" si="2"/>
        <v>LLC/LP Tax</v>
      </c>
      <c r="L47" s="311"/>
    </row>
    <row r="48" spans="1:12" x14ac:dyDescent="0.25">
      <c r="A48" s="303" t="s">
        <v>6</v>
      </c>
      <c r="B48" s="304">
        <v>5001</v>
      </c>
      <c r="C48" s="305"/>
      <c r="D48" s="305"/>
      <c r="E48" s="305"/>
      <c r="F48" s="305"/>
      <c r="G48" s="305">
        <f t="shared" ref="G48" si="22">+F48+1000</f>
        <v>1000</v>
      </c>
      <c r="H48" s="306">
        <f t="shared" si="4"/>
        <v>1000</v>
      </c>
      <c r="I48" s="305">
        <f t="shared" si="5"/>
        <v>2000</v>
      </c>
      <c r="K48" s="311" t="str">
        <f t="shared" si="2"/>
        <v>Advertising</v>
      </c>
      <c r="L48" s="311"/>
    </row>
    <row r="49" spans="1:12" x14ac:dyDescent="0.25">
      <c r="A49" s="303" t="s">
        <v>143</v>
      </c>
      <c r="B49" s="304">
        <v>5061</v>
      </c>
      <c r="C49" s="305"/>
      <c r="D49" s="305"/>
      <c r="E49" s="305"/>
      <c r="F49" s="305"/>
      <c r="G49" s="305">
        <f t="shared" ref="G49" si="23">+F49+1000</f>
        <v>1000</v>
      </c>
      <c r="H49" s="306">
        <f t="shared" si="4"/>
        <v>1000</v>
      </c>
      <c r="I49" s="305">
        <f t="shared" si="5"/>
        <v>2000</v>
      </c>
      <c r="K49" s="311" t="str">
        <f t="shared" si="2"/>
        <v>Tax Return Preparation/accounting</v>
      </c>
      <c r="L49" s="311"/>
    </row>
    <row r="50" spans="1:12" x14ac:dyDescent="0.25">
      <c r="A50" s="303" t="s">
        <v>2</v>
      </c>
      <c r="B50" s="304">
        <v>5304</v>
      </c>
      <c r="C50" s="305"/>
      <c r="D50" s="305"/>
      <c r="E50" s="305"/>
      <c r="F50" s="305"/>
      <c r="G50" s="305">
        <f t="shared" ref="G50" si="24">+F50+1000</f>
        <v>1000</v>
      </c>
      <c r="H50" s="306">
        <f t="shared" si="4"/>
        <v>1000</v>
      </c>
      <c r="I50" s="305">
        <f t="shared" si="5"/>
        <v>2000</v>
      </c>
      <c r="K50" s="311" t="str">
        <f t="shared" si="2"/>
        <v>Licenses and Permits</v>
      </c>
      <c r="L50" s="311"/>
    </row>
    <row r="51" spans="1:12" x14ac:dyDescent="0.25">
      <c r="A51" s="303" t="s">
        <v>9</v>
      </c>
      <c r="B51" s="304">
        <v>5064</v>
      </c>
      <c r="C51" s="305"/>
      <c r="D51" s="305"/>
      <c r="E51" s="305">
        <v>105</v>
      </c>
      <c r="F51" s="305"/>
      <c r="G51" s="305">
        <f t="shared" ref="G51" si="25">+F51+1000</f>
        <v>1000</v>
      </c>
      <c r="H51" s="306">
        <f t="shared" si="4"/>
        <v>1000</v>
      </c>
      <c r="I51" s="305">
        <f t="shared" si="5"/>
        <v>2000</v>
      </c>
      <c r="K51" s="311" t="str">
        <f t="shared" si="2"/>
        <v>Banking and Merchant fees (est)</v>
      </c>
      <c r="L51" s="311"/>
    </row>
    <row r="52" spans="1:12" x14ac:dyDescent="0.25">
      <c r="A52" s="303" t="s">
        <v>128</v>
      </c>
      <c r="B52" s="304">
        <v>5601</v>
      </c>
      <c r="C52" s="305"/>
      <c r="D52" s="305"/>
      <c r="E52" s="305"/>
      <c r="F52" s="305"/>
      <c r="G52" s="305">
        <f t="shared" ref="G52" si="26">+F52+1000</f>
        <v>1000</v>
      </c>
      <c r="H52" s="306">
        <f t="shared" si="4"/>
        <v>1000</v>
      </c>
      <c r="I52" s="305">
        <f t="shared" si="5"/>
        <v>2000</v>
      </c>
      <c r="K52" s="311" t="str">
        <f t="shared" si="2"/>
        <v>Office Supplies, Postage, Pager, Printing, dues, subscr, Misc.</v>
      </c>
      <c r="L52" s="311"/>
    </row>
    <row r="53" spans="1:12" x14ac:dyDescent="0.25">
      <c r="A53" s="303" t="s">
        <v>297</v>
      </c>
      <c r="B53" s="304">
        <v>5000</v>
      </c>
      <c r="C53" s="305"/>
      <c r="D53" s="305"/>
      <c r="E53" s="305"/>
      <c r="F53" s="305"/>
      <c r="G53" s="305">
        <f t="shared" ref="G53" si="27">+F53+1000</f>
        <v>1000</v>
      </c>
      <c r="H53" s="306">
        <f t="shared" si="4"/>
        <v>1000</v>
      </c>
      <c r="I53" s="305">
        <f t="shared" si="5"/>
        <v>2000</v>
      </c>
      <c r="K53" s="311" t="str">
        <f t="shared" si="2"/>
        <v>Professional Mgmt ($2,000/mo or 5%)</v>
      </c>
      <c r="L53" s="311"/>
    </row>
    <row r="54" spans="1:12" x14ac:dyDescent="0.25">
      <c r="A54" s="303"/>
      <c r="B54" s="304"/>
      <c r="C54" s="305"/>
      <c r="D54" s="305"/>
      <c r="E54" s="305"/>
      <c r="F54" s="305"/>
      <c r="G54" s="305"/>
      <c r="H54" s="306">
        <f t="shared" si="4"/>
        <v>0</v>
      </c>
      <c r="I54" s="305"/>
      <c r="K54" s="311" t="e">
        <f t="shared" si="2"/>
        <v>#N/A</v>
      </c>
      <c r="L54" s="311"/>
    </row>
    <row r="55" spans="1:12" x14ac:dyDescent="0.25">
      <c r="A55" s="303"/>
      <c r="B55" s="304"/>
      <c r="C55" s="305"/>
      <c r="D55" s="305"/>
      <c r="E55" s="305"/>
      <c r="F55" s="305"/>
      <c r="G55" s="305"/>
      <c r="H55" s="306">
        <f t="shared" si="4"/>
        <v>0</v>
      </c>
      <c r="I55" s="305"/>
      <c r="K55" s="311" t="e">
        <f t="shared" si="2"/>
        <v>#N/A</v>
      </c>
      <c r="L55" s="311"/>
    </row>
    <row r="56" spans="1:12" x14ac:dyDescent="0.25">
      <c r="A56" s="303"/>
      <c r="B56" s="304"/>
      <c r="C56" s="305"/>
      <c r="D56" s="305"/>
      <c r="E56" s="305"/>
      <c r="F56" s="305"/>
      <c r="G56" s="305"/>
      <c r="H56" s="306">
        <f t="shared" si="4"/>
        <v>0</v>
      </c>
      <c r="I56" s="305"/>
      <c r="K56" s="311" t="e">
        <f t="shared" si="2"/>
        <v>#N/A</v>
      </c>
      <c r="L56" s="311"/>
    </row>
    <row r="57" spans="1:12" x14ac:dyDescent="0.25">
      <c r="A57" s="303"/>
      <c r="B57" s="304"/>
      <c r="C57" s="305"/>
      <c r="D57" s="305"/>
      <c r="E57" s="305"/>
      <c r="F57" s="305"/>
      <c r="G57" s="305"/>
      <c r="H57" s="306">
        <f t="shared" si="4"/>
        <v>0</v>
      </c>
      <c r="I57" s="305"/>
      <c r="K57" s="311" t="e">
        <f t="shared" si="2"/>
        <v>#N/A</v>
      </c>
      <c r="L57" s="311"/>
    </row>
    <row r="58" spans="1:12" x14ac:dyDescent="0.25">
      <c r="A58" s="303"/>
      <c r="B58" s="304"/>
      <c r="C58" s="305"/>
      <c r="D58" s="305"/>
      <c r="E58" s="305"/>
      <c r="F58" s="305"/>
      <c r="G58" s="305"/>
      <c r="H58" s="306">
        <f t="shared" si="4"/>
        <v>0</v>
      </c>
      <c r="I58" s="305"/>
      <c r="K58" s="311" t="e">
        <f t="shared" si="2"/>
        <v>#N/A</v>
      </c>
      <c r="L58" s="311"/>
    </row>
    <row r="59" spans="1:12" x14ac:dyDescent="0.25">
      <c r="A59" s="303"/>
      <c r="B59" s="304"/>
      <c r="C59" s="305"/>
      <c r="D59" s="305"/>
      <c r="E59" s="305"/>
      <c r="F59" s="305"/>
      <c r="G59" s="305"/>
      <c r="H59" s="306">
        <f t="shared" si="4"/>
        <v>0</v>
      </c>
      <c r="I59" s="305"/>
      <c r="K59" s="311" t="e">
        <f t="shared" si="2"/>
        <v>#N/A</v>
      </c>
      <c r="L59" s="311"/>
    </row>
    <row r="60" spans="1:12" x14ac:dyDescent="0.25">
      <c r="A60" s="303"/>
      <c r="B60" s="304"/>
      <c r="C60" s="305"/>
      <c r="D60" s="305"/>
      <c r="E60" s="305"/>
      <c r="F60" s="305"/>
      <c r="G60" s="305"/>
      <c r="H60" s="306">
        <f t="shared" si="4"/>
        <v>0</v>
      </c>
      <c r="I60" s="305"/>
      <c r="K60" s="311" t="e">
        <f t="shared" si="2"/>
        <v>#N/A</v>
      </c>
      <c r="L60" s="311"/>
    </row>
    <row r="61" spans="1:12" x14ac:dyDescent="0.25">
      <c r="A61" s="303"/>
      <c r="B61" s="304"/>
      <c r="C61" s="305"/>
      <c r="D61" s="305"/>
      <c r="E61" s="305"/>
      <c r="F61" s="305"/>
      <c r="G61" s="305"/>
      <c r="H61" s="306">
        <f t="shared" si="4"/>
        <v>0</v>
      </c>
      <c r="I61" s="305"/>
      <c r="K61" s="311" t="e">
        <f t="shared" si="2"/>
        <v>#N/A</v>
      </c>
      <c r="L61" s="311"/>
    </row>
    <row r="62" spans="1:12" x14ac:dyDescent="0.25">
      <c r="A62" s="303"/>
      <c r="B62" s="304"/>
      <c r="C62" s="305"/>
      <c r="D62" s="305"/>
      <c r="E62" s="305"/>
      <c r="F62" s="305"/>
      <c r="G62" s="305"/>
      <c r="H62" s="306">
        <f t="shared" si="4"/>
        <v>0</v>
      </c>
      <c r="I62" s="305"/>
      <c r="K62" s="311" t="e">
        <f t="shared" si="2"/>
        <v>#N/A</v>
      </c>
      <c r="L62" s="311"/>
    </row>
    <row r="63" spans="1:12" x14ac:dyDescent="0.25">
      <c r="A63" s="303"/>
      <c r="B63" s="304"/>
      <c r="C63" s="305"/>
      <c r="D63" s="305"/>
      <c r="E63" s="305"/>
      <c r="F63" s="305"/>
      <c r="G63" s="305"/>
      <c r="H63" s="306">
        <f t="shared" si="4"/>
        <v>0</v>
      </c>
      <c r="I63" s="305"/>
      <c r="K63" s="311" t="e">
        <f t="shared" si="2"/>
        <v>#N/A</v>
      </c>
      <c r="L63" s="311"/>
    </row>
    <row r="64" spans="1:12" x14ac:dyDescent="0.25">
      <c r="A64" s="303"/>
      <c r="B64" s="304"/>
      <c r="C64" s="305"/>
      <c r="D64" s="305"/>
      <c r="E64" s="305"/>
      <c r="F64" s="305"/>
      <c r="G64" s="305"/>
      <c r="H64" s="306">
        <f t="shared" si="4"/>
        <v>0</v>
      </c>
      <c r="I64" s="305"/>
      <c r="K64" s="311" t="e">
        <f t="shared" si="2"/>
        <v>#N/A</v>
      </c>
      <c r="L64" s="311"/>
    </row>
    <row r="65" spans="1:12" x14ac:dyDescent="0.25">
      <c r="A65" s="303"/>
      <c r="B65" s="304"/>
      <c r="C65" s="305"/>
      <c r="D65" s="305"/>
      <c r="E65" s="305"/>
      <c r="F65" s="305"/>
      <c r="G65" s="305"/>
      <c r="H65" s="306">
        <f t="shared" si="4"/>
        <v>0</v>
      </c>
      <c r="I65" s="305"/>
      <c r="K65" s="311" t="e">
        <f t="shared" si="2"/>
        <v>#N/A</v>
      </c>
      <c r="L65" s="311"/>
    </row>
    <row r="66" spans="1:12" x14ac:dyDescent="0.25">
      <c r="A66" s="303"/>
      <c r="B66" s="304"/>
      <c r="C66" s="305"/>
      <c r="D66" s="305"/>
      <c r="E66" s="305"/>
      <c r="F66" s="305"/>
      <c r="G66" s="305"/>
      <c r="H66" s="306">
        <f t="shared" si="4"/>
        <v>0</v>
      </c>
      <c r="I66" s="305"/>
      <c r="K66" s="311" t="e">
        <f t="shared" si="2"/>
        <v>#N/A</v>
      </c>
      <c r="L66" s="311"/>
    </row>
    <row r="67" spans="1:12" x14ac:dyDescent="0.25">
      <c r="A67" s="303"/>
      <c r="B67" s="304"/>
      <c r="C67" s="305"/>
      <c r="D67" s="305"/>
      <c r="E67" s="305"/>
      <c r="F67" s="305"/>
      <c r="G67" s="305"/>
      <c r="H67" s="306">
        <f t="shared" si="4"/>
        <v>0</v>
      </c>
      <c r="I67" s="305"/>
      <c r="K67" s="311" t="e">
        <f t="shared" si="2"/>
        <v>#N/A</v>
      </c>
      <c r="L67" s="311"/>
    </row>
    <row r="68" spans="1:12" x14ac:dyDescent="0.25">
      <c r="A68" s="303"/>
      <c r="B68" s="304"/>
      <c r="C68" s="305"/>
      <c r="D68" s="305"/>
      <c r="E68" s="305"/>
      <c r="F68" s="305"/>
      <c r="G68" s="305"/>
      <c r="H68" s="306">
        <f t="shared" si="4"/>
        <v>0</v>
      </c>
      <c r="I68" s="305"/>
      <c r="K68" s="311" t="e">
        <f t="shared" si="2"/>
        <v>#N/A</v>
      </c>
      <c r="L68" s="311"/>
    </row>
    <row r="69" spans="1:12" x14ac:dyDescent="0.25">
      <c r="A69" s="303"/>
      <c r="B69" s="304"/>
      <c r="C69" s="305"/>
      <c r="D69" s="305"/>
      <c r="E69" s="305"/>
      <c r="F69" s="305"/>
      <c r="G69" s="305"/>
      <c r="H69" s="306">
        <f t="shared" si="4"/>
        <v>0</v>
      </c>
      <c r="I69" s="305"/>
      <c r="K69" s="311" t="e">
        <f t="shared" si="2"/>
        <v>#N/A</v>
      </c>
      <c r="L69" s="311"/>
    </row>
    <row r="70" spans="1:12" x14ac:dyDescent="0.25">
      <c r="A70" s="303"/>
      <c r="B70" s="304"/>
      <c r="C70" s="305"/>
      <c r="D70" s="305"/>
      <c r="E70" s="305"/>
      <c r="F70" s="305"/>
      <c r="G70" s="305"/>
      <c r="H70" s="306">
        <f t="shared" si="4"/>
        <v>0</v>
      </c>
      <c r="I70" s="305"/>
      <c r="K70" s="311" t="e">
        <f t="shared" si="2"/>
        <v>#N/A</v>
      </c>
      <c r="L70" s="311"/>
    </row>
    <row r="71" spans="1:12" x14ac:dyDescent="0.25">
      <c r="A71" s="303"/>
      <c r="B71" s="304"/>
      <c r="C71" s="305"/>
      <c r="D71" s="305"/>
      <c r="E71" s="305"/>
      <c r="F71" s="305"/>
      <c r="G71" s="305"/>
      <c r="H71" s="306">
        <f t="shared" si="4"/>
        <v>0</v>
      </c>
      <c r="I71" s="305"/>
      <c r="K71" s="311" t="e">
        <f t="shared" si="2"/>
        <v>#N/A</v>
      </c>
      <c r="L71" s="311"/>
    </row>
    <row r="72" spans="1:12" x14ac:dyDescent="0.25">
      <c r="A72" s="303"/>
      <c r="B72" s="304"/>
      <c r="C72" s="305"/>
      <c r="D72" s="305"/>
      <c r="E72" s="305"/>
      <c r="F72" s="305"/>
      <c r="G72" s="305"/>
      <c r="H72" s="306">
        <f t="shared" si="4"/>
        <v>0</v>
      </c>
      <c r="I72" s="305"/>
      <c r="K72" s="311" t="e">
        <f t="shared" si="2"/>
        <v>#N/A</v>
      </c>
      <c r="L72" s="311"/>
    </row>
    <row r="73" spans="1:12" x14ac:dyDescent="0.25">
      <c r="A73" s="303"/>
      <c r="B73" s="304"/>
      <c r="C73" s="305"/>
      <c r="D73" s="305"/>
      <c r="E73" s="305"/>
      <c r="F73" s="305"/>
      <c r="G73" s="305"/>
      <c r="H73" s="306">
        <f t="shared" si="4"/>
        <v>0</v>
      </c>
      <c r="I73" s="305"/>
      <c r="K73" s="311" t="e">
        <f t="shared" si="2"/>
        <v>#N/A</v>
      </c>
      <c r="L73" s="311"/>
    </row>
    <row r="74" spans="1:12" x14ac:dyDescent="0.25">
      <c r="A74" s="303"/>
      <c r="B74" s="304"/>
      <c r="C74" s="305"/>
      <c r="D74" s="305"/>
      <c r="E74" s="305"/>
      <c r="F74" s="305"/>
      <c r="G74" s="305"/>
      <c r="H74" s="306">
        <f t="shared" si="4"/>
        <v>0</v>
      </c>
      <c r="I74" s="305"/>
      <c r="K74" s="311" t="e">
        <f t="shared" si="2"/>
        <v>#N/A</v>
      </c>
      <c r="L74" s="311"/>
    </row>
    <row r="75" spans="1:12" x14ac:dyDescent="0.25">
      <c r="A75" s="303"/>
      <c r="B75" s="304"/>
      <c r="C75" s="305"/>
      <c r="D75" s="305"/>
      <c r="E75" s="305"/>
      <c r="F75" s="305"/>
      <c r="G75" s="305"/>
      <c r="H75" s="306">
        <f t="shared" si="4"/>
        <v>0</v>
      </c>
      <c r="I75" s="305"/>
      <c r="K75" s="311" t="e">
        <f t="shared" si="2"/>
        <v>#N/A</v>
      </c>
      <c r="L75" s="311"/>
    </row>
    <row r="76" spans="1:12" x14ac:dyDescent="0.25">
      <c r="A76" s="303"/>
      <c r="B76" s="304"/>
      <c r="C76" s="305"/>
      <c r="D76" s="305"/>
      <c r="E76" s="305"/>
      <c r="F76" s="305"/>
      <c r="G76" s="305"/>
      <c r="H76" s="306">
        <f t="shared" si="4"/>
        <v>0</v>
      </c>
      <c r="I76" s="305"/>
      <c r="K76" s="311" t="e">
        <f t="shared" si="2"/>
        <v>#N/A</v>
      </c>
      <c r="L76" s="311"/>
    </row>
    <row r="77" spans="1:12" x14ac:dyDescent="0.25">
      <c r="A77" s="303"/>
      <c r="B77" s="304"/>
      <c r="C77" s="305"/>
      <c r="D77" s="305"/>
      <c r="E77" s="305"/>
      <c r="F77" s="305"/>
      <c r="G77" s="305"/>
      <c r="H77" s="306">
        <f t="shared" si="4"/>
        <v>0</v>
      </c>
      <c r="I77" s="305"/>
      <c r="K77" s="311" t="e">
        <f t="shared" si="2"/>
        <v>#N/A</v>
      </c>
      <c r="L77" s="311"/>
    </row>
    <row r="78" spans="1:12" x14ac:dyDescent="0.25">
      <c r="A78" s="303"/>
      <c r="B78" s="304"/>
      <c r="C78" s="305"/>
      <c r="D78" s="305"/>
      <c r="E78" s="305"/>
      <c r="F78" s="305"/>
      <c r="G78" s="305"/>
      <c r="H78" s="306">
        <f t="shared" si="4"/>
        <v>0</v>
      </c>
      <c r="I78" s="305"/>
      <c r="K78" s="311" t="e">
        <f t="shared" si="2"/>
        <v>#N/A</v>
      </c>
      <c r="L78" s="311"/>
    </row>
    <row r="79" spans="1:12" x14ac:dyDescent="0.25">
      <c r="A79" s="303"/>
      <c r="B79" s="304"/>
      <c r="C79" s="305"/>
      <c r="D79" s="305"/>
      <c r="E79" s="305"/>
      <c r="F79" s="305"/>
      <c r="G79" s="305"/>
      <c r="H79" s="306">
        <f t="shared" si="4"/>
        <v>0</v>
      </c>
      <c r="I79" s="305"/>
      <c r="K79" s="311" t="e">
        <f t="shared" si="2"/>
        <v>#N/A</v>
      </c>
      <c r="L79" s="311"/>
    </row>
    <row r="80" spans="1:12" x14ac:dyDescent="0.25">
      <c r="A80" s="303"/>
      <c r="B80" s="304"/>
      <c r="C80" s="305"/>
      <c r="D80" s="305"/>
      <c r="E80" s="305"/>
      <c r="F80" s="305"/>
      <c r="G80" s="305"/>
      <c r="H80" s="306">
        <f t="shared" si="4"/>
        <v>0</v>
      </c>
      <c r="I80" s="305"/>
      <c r="K80" s="311" t="e">
        <f t="shared" si="2"/>
        <v>#N/A</v>
      </c>
      <c r="L80" s="311"/>
    </row>
    <row r="81" spans="1:12" x14ac:dyDescent="0.25">
      <c r="A81" s="303"/>
      <c r="B81" s="304"/>
      <c r="C81" s="305"/>
      <c r="D81" s="305"/>
      <c r="E81" s="305"/>
      <c r="F81" s="305"/>
      <c r="G81" s="305"/>
      <c r="H81" s="306">
        <f t="shared" si="4"/>
        <v>0</v>
      </c>
      <c r="I81" s="305"/>
      <c r="K81" s="311" t="e">
        <f t="shared" si="2"/>
        <v>#N/A</v>
      </c>
      <c r="L81" s="311"/>
    </row>
    <row r="82" spans="1:12" x14ac:dyDescent="0.25">
      <c r="A82" s="303"/>
      <c r="B82" s="304"/>
      <c r="C82" s="305"/>
      <c r="D82" s="305"/>
      <c r="E82" s="305"/>
      <c r="F82" s="305"/>
      <c r="G82" s="305"/>
      <c r="H82" s="306">
        <f t="shared" si="4"/>
        <v>0</v>
      </c>
      <c r="I82" s="305"/>
      <c r="K82" s="311" t="e">
        <f t="shared" si="2"/>
        <v>#N/A</v>
      </c>
      <c r="L82" s="311"/>
    </row>
    <row r="83" spans="1:12" x14ac:dyDescent="0.25">
      <c r="A83" s="303"/>
      <c r="B83" s="304"/>
      <c r="C83" s="305"/>
      <c r="D83" s="305"/>
      <c r="E83" s="305"/>
      <c r="F83" s="305"/>
      <c r="G83" s="305"/>
      <c r="H83" s="306">
        <f t="shared" si="4"/>
        <v>0</v>
      </c>
      <c r="I83" s="305"/>
      <c r="K83" s="311" t="e">
        <f t="shared" si="2"/>
        <v>#N/A</v>
      </c>
      <c r="L83" s="311"/>
    </row>
    <row r="84" spans="1:12" x14ac:dyDescent="0.25">
      <c r="A84" s="303"/>
      <c r="B84" s="304"/>
      <c r="C84" s="305"/>
      <c r="D84" s="305"/>
      <c r="E84" s="305"/>
      <c r="F84" s="305"/>
      <c r="G84" s="305"/>
      <c r="H84" s="306">
        <f t="shared" si="4"/>
        <v>0</v>
      </c>
      <c r="I84" s="305"/>
      <c r="K84" s="311" t="e">
        <f t="shared" si="2"/>
        <v>#N/A</v>
      </c>
      <c r="L84" s="311"/>
    </row>
    <row r="85" spans="1:12" x14ac:dyDescent="0.25">
      <c r="A85" s="303"/>
      <c r="B85" s="304"/>
      <c r="C85" s="305"/>
      <c r="D85" s="305"/>
      <c r="E85" s="305"/>
      <c r="F85" s="305"/>
      <c r="G85" s="305"/>
      <c r="H85" s="306">
        <f t="shared" si="4"/>
        <v>0</v>
      </c>
      <c r="I85" s="305"/>
      <c r="K85" s="311" t="e">
        <f t="shared" si="2"/>
        <v>#N/A</v>
      </c>
      <c r="L85" s="311"/>
    </row>
    <row r="86" spans="1:12" x14ac:dyDescent="0.25">
      <c r="A86" s="303"/>
      <c r="B86" s="304"/>
      <c r="C86" s="305"/>
      <c r="D86" s="305"/>
      <c r="E86" s="305"/>
      <c r="F86" s="305"/>
      <c r="G86" s="305"/>
      <c r="H86" s="306">
        <f t="shared" si="4"/>
        <v>0</v>
      </c>
      <c r="I86" s="305"/>
      <c r="K86" s="311" t="e">
        <f t="shared" si="2"/>
        <v>#N/A</v>
      </c>
      <c r="L86" s="311"/>
    </row>
    <row r="87" spans="1:12" x14ac:dyDescent="0.25">
      <c r="A87" s="303"/>
      <c r="B87" s="304"/>
      <c r="C87" s="305"/>
      <c r="D87" s="305"/>
      <c r="E87" s="305"/>
      <c r="F87" s="305"/>
      <c r="G87" s="305"/>
      <c r="H87" s="306">
        <f t="shared" si="4"/>
        <v>0</v>
      </c>
      <c r="I87" s="305"/>
      <c r="K87" s="311" t="e">
        <f t="shared" si="2"/>
        <v>#N/A</v>
      </c>
      <c r="L87" s="311"/>
    </row>
    <row r="88" spans="1:12" x14ac:dyDescent="0.25">
      <c r="A88" s="303"/>
      <c r="B88" s="304"/>
      <c r="C88" s="305"/>
      <c r="D88" s="305"/>
      <c r="E88" s="305"/>
      <c r="F88" s="305"/>
      <c r="G88" s="305"/>
      <c r="H88" s="306">
        <f t="shared" si="4"/>
        <v>0</v>
      </c>
      <c r="I88" s="305"/>
      <c r="K88" s="311" t="e">
        <f t="shared" si="2"/>
        <v>#N/A</v>
      </c>
      <c r="L88" s="311"/>
    </row>
    <row r="89" spans="1:12" x14ac:dyDescent="0.25">
      <c r="A89" s="303"/>
      <c r="B89" s="304"/>
      <c r="C89" s="305"/>
      <c r="D89" s="305"/>
      <c r="E89" s="305"/>
      <c r="F89" s="305"/>
      <c r="G89" s="305"/>
      <c r="H89" s="306">
        <f t="shared" si="4"/>
        <v>0</v>
      </c>
      <c r="I89" s="305"/>
      <c r="K89" s="311" t="e">
        <f t="shared" si="2"/>
        <v>#N/A</v>
      </c>
      <c r="L89" s="311"/>
    </row>
    <row r="90" spans="1:12" x14ac:dyDescent="0.25">
      <c r="A90" s="303"/>
      <c r="B90" s="304"/>
      <c r="C90" s="305"/>
      <c r="D90" s="305"/>
      <c r="E90" s="305"/>
      <c r="F90" s="305"/>
      <c r="G90" s="305"/>
      <c r="H90" s="306">
        <f t="shared" si="4"/>
        <v>0</v>
      </c>
      <c r="I90" s="305"/>
      <c r="K90" s="311" t="e">
        <f t="shared" si="2"/>
        <v>#N/A</v>
      </c>
      <c r="L90" s="311"/>
    </row>
    <row r="91" spans="1:12" x14ac:dyDescent="0.25">
      <c r="A91" s="303"/>
      <c r="B91" s="304"/>
      <c r="C91" s="305"/>
      <c r="D91" s="305"/>
      <c r="E91" s="305"/>
      <c r="F91" s="305"/>
      <c r="G91" s="305"/>
      <c r="H91" s="306">
        <f t="shared" si="4"/>
        <v>0</v>
      </c>
      <c r="I91" s="305"/>
      <c r="K91" s="311" t="e">
        <f t="shared" si="2"/>
        <v>#N/A</v>
      </c>
      <c r="L91" s="311"/>
    </row>
    <row r="92" spans="1:12" x14ac:dyDescent="0.25">
      <c r="A92" s="303"/>
      <c r="B92" s="304"/>
      <c r="C92" s="305"/>
      <c r="D92" s="305"/>
      <c r="E92" s="305"/>
      <c r="F92" s="305"/>
      <c r="G92" s="305"/>
      <c r="H92" s="306">
        <f t="shared" si="4"/>
        <v>0</v>
      </c>
      <c r="I92" s="305"/>
      <c r="K92" s="311" t="e">
        <f t="shared" si="2"/>
        <v>#N/A</v>
      </c>
      <c r="L92" s="311"/>
    </row>
    <row r="93" spans="1:12" x14ac:dyDescent="0.25">
      <c r="A93" s="303"/>
      <c r="B93" s="304"/>
      <c r="C93" s="305"/>
      <c r="D93" s="305"/>
      <c r="E93" s="305"/>
      <c r="F93" s="305"/>
      <c r="G93" s="305"/>
      <c r="H93" s="306">
        <f t="shared" si="4"/>
        <v>0</v>
      </c>
      <c r="I93" s="305"/>
      <c r="K93" s="311" t="e">
        <f t="shared" si="2"/>
        <v>#N/A</v>
      </c>
      <c r="L93" s="311"/>
    </row>
    <row r="94" spans="1:12" x14ac:dyDescent="0.25">
      <c r="A94" s="303"/>
      <c r="B94" s="304"/>
      <c r="C94" s="305"/>
      <c r="D94" s="305"/>
      <c r="E94" s="305"/>
      <c r="F94" s="305"/>
      <c r="G94" s="305"/>
      <c r="H94" s="306">
        <f t="shared" si="4"/>
        <v>0</v>
      </c>
      <c r="I94" s="305"/>
      <c r="K94" s="311" t="e">
        <f t="shared" si="2"/>
        <v>#N/A</v>
      </c>
      <c r="L94" s="311"/>
    </row>
    <row r="95" spans="1:12" x14ac:dyDescent="0.25">
      <c r="A95" s="303"/>
      <c r="B95" s="304"/>
      <c r="C95" s="305"/>
      <c r="D95" s="305"/>
      <c r="E95" s="305"/>
      <c r="F95" s="305"/>
      <c r="G95" s="305"/>
      <c r="H95" s="306">
        <f t="shared" si="4"/>
        <v>0</v>
      </c>
      <c r="I95" s="305"/>
      <c r="K95" s="311" t="e">
        <f t="shared" si="2"/>
        <v>#N/A</v>
      </c>
      <c r="L95" s="311"/>
    </row>
    <row r="96" spans="1:12" x14ac:dyDescent="0.25">
      <c r="A96" s="303"/>
      <c r="B96" s="304"/>
      <c r="C96" s="305"/>
      <c r="D96" s="305"/>
      <c r="E96" s="305"/>
      <c r="F96" s="305"/>
      <c r="G96" s="305"/>
      <c r="H96" s="306">
        <f t="shared" si="4"/>
        <v>0</v>
      </c>
      <c r="I96" s="305"/>
      <c r="K96" s="311" t="e">
        <f t="shared" si="2"/>
        <v>#N/A</v>
      </c>
      <c r="L96" s="311"/>
    </row>
    <row r="97" spans="1:12" x14ac:dyDescent="0.25">
      <c r="A97" s="303"/>
      <c r="B97" s="304"/>
      <c r="C97" s="305"/>
      <c r="D97" s="305"/>
      <c r="E97" s="305"/>
      <c r="F97" s="305"/>
      <c r="G97" s="305"/>
      <c r="H97" s="306">
        <f t="shared" si="4"/>
        <v>0</v>
      </c>
      <c r="I97" s="305"/>
      <c r="K97" s="311" t="e">
        <f t="shared" si="2"/>
        <v>#N/A</v>
      </c>
      <c r="L97" s="311"/>
    </row>
    <row r="98" spans="1:12" x14ac:dyDescent="0.25">
      <c r="A98" s="303"/>
      <c r="B98" s="304"/>
      <c r="C98" s="305"/>
      <c r="D98" s="305"/>
      <c r="E98" s="305"/>
      <c r="F98" s="305"/>
      <c r="G98" s="305"/>
      <c r="H98" s="306">
        <f t="shared" si="4"/>
        <v>0</v>
      </c>
      <c r="I98" s="305"/>
      <c r="K98" s="311" t="e">
        <f t="shared" si="2"/>
        <v>#N/A</v>
      </c>
      <c r="L98" s="311"/>
    </row>
    <row r="99" spans="1:12" x14ac:dyDescent="0.25">
      <c r="A99" s="303"/>
      <c r="B99" s="304"/>
      <c r="C99" s="305"/>
      <c r="D99" s="305"/>
      <c r="E99" s="305"/>
      <c r="F99" s="305"/>
      <c r="G99" s="305"/>
      <c r="H99" s="306">
        <f t="shared" si="4"/>
        <v>0</v>
      </c>
      <c r="I99" s="305"/>
      <c r="K99" s="311" t="e">
        <f t="shared" si="2"/>
        <v>#N/A</v>
      </c>
      <c r="L99" s="311"/>
    </row>
    <row r="100" spans="1:12" x14ac:dyDescent="0.25">
      <c r="A100" s="303"/>
      <c r="B100" s="304"/>
      <c r="C100" s="305"/>
      <c r="D100" s="305"/>
      <c r="E100" s="305"/>
      <c r="F100" s="305"/>
      <c r="G100" s="305"/>
      <c r="H100" s="306">
        <f t="shared" si="4"/>
        <v>0</v>
      </c>
      <c r="I100" s="305"/>
      <c r="K100" s="311" t="e">
        <f t="shared" si="2"/>
        <v>#N/A</v>
      </c>
      <c r="L100" s="311"/>
    </row>
    <row r="101" spans="1:12" s="312" customFormat="1" x14ac:dyDescent="0.25">
      <c r="A101" s="312" t="s">
        <v>235</v>
      </c>
      <c r="B101" s="313"/>
      <c r="C101" s="314">
        <f>SUM(C30:C100)</f>
        <v>0</v>
      </c>
      <c r="D101" s="314">
        <f t="shared" ref="D101:I101" si="28">SUM(D30:D100)</f>
        <v>0</v>
      </c>
      <c r="E101" s="314">
        <f t="shared" si="28"/>
        <v>282241</v>
      </c>
      <c r="F101" s="314"/>
      <c r="G101" s="314">
        <f t="shared" si="28"/>
        <v>24000</v>
      </c>
      <c r="H101" s="314">
        <f t="shared" si="28"/>
        <v>24000</v>
      </c>
      <c r="I101" s="314">
        <f t="shared" si="28"/>
        <v>48000</v>
      </c>
    </row>
  </sheetData>
  <mergeCells count="4">
    <mergeCell ref="A1:L1"/>
    <mergeCell ref="A7:L7"/>
    <mergeCell ref="A27:L27"/>
    <mergeCell ref="O1:R1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033F9-CD85-4464-8D5C-662985727A34}">
  <sheetPr>
    <tabColor rgb="FF7030A0"/>
  </sheetPr>
  <dimension ref="A1:S90"/>
  <sheetViews>
    <sheetView workbookViewId="0">
      <selection activeCell="O3" sqref="O3"/>
    </sheetView>
  </sheetViews>
  <sheetFormatPr defaultRowHeight="15" x14ac:dyDescent="0.25"/>
  <cols>
    <col min="1" max="1" width="53.7109375" style="289" bestFit="1" customWidth="1"/>
    <col min="2" max="2" width="10.5703125" style="289" bestFit="1" customWidth="1"/>
    <col min="3" max="4" width="9" style="289" bestFit="1" customWidth="1"/>
    <col min="5" max="5" width="9.42578125" style="289" bestFit="1" customWidth="1"/>
    <col min="6" max="6" width="15.5703125" style="289" bestFit="1" customWidth="1"/>
    <col min="7" max="7" width="16.5703125" style="289" bestFit="1" customWidth="1"/>
    <col min="8" max="8" width="18.42578125" style="289" bestFit="1" customWidth="1"/>
    <col min="9" max="16384" width="9.140625" style="289"/>
  </cols>
  <sheetData>
    <row r="1" spans="1:19" x14ac:dyDescent="0.25">
      <c r="A1" s="560" t="str">
        <f>"Historical Financial Analysis Summary - "&amp;'IE Data Entry'!B2</f>
        <v xml:space="preserve">Historical Financial Analysis Summary - </v>
      </c>
      <c r="B1" s="560"/>
      <c r="C1" s="560"/>
      <c r="D1" s="560"/>
      <c r="E1" s="560"/>
      <c r="F1" s="560"/>
      <c r="G1" s="560"/>
      <c r="H1" s="315"/>
      <c r="I1" s="316"/>
      <c r="J1" s="316"/>
      <c r="K1" s="316"/>
      <c r="L1" s="316"/>
      <c r="M1" s="316"/>
      <c r="N1" s="316"/>
      <c r="O1" s="316"/>
      <c r="P1" s="316"/>
      <c r="Q1" s="315"/>
      <c r="R1" s="315"/>
      <c r="S1" s="315"/>
    </row>
    <row r="2" spans="1:19" ht="9" customHeight="1" x14ac:dyDescent="0.25">
      <c r="A2" s="291"/>
      <c r="B2" s="291"/>
      <c r="C2" s="291"/>
      <c r="D2" s="291"/>
      <c r="E2" s="291"/>
      <c r="F2" s="291"/>
      <c r="G2" s="315"/>
      <c r="H2" s="315"/>
      <c r="I2" s="316"/>
      <c r="J2" s="316"/>
      <c r="K2" s="316"/>
      <c r="L2" s="316"/>
      <c r="M2" s="316"/>
      <c r="N2" s="316"/>
      <c r="O2" s="316"/>
      <c r="P2" s="316"/>
      <c r="Q2" s="315"/>
      <c r="R2" s="315"/>
      <c r="S2" s="315"/>
    </row>
    <row r="3" spans="1:19" x14ac:dyDescent="0.25">
      <c r="A3" s="562" t="s">
        <v>236</v>
      </c>
      <c r="B3" s="562"/>
      <c r="C3" s="562"/>
      <c r="D3" s="562"/>
      <c r="E3" s="562"/>
      <c r="F3" s="562"/>
      <c r="G3" s="562"/>
      <c r="H3" s="315"/>
      <c r="I3" s="316"/>
      <c r="J3" s="316"/>
      <c r="K3" s="316"/>
      <c r="L3" s="316"/>
      <c r="M3" s="316"/>
      <c r="N3" s="316"/>
      <c r="O3" s="316"/>
      <c r="P3" s="316"/>
      <c r="Q3" s="317"/>
      <c r="R3" s="315"/>
      <c r="S3" s="315"/>
    </row>
    <row r="4" spans="1:19" x14ac:dyDescent="0.25">
      <c r="A4" s="299"/>
      <c r="B4" s="300"/>
      <c r="C4" s="300"/>
      <c r="D4" s="300"/>
      <c r="E4" s="300"/>
      <c r="F4" s="563" t="str">
        <f>Current_Year&amp;" Annualized"</f>
        <v>2018 Annualized</v>
      </c>
      <c r="G4" s="563" t="s">
        <v>237</v>
      </c>
      <c r="H4" s="300" t="s">
        <v>238</v>
      </c>
      <c r="I4" s="316"/>
      <c r="J4" s="316"/>
      <c r="K4" s="316"/>
      <c r="L4" s="318"/>
      <c r="M4" s="316"/>
      <c r="N4" s="316"/>
      <c r="O4" s="316"/>
      <c r="P4" s="316"/>
      <c r="Q4" s="319"/>
      <c r="R4" s="315"/>
      <c r="S4" s="315"/>
    </row>
    <row r="5" spans="1:19" ht="15.75" thickBot="1" x14ac:dyDescent="0.3">
      <c r="A5" s="302" t="s">
        <v>239</v>
      </c>
      <c r="B5" s="301">
        <f>+B31</f>
        <v>2015</v>
      </c>
      <c r="C5" s="301">
        <f t="shared" ref="C5:E5" si="0">+C31</f>
        <v>2016</v>
      </c>
      <c r="D5" s="301">
        <f t="shared" si="0"/>
        <v>2017</v>
      </c>
      <c r="E5" s="301" t="str">
        <f t="shared" si="0"/>
        <v>Trailing 12</v>
      </c>
      <c r="F5" s="564"/>
      <c r="G5" s="564"/>
      <c r="H5" s="301" t="s">
        <v>228</v>
      </c>
      <c r="I5" s="316"/>
      <c r="J5" s="316"/>
      <c r="K5" s="316"/>
      <c r="L5" s="318"/>
      <c r="M5" s="316"/>
      <c r="N5" s="316"/>
      <c r="O5" s="316"/>
      <c r="P5" s="316"/>
      <c r="Q5" s="319"/>
      <c r="R5" s="315"/>
      <c r="S5" s="315"/>
    </row>
    <row r="6" spans="1:19" x14ac:dyDescent="0.25">
      <c r="A6" s="299" t="s">
        <v>240</v>
      </c>
      <c r="B6" s="300"/>
      <c r="C6" s="300"/>
      <c r="D6" s="300"/>
      <c r="E6" s="300"/>
      <c r="F6" s="300"/>
      <c r="G6" s="300"/>
      <c r="H6" s="300"/>
      <c r="I6" s="316" t="s">
        <v>241</v>
      </c>
      <c r="J6" s="316"/>
      <c r="K6" s="316"/>
      <c r="L6" s="318"/>
      <c r="M6" s="316"/>
      <c r="N6" s="316"/>
      <c r="O6" s="316"/>
      <c r="P6" s="316"/>
      <c r="Q6" s="319"/>
      <c r="R6" s="315"/>
      <c r="S6" s="315"/>
    </row>
    <row r="7" spans="1:19" x14ac:dyDescent="0.25">
      <c r="A7" s="320" t="s">
        <v>118</v>
      </c>
      <c r="B7" s="321">
        <f>SUMIF('IE Data Entry'!$B$10:$B$24,'IE SUMMARY'!$Q7,'IE Data Entry'!C$10:C$24)</f>
        <v>0</v>
      </c>
      <c r="C7" s="322">
        <f>SUMIF('IE Data Entry'!$B$10:$B$24,'IE SUMMARY'!$Q7,'IE Data Entry'!D$10:D$24)</f>
        <v>0</v>
      </c>
      <c r="D7" s="322">
        <f>SUMIF('IE Data Entry'!$B$10:$B$24,'IE SUMMARY'!$Q7,'IE Data Entry'!E$10:E$24)</f>
        <v>174960</v>
      </c>
      <c r="E7" s="322">
        <f>SUMIF('IE Data Entry'!$B$10:$B$24,'IE SUMMARY'!$Q7,'IE Data Entry'!F$10:F$24)</f>
        <v>0</v>
      </c>
      <c r="F7" s="322">
        <f>SUMIF('IE Data Entry'!$B$10:$B$24,'IE SUMMARY'!$Q7,'IE Data Entry'!H$10:H$24)</f>
        <v>0</v>
      </c>
      <c r="G7" s="322">
        <f>SUMIF('IE Data Entry'!$B$10:$B$24,'IE SUMMARY'!$Q7,'IE Data Entry'!I$10:I$24)</f>
        <v>0</v>
      </c>
      <c r="H7" s="323"/>
      <c r="I7" s="316"/>
      <c r="J7" s="316"/>
      <c r="K7" s="316"/>
      <c r="L7" s="318"/>
      <c r="M7" s="316"/>
      <c r="N7" s="316"/>
      <c r="O7" s="316"/>
      <c r="P7" s="316"/>
      <c r="Q7" s="319">
        <v>1</v>
      </c>
      <c r="R7" s="315"/>
      <c r="S7" s="315"/>
    </row>
    <row r="8" spans="1:19" x14ac:dyDescent="0.25">
      <c r="A8" s="320" t="s">
        <v>168</v>
      </c>
      <c r="B8" s="322">
        <f>SUMIF('IE Data Entry'!$B$10:$B$24,'IE SUMMARY'!$Q8,'IE Data Entry'!C$10:C$24)</f>
        <v>0</v>
      </c>
      <c r="C8" s="322">
        <f>SUMIF('IE Data Entry'!$B$10:$B$24,'IE SUMMARY'!$Q8,'IE Data Entry'!D$10:D$24)</f>
        <v>0</v>
      </c>
      <c r="D8" s="322">
        <f>SUMIF('IE Data Entry'!$B$10:$B$24,'IE SUMMARY'!$Q8,'IE Data Entry'!E$10:E$24)</f>
        <v>0</v>
      </c>
      <c r="E8" s="322">
        <f>SUMIF('IE Data Entry'!$B$10:$B$24,'IE SUMMARY'!$Q8,'IE Data Entry'!F$10:F$24)</f>
        <v>0</v>
      </c>
      <c r="F8" s="322">
        <f>SUMIF('IE Data Entry'!$B$10:$B$24,'IE SUMMARY'!$Q8,'IE Data Entry'!H$10:H$24)</f>
        <v>0</v>
      </c>
      <c r="G8" s="322">
        <f>SUMIF('IE Data Entry'!$B$10:$B$24,'IE SUMMARY'!$Q8,'IE Data Entry'!I$10:I$24)</f>
        <v>0</v>
      </c>
      <c r="H8" s="323"/>
      <c r="I8" s="316"/>
      <c r="J8" s="316"/>
      <c r="K8" s="316"/>
      <c r="L8" s="318"/>
      <c r="M8" s="316"/>
      <c r="N8" s="316"/>
      <c r="O8" s="316"/>
      <c r="P8" s="316"/>
      <c r="Q8" s="319">
        <v>2</v>
      </c>
      <c r="R8" s="315"/>
      <c r="S8" s="315"/>
    </row>
    <row r="9" spans="1:19" x14ac:dyDescent="0.25">
      <c r="A9" s="320" t="s">
        <v>169</v>
      </c>
      <c r="B9" s="322">
        <f>SUMIF('IE Data Entry'!$B$10:$B$24,'IE SUMMARY'!$Q9,'IE Data Entry'!C$10:C$24)</f>
        <v>0</v>
      </c>
      <c r="C9" s="322">
        <f>SUMIF('IE Data Entry'!$B$10:$B$24,'IE SUMMARY'!$Q9,'IE Data Entry'!D$10:D$24)</f>
        <v>0</v>
      </c>
      <c r="D9" s="322">
        <f>SUMIF('IE Data Entry'!$B$10:$B$24,'IE SUMMARY'!$Q9,'IE Data Entry'!E$10:E$24)</f>
        <v>0</v>
      </c>
      <c r="E9" s="322">
        <f>SUMIF('IE Data Entry'!$B$10:$B$24,'IE SUMMARY'!$Q9,'IE Data Entry'!F$10:F$24)</f>
        <v>0</v>
      </c>
      <c r="F9" s="322">
        <f>SUMIF('IE Data Entry'!$B$10:$B$24,'IE SUMMARY'!$Q9,'IE Data Entry'!H$10:H$24)</f>
        <v>0</v>
      </c>
      <c r="G9" s="322">
        <f>SUMIF('IE Data Entry'!$B$10:$B$24,'IE SUMMARY'!$Q9,'IE Data Entry'!I$10:I$24)</f>
        <v>0</v>
      </c>
      <c r="H9" s="323"/>
      <c r="I9" s="315" t="str">
        <f>IF(ISERROR((+(G11-E11)/E11)),"",(+(G11-E11)/E11))</f>
        <v/>
      </c>
      <c r="J9" s="324" t="s">
        <v>242</v>
      </c>
      <c r="K9" s="315"/>
      <c r="M9" s="315"/>
      <c r="N9" s="315"/>
      <c r="O9" s="315"/>
      <c r="P9" s="315"/>
      <c r="Q9" s="319">
        <v>3</v>
      </c>
      <c r="R9" s="315"/>
      <c r="S9" s="315"/>
    </row>
    <row r="10" spans="1:19" x14ac:dyDescent="0.25">
      <c r="A10" s="320" t="s">
        <v>243</v>
      </c>
      <c r="B10" s="322">
        <f>SUMIF('IE Data Entry'!$B$10:$B$24,'IE SUMMARY'!$Q10,'IE Data Entry'!C$10:C$24)</f>
        <v>0</v>
      </c>
      <c r="C10" s="322">
        <f>SUMIF('IE Data Entry'!$B$10:$B$24,'IE SUMMARY'!$Q10,'IE Data Entry'!D$10:D$24)</f>
        <v>0</v>
      </c>
      <c r="D10" s="322">
        <f>SUMIF('IE Data Entry'!$B$10:$B$24,'IE SUMMARY'!$Q10,'IE Data Entry'!E$10:E$24)</f>
        <v>0</v>
      </c>
      <c r="E10" s="322">
        <f>SUMIF('IE Data Entry'!$B$10:$B$24,'IE SUMMARY'!$Q10,'IE Data Entry'!F$10:F$24)</f>
        <v>0</v>
      </c>
      <c r="F10" s="322">
        <f>SUMIF('IE Data Entry'!$B$10:$B$24,'IE SUMMARY'!$Q10,'IE Data Entry'!H$10:H$24)</f>
        <v>0</v>
      </c>
      <c r="G10" s="322">
        <f>SUMIF('IE Data Entry'!$B$10:$B$24,'IE SUMMARY'!$Q10,'IE Data Entry'!I$10:I$24)</f>
        <v>0</v>
      </c>
      <c r="H10" s="325"/>
      <c r="I10" s="326" t="str">
        <f>IF(ISERROR((+(G11-F11)/F11)),"",(+(G11-F11)/F11))</f>
        <v/>
      </c>
      <c r="J10" s="324" t="s">
        <v>244</v>
      </c>
      <c r="K10" s="315"/>
      <c r="M10" s="316"/>
      <c r="N10" s="315"/>
      <c r="O10" s="315"/>
      <c r="P10" s="315"/>
      <c r="Q10" s="319">
        <v>4</v>
      </c>
      <c r="R10" s="315"/>
      <c r="S10" s="315"/>
    </row>
    <row r="11" spans="1:19" x14ac:dyDescent="0.25">
      <c r="A11" s="327" t="s">
        <v>78</v>
      </c>
      <c r="B11" s="328">
        <f>SUM(B7:B10)</f>
        <v>0</v>
      </c>
      <c r="C11" s="328">
        <f t="shared" ref="C11:H11" si="1">SUM(C7:C10)</f>
        <v>0</v>
      </c>
      <c r="D11" s="328">
        <f t="shared" si="1"/>
        <v>174960</v>
      </c>
      <c r="E11" s="328">
        <f t="shared" si="1"/>
        <v>0</v>
      </c>
      <c r="F11" s="328">
        <f t="shared" si="1"/>
        <v>0</v>
      </c>
      <c r="G11" s="328">
        <f t="shared" si="1"/>
        <v>0</v>
      </c>
      <c r="H11" s="328">
        <f t="shared" si="1"/>
        <v>0</v>
      </c>
      <c r="I11" s="326">
        <f>IF(ISERROR((+(G11-D11)/D11)),"",(+(G11-D11)/D11))</f>
        <v>-1</v>
      </c>
      <c r="J11" s="324" t="str">
        <f>"Broker Compared to "&amp;'IE Data Entry'!$B$4</f>
        <v>Broker Compared to 2017</v>
      </c>
      <c r="K11" s="329"/>
      <c r="M11" s="316"/>
      <c r="N11" s="315"/>
      <c r="O11" s="315"/>
      <c r="P11" s="315"/>
      <c r="Q11" s="319"/>
      <c r="R11" s="315"/>
      <c r="S11" s="315"/>
    </row>
    <row r="12" spans="1:19" x14ac:dyDescent="0.25">
      <c r="A12" s="330" t="s">
        <v>245</v>
      </c>
      <c r="B12" s="324"/>
      <c r="C12" s="326" t="str">
        <f>IF(ISERROR((+(C11-B11)/B11)),"",(+(C11-B11)/B11))</f>
        <v/>
      </c>
      <c r="D12" s="326" t="str">
        <f>IF(ISERROR((+(D11-C11)/C11)),"",(+(D11-C11)/C11))</f>
        <v/>
      </c>
      <c r="E12" s="326">
        <f>IF(ISERROR((+(E11-D11)/D11)),"",(+(E11-D11)/D11))</f>
        <v>-1</v>
      </c>
      <c r="F12" s="326">
        <f>IF(ISERROR((+(F11-D11)/D11)),"",(+(F11-D11)/D11))</f>
        <v>-1</v>
      </c>
      <c r="G12" s="326"/>
      <c r="J12" s="326"/>
      <c r="K12" s="326"/>
      <c r="L12" s="326"/>
      <c r="M12" s="315"/>
      <c r="N12" s="315"/>
      <c r="O12" s="315"/>
      <c r="P12" s="315"/>
      <c r="Q12" s="319"/>
      <c r="R12" s="315"/>
      <c r="S12" s="315"/>
    </row>
    <row r="13" spans="1:19" ht="10.15" customHeight="1" x14ac:dyDescent="0.25">
      <c r="A13" s="320"/>
      <c r="B13" s="331"/>
      <c r="C13" s="331"/>
      <c r="D13" s="331"/>
      <c r="E13" s="331"/>
      <c r="F13" s="331"/>
      <c r="G13" s="331"/>
      <c r="H13" s="326"/>
      <c r="I13" s="324"/>
      <c r="J13" s="315"/>
      <c r="K13" s="315"/>
      <c r="L13" s="331"/>
      <c r="M13" s="315"/>
      <c r="N13" s="315"/>
      <c r="O13" s="315"/>
      <c r="P13" s="315"/>
      <c r="Q13" s="319"/>
      <c r="R13" s="315"/>
      <c r="S13" s="315"/>
    </row>
    <row r="14" spans="1:19" x14ac:dyDescent="0.25">
      <c r="A14" s="332" t="s">
        <v>79</v>
      </c>
      <c r="B14" s="331"/>
      <c r="C14" s="331"/>
      <c r="D14" s="331"/>
      <c r="E14" s="331"/>
      <c r="F14" s="331"/>
      <c r="G14" s="331"/>
      <c r="H14" s="315"/>
      <c r="I14" s="315"/>
      <c r="J14" s="315"/>
      <c r="K14" s="315"/>
      <c r="L14" s="331"/>
      <c r="M14" s="315"/>
      <c r="N14" s="315"/>
      <c r="O14" s="315"/>
      <c r="P14" s="315"/>
      <c r="Q14" s="319"/>
      <c r="R14" s="315"/>
      <c r="S14" s="315"/>
    </row>
    <row r="15" spans="1:19" x14ac:dyDescent="0.25">
      <c r="A15" s="320" t="s">
        <v>12</v>
      </c>
      <c r="B15" s="322">
        <f>SUMIF('IE Data Entry'!$B$10:$B$24,'IE SUMMARY'!$Q15,'IE Data Entry'!C$10:C$24)</f>
        <v>0</v>
      </c>
      <c r="C15" s="322">
        <f>SUMIF('IE Data Entry'!$B$10:$B$24,'IE SUMMARY'!$Q15,'IE Data Entry'!D$10:D$24)</f>
        <v>0</v>
      </c>
      <c r="D15" s="322">
        <f>SUMIF('IE Data Entry'!$B$10:$B$24,'IE SUMMARY'!$Q15,'IE Data Entry'!E$10:E$24)</f>
        <v>0</v>
      </c>
      <c r="E15" s="322">
        <f>SUMIF('IE Data Entry'!$B$10:$B$24,'IE SUMMARY'!$Q15,'IE Data Entry'!F$10:F$24)</f>
        <v>0</v>
      </c>
      <c r="F15" s="322">
        <f>SUMIF('IE Data Entry'!$B$10:$B$24,'IE SUMMARY'!$Q15,'IE Data Entry'!H$10:H$24)</f>
        <v>0</v>
      </c>
      <c r="G15" s="322">
        <f>SUMIF('IE Data Entry'!$B$10:$B$24,'IE SUMMARY'!$Q15,'IE Data Entry'!I$10:I$24)</f>
        <v>0</v>
      </c>
      <c r="H15" s="323"/>
      <c r="I15" s="315"/>
      <c r="J15" s="315"/>
      <c r="K15" s="315"/>
      <c r="M15" s="316"/>
      <c r="N15" s="315"/>
      <c r="O15" s="315"/>
      <c r="P15" s="315"/>
      <c r="Q15" s="319">
        <v>4403</v>
      </c>
      <c r="R15" s="315"/>
      <c r="S15" s="315"/>
    </row>
    <row r="16" spans="1:19" x14ac:dyDescent="0.25">
      <c r="A16" s="320" t="s">
        <v>203</v>
      </c>
      <c r="B16" s="322">
        <f>SUMIF('IE Data Entry'!$B$10:$B$24,'IE SUMMARY'!$Q16,'IE Data Entry'!C$10:C$24)</f>
        <v>0</v>
      </c>
      <c r="C16" s="322">
        <f>SUMIF('IE Data Entry'!$B$10:$B$24,'IE SUMMARY'!$Q16,'IE Data Entry'!D$10:D$24)</f>
        <v>0</v>
      </c>
      <c r="D16" s="322">
        <f>SUMIF('IE Data Entry'!$B$10:$B$24,'IE SUMMARY'!$Q16,'IE Data Entry'!E$10:E$24)</f>
        <v>0</v>
      </c>
      <c r="E16" s="322">
        <f>SUMIF('IE Data Entry'!$B$10:$B$24,'IE SUMMARY'!$Q16,'IE Data Entry'!F$10:F$24)</f>
        <v>0</v>
      </c>
      <c r="F16" s="322">
        <f>SUMIF('IE Data Entry'!$B$10:$B$24,'IE SUMMARY'!$Q16,'IE Data Entry'!H$10:H$24)</f>
        <v>0</v>
      </c>
      <c r="G16" s="322">
        <f>SUMIF('IE Data Entry'!$B$10:$B$24,'IE SUMMARY'!$Q16,'IE Data Entry'!I$10:I$24)</f>
        <v>0</v>
      </c>
      <c r="H16" s="323"/>
      <c r="I16" s="315"/>
      <c r="J16" s="315"/>
      <c r="K16" s="315"/>
      <c r="M16" s="316"/>
      <c r="N16" s="315"/>
      <c r="O16" s="315"/>
      <c r="P16" s="315"/>
      <c r="Q16" s="319">
        <v>4401</v>
      </c>
      <c r="R16" s="315"/>
      <c r="S16" s="315"/>
    </row>
    <row r="17" spans="1:19" x14ac:dyDescent="0.25">
      <c r="A17" s="320" t="s">
        <v>10</v>
      </c>
      <c r="B17" s="322">
        <f>SUMIF('IE Data Entry'!$B$10:$B$24,'IE SUMMARY'!$Q17,'IE Data Entry'!C$10:C$24)</f>
        <v>0</v>
      </c>
      <c r="C17" s="322">
        <f>SUMIF('IE Data Entry'!$B$10:$B$24,'IE SUMMARY'!$Q17,'IE Data Entry'!D$10:D$24)</f>
        <v>0</v>
      </c>
      <c r="D17" s="322">
        <f>SUMIF('IE Data Entry'!$B$10:$B$24,'IE SUMMARY'!$Q17,'IE Data Entry'!E$10:E$24)</f>
        <v>0</v>
      </c>
      <c r="E17" s="322">
        <f>SUMIF('IE Data Entry'!$B$10:$B$24,'IE SUMMARY'!$Q17,'IE Data Entry'!F$10:F$24)</f>
        <v>0</v>
      </c>
      <c r="F17" s="322">
        <f>SUMIF('IE Data Entry'!$B$10:$B$24,'IE SUMMARY'!$Q17,'IE Data Entry'!H$10:H$24)</f>
        <v>0</v>
      </c>
      <c r="G17" s="322">
        <f>SUMIF('IE Data Entry'!$B$10:$B$24,'IE SUMMARY'!$Q17,'IE Data Entry'!I$10:I$24)</f>
        <v>0</v>
      </c>
      <c r="H17" s="323"/>
      <c r="I17" s="315"/>
      <c r="J17" s="315"/>
      <c r="K17" s="315"/>
      <c r="M17" s="316"/>
      <c r="N17" s="315"/>
      <c r="O17" s="315"/>
      <c r="P17" s="315"/>
      <c r="Q17" s="319">
        <v>4404</v>
      </c>
      <c r="R17" s="315"/>
      <c r="S17" s="315"/>
    </row>
    <row r="18" spans="1:19" x14ac:dyDescent="0.25">
      <c r="A18" s="320" t="s">
        <v>200</v>
      </c>
      <c r="B18" s="322">
        <f>SUMIF('IE Data Entry'!$B$10:$B$24,'IE SUMMARY'!$Q18,'IE Data Entry'!C$10:C$24)</f>
        <v>0</v>
      </c>
      <c r="C18" s="322">
        <f>SUMIF('IE Data Entry'!$B$10:$B$24,'IE SUMMARY'!$Q18,'IE Data Entry'!D$10:D$24)</f>
        <v>0</v>
      </c>
      <c r="D18" s="322">
        <f>SUMIF('IE Data Entry'!$B$10:$B$24,'IE SUMMARY'!$Q18,'IE Data Entry'!E$10:E$24)</f>
        <v>0</v>
      </c>
      <c r="E18" s="322">
        <f>SUMIF('IE Data Entry'!$B$10:$B$24,'IE SUMMARY'!$Q18,'IE Data Entry'!F$10:F$24)</f>
        <v>0</v>
      </c>
      <c r="F18" s="322">
        <f>SUMIF('IE Data Entry'!$B$10:$B$24,'IE SUMMARY'!$Q18,'IE Data Entry'!H$10:H$24)</f>
        <v>0</v>
      </c>
      <c r="G18" s="322">
        <f>SUMIF('IE Data Entry'!$B$10:$B$24,'IE SUMMARY'!$Q18,'IE Data Entry'!I$10:I$24)</f>
        <v>0</v>
      </c>
      <c r="H18" s="323"/>
      <c r="I18" s="315"/>
      <c r="J18" s="315"/>
      <c r="K18" s="315"/>
      <c r="M18" s="316"/>
      <c r="N18" s="315"/>
      <c r="O18" s="315"/>
      <c r="P18" s="315"/>
      <c r="Q18" s="319">
        <v>4405</v>
      </c>
      <c r="R18" s="315"/>
      <c r="S18" s="315"/>
    </row>
    <row r="19" spans="1:19" x14ac:dyDescent="0.25">
      <c r="A19" s="320" t="s">
        <v>201</v>
      </c>
      <c r="B19" s="322">
        <f>SUMIF('IE Data Entry'!$B$10:$B$24,'IE SUMMARY'!$Q19,'IE Data Entry'!C$10:C$24)</f>
        <v>0</v>
      </c>
      <c r="C19" s="322">
        <f>SUMIF('IE Data Entry'!$B$10:$B$24,'IE SUMMARY'!$Q19,'IE Data Entry'!D$10:D$24)</f>
        <v>0</v>
      </c>
      <c r="D19" s="322">
        <f>SUMIF('IE Data Entry'!$B$10:$B$24,'IE SUMMARY'!$Q19,'IE Data Entry'!E$10:E$24)</f>
        <v>0</v>
      </c>
      <c r="E19" s="322">
        <f>SUMIF('IE Data Entry'!$B$10:$B$24,'IE SUMMARY'!$Q19,'IE Data Entry'!F$10:F$24)</f>
        <v>0</v>
      </c>
      <c r="F19" s="322">
        <f>SUMIF('IE Data Entry'!$B$10:$B$24,'IE SUMMARY'!$Q19,'IE Data Entry'!H$10:H$24)</f>
        <v>0</v>
      </c>
      <c r="G19" s="322">
        <f>SUMIF('IE Data Entry'!$B$10:$B$24,'IE SUMMARY'!$Q19,'IE Data Entry'!I$10:I$24)</f>
        <v>0</v>
      </c>
      <c r="H19" s="323"/>
      <c r="I19" s="315" t="str">
        <f>IF(ISERROR((+(G21-E21)/E21)),"",(+(G21-E21)/E21))</f>
        <v/>
      </c>
      <c r="J19" s="324" t="s">
        <v>242</v>
      </c>
      <c r="K19" s="315"/>
      <c r="M19" s="316"/>
      <c r="N19" s="315"/>
      <c r="O19" s="315"/>
      <c r="P19" s="315"/>
      <c r="Q19" s="319">
        <v>4402</v>
      </c>
      <c r="R19" s="315"/>
      <c r="S19" s="315"/>
    </row>
    <row r="20" spans="1:19" x14ac:dyDescent="0.25">
      <c r="A20" s="320" t="s">
        <v>199</v>
      </c>
      <c r="B20" s="322">
        <f>SUMIF('IE Data Entry'!$B$10:$B$24,'IE SUMMARY'!$Q20,'IE Data Entry'!C$10:C$24)</f>
        <v>0</v>
      </c>
      <c r="C20" s="322">
        <f>SUMIF('IE Data Entry'!$B$10:$B$24,'IE SUMMARY'!$Q20,'IE Data Entry'!D$10:D$24)</f>
        <v>0</v>
      </c>
      <c r="D20" s="322">
        <f>SUMIF('IE Data Entry'!$B$10:$B$24,'IE SUMMARY'!$Q20,'IE Data Entry'!E$10:E$24)</f>
        <v>0</v>
      </c>
      <c r="E20" s="322">
        <f>SUMIF('IE Data Entry'!$B$10:$B$24,'IE SUMMARY'!$Q20,'IE Data Entry'!F$10:F$24)</f>
        <v>0</v>
      </c>
      <c r="F20" s="322">
        <f>SUMIF('IE Data Entry'!$B$10:$B$24,'IE SUMMARY'!$Q20,'IE Data Entry'!H$10:H$24)</f>
        <v>0</v>
      </c>
      <c r="G20" s="322">
        <f>SUMIF('IE Data Entry'!$B$10:$B$24,'IE SUMMARY'!$Q20,'IE Data Entry'!I$10:I$24)</f>
        <v>0</v>
      </c>
      <c r="H20" s="325"/>
      <c r="I20" s="326" t="str">
        <f>IF(ISERROR((+(G21-F21)/F21)),"",(+(G21-F21)/F21))</f>
        <v/>
      </c>
      <c r="J20" s="324" t="s">
        <v>244</v>
      </c>
      <c r="K20" s="315"/>
      <c r="M20" s="316"/>
      <c r="N20" s="315"/>
      <c r="O20" s="315"/>
      <c r="P20" s="315"/>
      <c r="Q20" s="319">
        <v>4998</v>
      </c>
      <c r="R20" s="315"/>
      <c r="S20" s="315"/>
    </row>
    <row r="21" spans="1:19" x14ac:dyDescent="0.25">
      <c r="A21" s="327" t="s">
        <v>81</v>
      </c>
      <c r="B21" s="328">
        <f>SUM(B15:B20)</f>
        <v>0</v>
      </c>
      <c r="C21" s="328">
        <f t="shared" ref="C21:G21" si="2">SUM(C15:C20)</f>
        <v>0</v>
      </c>
      <c r="D21" s="328">
        <f t="shared" si="2"/>
        <v>0</v>
      </c>
      <c r="E21" s="328">
        <f t="shared" si="2"/>
        <v>0</v>
      </c>
      <c r="F21" s="328">
        <f t="shared" si="2"/>
        <v>0</v>
      </c>
      <c r="G21" s="328">
        <f t="shared" si="2"/>
        <v>0</v>
      </c>
      <c r="H21" s="328">
        <f>SUM(H15:H20)</f>
        <v>0</v>
      </c>
      <c r="I21" s="326" t="str">
        <f>IF(ISERROR((+(G21-D21)/D21)),"",(+(G21-D21)/D21))</f>
        <v/>
      </c>
      <c r="J21" s="324" t="str">
        <f>"Broker Compared to "&amp;'IE Data Entry'!$B$4</f>
        <v>Broker Compared to 2017</v>
      </c>
      <c r="K21" s="315"/>
      <c r="M21" s="333"/>
      <c r="N21" s="315"/>
      <c r="O21" s="315"/>
      <c r="P21" s="315"/>
      <c r="Q21" s="319"/>
      <c r="R21" s="315"/>
      <c r="S21" s="315"/>
    </row>
    <row r="22" spans="1:19" x14ac:dyDescent="0.25">
      <c r="A22" s="330" t="s">
        <v>245</v>
      </c>
      <c r="B22" s="324"/>
      <c r="C22" s="326" t="str">
        <f>IF(ISERROR((+(C21-B21)/B21)),"",(+(C21-B21)/B21))</f>
        <v/>
      </c>
      <c r="D22" s="326" t="str">
        <f>IF(ISERROR((+(D21-C21)/C21)),"",(+(D21-C21)/C21))</f>
        <v/>
      </c>
      <c r="E22" s="326" t="str">
        <f>IF(ISERROR((+(E21-D21)/D21)),"",(+(E21-D21)/D21))</f>
        <v/>
      </c>
      <c r="F22" s="326" t="str">
        <f>IF(ISERROR((+(F21-D21)/D21)),"",(+(F21-D21)/D21))</f>
        <v/>
      </c>
      <c r="G22" s="326"/>
      <c r="J22" s="315"/>
      <c r="K22" s="315"/>
      <c r="L22" s="326"/>
      <c r="M22" s="316"/>
      <c r="N22" s="315"/>
      <c r="O22" s="315"/>
      <c r="P22" s="315"/>
      <c r="Q22" s="319"/>
      <c r="R22" s="315"/>
      <c r="S22" s="315"/>
    </row>
    <row r="23" spans="1:19" ht="6.75" customHeight="1" x14ac:dyDescent="0.25">
      <c r="A23" s="330"/>
      <c r="B23" s="324"/>
      <c r="C23" s="326"/>
      <c r="D23" s="326"/>
      <c r="E23" s="326"/>
      <c r="F23" s="326"/>
      <c r="G23" s="326"/>
      <c r="H23" s="326"/>
      <c r="I23" s="324"/>
      <c r="J23" s="315"/>
      <c r="K23" s="315"/>
      <c r="L23" s="326"/>
      <c r="M23" s="316"/>
      <c r="N23" s="315"/>
      <c r="O23" s="315"/>
      <c r="P23" s="315"/>
      <c r="Q23" s="319"/>
      <c r="R23" s="315"/>
      <c r="S23" s="315"/>
    </row>
    <row r="24" spans="1:19" x14ac:dyDescent="0.25">
      <c r="A24" s="320" t="s">
        <v>247</v>
      </c>
      <c r="B24" s="322">
        <f>SUMIF('IE Data Entry'!$B$10:$B$24,'IE SUMMARY'!$Q24,'IE Data Entry'!C$10:C$24)</f>
        <v>0</v>
      </c>
      <c r="C24" s="322">
        <f>SUMIF('IE Data Entry'!$B$10:$B$24,'IE SUMMARY'!$Q24,'IE Data Entry'!D$10:D$24)</f>
        <v>0</v>
      </c>
      <c r="D24" s="322">
        <f>SUMIF('IE Data Entry'!$B$10:$B$24,'IE SUMMARY'!$Q24,'IE Data Entry'!E$10:E$24)</f>
        <v>0</v>
      </c>
      <c r="E24" s="322">
        <f>SUMIF('IE Data Entry'!$B$10:$B$24,'IE SUMMARY'!$Q24,'IE Data Entry'!F$10:F$24)</f>
        <v>0</v>
      </c>
      <c r="F24" s="322">
        <f>SUMIF('IE Data Entry'!$B$10:$B$24,'IE SUMMARY'!$Q24,'IE Data Entry'!H$10:H$24)</f>
        <v>0</v>
      </c>
      <c r="G24" s="322">
        <f>SUMIF('IE Data Entry'!$B$10:$B$24,'IE SUMMARY'!$Q24,'IE Data Entry'!I$10:I$24)</f>
        <v>0</v>
      </c>
      <c r="H24" s="334"/>
      <c r="I24" s="324"/>
      <c r="J24" s="315"/>
      <c r="K24" s="315"/>
      <c r="M24" s="316"/>
      <c r="N24" s="315"/>
      <c r="O24" s="315"/>
      <c r="P24" s="315"/>
      <c r="Q24" s="319">
        <v>4134</v>
      </c>
      <c r="R24" s="315"/>
      <c r="S24" s="315"/>
    </row>
    <row r="25" spans="1:19" ht="9" customHeight="1" x14ac:dyDescent="0.25">
      <c r="A25" s="320"/>
      <c r="B25" s="322"/>
      <c r="C25" s="322"/>
      <c r="D25" s="322"/>
      <c r="E25" s="322"/>
      <c r="F25" s="322"/>
      <c r="G25" s="322"/>
      <c r="H25" s="322"/>
      <c r="I25" s="315">
        <f>IF(ISERROR((+(G27-E27)/E27)),"",(+(G27-E27)/E27))</f>
        <v>-1</v>
      </c>
      <c r="J25" s="324" t="s">
        <v>242</v>
      </c>
      <c r="K25" s="315"/>
      <c r="M25" s="316"/>
      <c r="N25" s="315"/>
      <c r="O25" s="315"/>
      <c r="P25" s="315"/>
      <c r="Q25" s="319"/>
      <c r="R25" s="315"/>
      <c r="S25" s="315"/>
    </row>
    <row r="26" spans="1:19" x14ac:dyDescent="0.25">
      <c r="A26" s="332" t="s">
        <v>248</v>
      </c>
      <c r="B26" s="335">
        <f>+B11+B21+B24</f>
        <v>0</v>
      </c>
      <c r="C26" s="335">
        <f t="shared" ref="C26:H26" si="3">+C11+C21+C24</f>
        <v>0</v>
      </c>
      <c r="D26" s="335">
        <f t="shared" si="3"/>
        <v>174960</v>
      </c>
      <c r="E26" s="335">
        <f t="shared" si="3"/>
        <v>0</v>
      </c>
      <c r="F26" s="335">
        <f t="shared" si="3"/>
        <v>0</v>
      </c>
      <c r="G26" s="335">
        <f t="shared" si="3"/>
        <v>0</v>
      </c>
      <c r="H26" s="335">
        <f t="shared" si="3"/>
        <v>0</v>
      </c>
      <c r="I26" s="326" t="str">
        <f>IF(ISERROR((+(G26-F26)/F26)),"",(+(G26-F26)/F26))</f>
        <v/>
      </c>
      <c r="J26" s="324" t="s">
        <v>244</v>
      </c>
      <c r="K26" s="315"/>
      <c r="M26" s="316"/>
      <c r="N26" s="315"/>
      <c r="O26" s="315"/>
      <c r="P26" s="315"/>
      <c r="Q26" s="319"/>
      <c r="R26" s="315"/>
      <c r="S26" s="315"/>
    </row>
    <row r="27" spans="1:19" x14ac:dyDescent="0.25">
      <c r="A27" s="330" t="s">
        <v>245</v>
      </c>
      <c r="B27" s="324"/>
      <c r="C27" s="326" t="str">
        <f>IF(ISERROR((+(C26-B26)/B26)),"",(+(C26-B26)/B26))</f>
        <v/>
      </c>
      <c r="D27" s="326" t="str">
        <f>IF(ISERROR((+(D26-C26)/C26)),"",(+(D26-C26)/C26))</f>
        <v/>
      </c>
      <c r="E27" s="326">
        <f>IF(ISERROR((+(E26-D26)/D26)),"",(+(E26-D26)/D26))</f>
        <v>-1</v>
      </c>
      <c r="F27" s="326">
        <f>IF(ISERROR((+(F26-D26)/D26)),"",(+(F26-D26)/D26))</f>
        <v>-1</v>
      </c>
      <c r="G27" s="326"/>
      <c r="I27" s="326">
        <f>IF(ISERROR((+(G26-D26)/D26)),"",(+(G26-D26)/D26))</f>
        <v>-1</v>
      </c>
      <c r="J27" s="324" t="str">
        <f>"Broker Compared to "&amp;'IE Data Entry'!$B$4</f>
        <v>Broker Compared to 2017</v>
      </c>
      <c r="K27" s="315"/>
      <c r="L27" s="326"/>
      <c r="M27" s="315"/>
      <c r="N27" s="315"/>
      <c r="O27" s="315"/>
      <c r="P27" s="315"/>
      <c r="Q27" s="319"/>
      <c r="R27" s="315"/>
      <c r="S27" s="315"/>
    </row>
    <row r="28" spans="1:19" ht="9.9499999999999993" customHeight="1" x14ac:dyDescent="0.25">
      <c r="A28" s="320"/>
      <c r="B28" s="291"/>
      <c r="C28" s="291"/>
      <c r="D28" s="291"/>
      <c r="E28" s="291"/>
      <c r="F28" s="291"/>
      <c r="G28" s="315"/>
      <c r="H28" s="326"/>
      <c r="I28" s="336"/>
      <c r="J28" s="316"/>
      <c r="K28" s="316"/>
      <c r="L28" s="316"/>
      <c r="M28" s="316"/>
      <c r="N28" s="316"/>
      <c r="O28" s="316"/>
      <c r="P28" s="316"/>
      <c r="Q28" s="317"/>
      <c r="R28" s="315"/>
      <c r="S28" s="315"/>
    </row>
    <row r="29" spans="1:19" x14ac:dyDescent="0.25">
      <c r="A29" s="562" t="s">
        <v>249</v>
      </c>
      <c r="B29" s="562"/>
      <c r="C29" s="562"/>
      <c r="D29" s="562"/>
      <c r="E29" s="562"/>
      <c r="F29" s="562"/>
      <c r="G29" s="562"/>
      <c r="H29" s="315"/>
      <c r="I29" s="316"/>
      <c r="J29" s="316"/>
      <c r="K29" s="316"/>
      <c r="L29" s="316"/>
      <c r="M29" s="316"/>
      <c r="N29" s="316"/>
      <c r="O29" s="316"/>
      <c r="P29" s="316"/>
      <c r="Q29" s="315"/>
      <c r="R29" s="315"/>
      <c r="S29" s="315"/>
    </row>
    <row r="30" spans="1:19" ht="15" customHeight="1" x14ac:dyDescent="0.25">
      <c r="A30" s="299"/>
      <c r="B30" s="300"/>
      <c r="C30" s="300"/>
      <c r="D30" s="300"/>
      <c r="E30" s="300"/>
      <c r="H30" s="300"/>
      <c r="I30" s="337"/>
      <c r="J30" s="337"/>
      <c r="K30" s="337"/>
      <c r="L30" s="318"/>
      <c r="M30" s="337"/>
      <c r="N30" s="337"/>
      <c r="O30" s="337"/>
      <c r="P30" s="337"/>
    </row>
    <row r="31" spans="1:19" ht="15.75" thickBot="1" x14ac:dyDescent="0.3">
      <c r="A31" s="299" t="s">
        <v>250</v>
      </c>
      <c r="B31" s="301">
        <f>+'IE Data Entry'!C29</f>
        <v>2015</v>
      </c>
      <c r="C31" s="301">
        <f>+'IE Data Entry'!D29</f>
        <v>2016</v>
      </c>
      <c r="D31" s="301">
        <f>+'IE Data Entry'!E29</f>
        <v>2017</v>
      </c>
      <c r="E31" s="301" t="str">
        <f>+'IE Data Entry'!F29</f>
        <v>Trailing 12</v>
      </c>
      <c r="F31" s="338" t="str">
        <f>Current_Year&amp;" Annualized"</f>
        <v>2018 Annualized</v>
      </c>
      <c r="G31" s="338" t="s">
        <v>237</v>
      </c>
      <c r="H31" s="301" t="s">
        <v>251</v>
      </c>
      <c r="I31" s="337"/>
      <c r="J31" s="337"/>
      <c r="K31" s="337"/>
      <c r="L31" s="318"/>
      <c r="M31" s="337"/>
      <c r="N31" s="337"/>
      <c r="O31" s="337"/>
      <c r="P31" s="337"/>
      <c r="Q31" s="317" t="s">
        <v>252</v>
      </c>
    </row>
    <row r="32" spans="1:19" x14ac:dyDescent="0.25">
      <c r="A32" s="339" t="s">
        <v>253</v>
      </c>
      <c r="B32" s="340">
        <f>SUMIF('IE Data Entry'!$B$30:$B$100,'IE SUMMARY'!$Q32,'IE Data Entry'!C$30:C$100)</f>
        <v>0</v>
      </c>
      <c r="C32" s="340">
        <f>SUMIF('IE Data Entry'!$B$30:$B$100,'IE SUMMARY'!$Q32,'IE Data Entry'!D$30:D$100)</f>
        <v>0</v>
      </c>
      <c r="D32" s="340">
        <f>SUMIF('IE Data Entry'!$B$30:$B$100,'IE SUMMARY'!$Q32,'IE Data Entry'!E$30:E$100)</f>
        <v>34726</v>
      </c>
      <c r="E32" s="340">
        <f>SUMIF('IE Data Entry'!$B$30:$B$100,'IE SUMMARY'!$Q32,'IE Data Entry'!F$30:F$100)</f>
        <v>0</v>
      </c>
      <c r="F32" s="340">
        <f>SUMIF('IE Data Entry'!$B$30:$B$100,'IE SUMMARY'!$Q32,'IE Data Entry'!H$30:H$100)</f>
        <v>1000</v>
      </c>
      <c r="G32" s="340">
        <f>SUMIF('IE Data Entry'!$B$30:$B$100,'IE SUMMARY'!$Q32,'IE Data Entry'!I$30:I$100)</f>
        <v>2000</v>
      </c>
      <c r="H32" s="341"/>
      <c r="I32" s="342"/>
      <c r="J32" s="342"/>
      <c r="K32" s="342"/>
      <c r="L32" s="318"/>
      <c r="M32" s="342"/>
      <c r="N32" s="342"/>
      <c r="O32" s="342"/>
      <c r="P32" s="342"/>
      <c r="Q32" s="319">
        <v>5701</v>
      </c>
    </row>
    <row r="33" spans="1:17" x14ac:dyDescent="0.25">
      <c r="A33" s="339" t="s">
        <v>148</v>
      </c>
      <c r="B33" s="343">
        <f>SUMIF('IE Data Entry'!$B$30:$B$100,'IE SUMMARY'!$Q33,'IE Data Entry'!C$30:C$100)</f>
        <v>0</v>
      </c>
      <c r="C33" s="343">
        <f>SUMIF('IE Data Entry'!$B$30:$B$100,'IE SUMMARY'!$Q33,'IE Data Entry'!D$30:D$100)</f>
        <v>0</v>
      </c>
      <c r="D33" s="343">
        <f>SUMIF('IE Data Entry'!$B$30:$B$100,'IE SUMMARY'!$Q33,'IE Data Entry'!E$30:E$100)</f>
        <v>654</v>
      </c>
      <c r="E33" s="343">
        <f>SUMIF('IE Data Entry'!$B$30:$B$100,'IE SUMMARY'!$Q33,'IE Data Entry'!F$30:F$100)</f>
        <v>0</v>
      </c>
      <c r="F33" s="343">
        <f>SUMIF('IE Data Entry'!$B$30:$B$100,'IE SUMMARY'!$Q33,'IE Data Entry'!H$30:H$100)</f>
        <v>1000</v>
      </c>
      <c r="G33" s="343">
        <f>SUMIF('IE Data Entry'!$B$30:$B$100,'IE SUMMARY'!$Q33,'IE Data Entry'!I$30:I$100)</f>
        <v>2000</v>
      </c>
      <c r="H33" s="344"/>
      <c r="I33" s="342"/>
      <c r="J33" s="342"/>
      <c r="K33" s="342"/>
      <c r="L33" s="318"/>
      <c r="M33" s="342"/>
      <c r="N33" s="342"/>
      <c r="O33" s="342"/>
      <c r="P33" s="342"/>
      <c r="Q33" s="319">
        <v>5305</v>
      </c>
    </row>
    <row r="34" spans="1:17" x14ac:dyDescent="0.25">
      <c r="A34" s="339" t="s">
        <v>147</v>
      </c>
      <c r="B34" s="343">
        <f>SUMIF('IE Data Entry'!$B$30:$B$100,'IE SUMMARY'!$Q34,'IE Data Entry'!C$30:C$100)</f>
        <v>0</v>
      </c>
      <c r="C34" s="343">
        <f>SUMIF('IE Data Entry'!$B$30:$B$100,'IE SUMMARY'!$Q34,'IE Data Entry'!D$30:D$100)</f>
        <v>0</v>
      </c>
      <c r="D34" s="343">
        <f>SUMIF('IE Data Entry'!$B$30:$B$100,'IE SUMMARY'!$Q34,'IE Data Entry'!E$30:E$100)</f>
        <v>0</v>
      </c>
      <c r="E34" s="343">
        <f>SUMIF('IE Data Entry'!$B$30:$B$100,'IE SUMMARY'!$Q34,'IE Data Entry'!F$30:F$100)</f>
        <v>0</v>
      </c>
      <c r="F34" s="343">
        <f>SUMIF('IE Data Entry'!$B$30:$B$100,'IE SUMMARY'!$Q34,'IE Data Entry'!H$30:H$100)</f>
        <v>1000</v>
      </c>
      <c r="G34" s="343">
        <f>SUMIF('IE Data Entry'!$B$30:$B$100,'IE SUMMARY'!$Q34,'IE Data Entry'!I$30:I$100)</f>
        <v>2000</v>
      </c>
      <c r="H34" s="344"/>
      <c r="I34" s="342"/>
      <c r="J34" s="342"/>
      <c r="K34" s="342"/>
      <c r="L34" s="318"/>
      <c r="M34" s="342"/>
      <c r="N34" s="342"/>
      <c r="O34" s="342"/>
      <c r="P34" s="342"/>
      <c r="Q34" s="319">
        <v>5306</v>
      </c>
    </row>
    <row r="35" spans="1:17" x14ac:dyDescent="0.25">
      <c r="A35" s="339" t="s">
        <v>12</v>
      </c>
      <c r="B35" s="343">
        <f>SUMIF('IE Data Entry'!$B$30:$B$100,'IE SUMMARY'!$Q35,'IE Data Entry'!C$30:C$100)</f>
        <v>0</v>
      </c>
      <c r="C35" s="343">
        <f>SUMIF('IE Data Entry'!$B$30:$B$100,'IE SUMMARY'!$Q35,'IE Data Entry'!D$30:D$100)</f>
        <v>0</v>
      </c>
      <c r="D35" s="343">
        <f>SUMIF('IE Data Entry'!$B$30:$B$100,'IE SUMMARY'!$Q35,'IE Data Entry'!E$30:E$100)</f>
        <v>3089</v>
      </c>
      <c r="E35" s="343">
        <f>SUMIF('IE Data Entry'!$B$30:$B$100,'IE SUMMARY'!$Q35,'IE Data Entry'!F$30:F$100)</f>
        <v>0</v>
      </c>
      <c r="F35" s="343">
        <f>SUMIF('IE Data Entry'!$B$30:$B$100,'IE SUMMARY'!$Q35,'IE Data Entry'!H$30:H$100)</f>
        <v>1000</v>
      </c>
      <c r="G35" s="343">
        <f>SUMIF('IE Data Entry'!$B$30:$B$100,'IE SUMMARY'!$Q35,'IE Data Entry'!I$30:I$100)</f>
        <v>2000</v>
      </c>
      <c r="H35" s="344"/>
      <c r="I35" s="342"/>
      <c r="J35" s="342"/>
      <c r="K35" s="342"/>
      <c r="L35" s="318"/>
      <c r="M35" s="342"/>
      <c r="N35" s="342"/>
      <c r="O35" s="342"/>
      <c r="P35" s="342"/>
      <c r="Q35" s="319">
        <v>5404</v>
      </c>
    </row>
    <row r="36" spans="1:17" x14ac:dyDescent="0.25">
      <c r="A36" s="339" t="s">
        <v>254</v>
      </c>
      <c r="B36" s="343">
        <f>SUMIF('IE Data Entry'!$B$30:$B$100,'IE SUMMARY'!$Q36,'IE Data Entry'!C$30:C$100)</f>
        <v>0</v>
      </c>
      <c r="C36" s="343">
        <f>SUMIF('IE Data Entry'!$B$30:$B$100,'IE SUMMARY'!$Q36,'IE Data Entry'!D$30:D$100)</f>
        <v>0</v>
      </c>
      <c r="D36" s="343">
        <f>SUMIF('IE Data Entry'!$B$30:$B$100,'IE SUMMARY'!$Q36,'IE Data Entry'!E$30:E$100)</f>
        <v>926</v>
      </c>
      <c r="E36" s="343">
        <f>SUMIF('IE Data Entry'!$B$30:$B$100,'IE SUMMARY'!$Q36,'IE Data Entry'!F$30:F$100)</f>
        <v>0</v>
      </c>
      <c r="F36" s="343">
        <f>SUMIF('IE Data Entry'!$B$30:$B$100,'IE SUMMARY'!$Q36,'IE Data Entry'!H$30:H$100)</f>
        <v>1000</v>
      </c>
      <c r="G36" s="343">
        <f>SUMIF('IE Data Entry'!$B$30:$B$100,'IE SUMMARY'!$Q36,'IE Data Entry'!I$30:I$100)</f>
        <v>2000</v>
      </c>
      <c r="H36" s="344"/>
      <c r="I36" s="342"/>
      <c r="J36" s="342"/>
      <c r="K36" s="342"/>
      <c r="L36" s="318"/>
      <c r="M36" s="342"/>
      <c r="N36" s="342"/>
      <c r="O36" s="342"/>
      <c r="P36" s="342"/>
      <c r="Q36" s="319">
        <v>5401</v>
      </c>
    </row>
    <row r="37" spans="1:17" x14ac:dyDescent="0.25">
      <c r="A37" s="339" t="s">
        <v>10</v>
      </c>
      <c r="B37" s="343">
        <f>SUMIF('IE Data Entry'!$B$30:$B$100,'IE SUMMARY'!$Q37,'IE Data Entry'!C$30:C$100)</f>
        <v>0</v>
      </c>
      <c r="C37" s="343">
        <f>SUMIF('IE Data Entry'!$B$30:$B$100,'IE SUMMARY'!$Q37,'IE Data Entry'!D$30:D$100)</f>
        <v>0</v>
      </c>
      <c r="D37" s="343">
        <f>SUMIF('IE Data Entry'!$B$30:$B$100,'IE SUMMARY'!$Q37,'IE Data Entry'!E$30:E$100)</f>
        <v>0</v>
      </c>
      <c r="E37" s="343">
        <f>SUMIF('IE Data Entry'!$B$30:$B$100,'IE SUMMARY'!$Q37,'IE Data Entry'!F$30:F$100)</f>
        <v>0</v>
      </c>
      <c r="F37" s="343">
        <f>SUMIF('IE Data Entry'!$B$30:$B$100,'IE SUMMARY'!$Q37,'IE Data Entry'!H$30:H$100)</f>
        <v>1000</v>
      </c>
      <c r="G37" s="343">
        <f>SUMIF('IE Data Entry'!$B$30:$B$100,'IE SUMMARY'!$Q37,'IE Data Entry'!I$30:I$100)</f>
        <v>2000</v>
      </c>
      <c r="H37" s="344"/>
      <c r="I37" s="342"/>
      <c r="J37" s="342"/>
      <c r="K37" s="342"/>
      <c r="L37" s="318"/>
      <c r="M37" s="342"/>
      <c r="N37" s="342"/>
      <c r="O37" s="342"/>
      <c r="P37" s="342"/>
      <c r="Q37" s="319">
        <v>5405</v>
      </c>
    </row>
    <row r="38" spans="1:17" x14ac:dyDescent="0.25">
      <c r="A38" s="339" t="s">
        <v>145</v>
      </c>
      <c r="B38" s="343">
        <f>SUMIF('IE Data Entry'!$B$30:$B$100,'IE SUMMARY'!$Q38,'IE Data Entry'!C$30:C$100)</f>
        <v>0</v>
      </c>
      <c r="C38" s="343">
        <f>SUMIF('IE Data Entry'!$B$30:$B$100,'IE SUMMARY'!$Q38,'IE Data Entry'!D$30:D$100)</f>
        <v>0</v>
      </c>
      <c r="D38" s="343">
        <f>SUMIF('IE Data Entry'!$B$30:$B$100,'IE SUMMARY'!$Q38,'IE Data Entry'!E$30:E$100)</f>
        <v>0</v>
      </c>
      <c r="E38" s="343">
        <f>SUMIF('IE Data Entry'!$B$30:$B$100,'IE SUMMARY'!$Q38,'IE Data Entry'!F$30:F$100)</f>
        <v>0</v>
      </c>
      <c r="F38" s="343">
        <f>SUMIF('IE Data Entry'!$B$30:$B$100,'IE SUMMARY'!$Q38,'IE Data Entry'!H$30:H$100)</f>
        <v>1000</v>
      </c>
      <c r="G38" s="343">
        <f>SUMIF('IE Data Entry'!$B$30:$B$100,'IE SUMMARY'!$Q38,'IE Data Entry'!I$30:I$100)</f>
        <v>2000</v>
      </c>
      <c r="H38" s="344"/>
      <c r="I38" s="342"/>
      <c r="J38" s="342"/>
      <c r="K38" s="342"/>
      <c r="L38" s="318"/>
      <c r="M38" s="342"/>
      <c r="N38" s="342"/>
      <c r="O38" s="342"/>
      <c r="P38" s="342"/>
      <c r="Q38" s="319">
        <v>5403</v>
      </c>
    </row>
    <row r="39" spans="1:17" x14ac:dyDescent="0.25">
      <c r="A39" s="339" t="s">
        <v>144</v>
      </c>
      <c r="B39" s="343">
        <f>SUMIF('IE Data Entry'!$B$30:$B$100,'IE SUMMARY'!$Q39,'IE Data Entry'!C$30:C$100)</f>
        <v>0</v>
      </c>
      <c r="C39" s="343">
        <f>SUMIF('IE Data Entry'!$B$30:$B$100,'IE SUMMARY'!$Q39,'IE Data Entry'!D$30:D$100)</f>
        <v>0</v>
      </c>
      <c r="D39" s="343">
        <f>SUMIF('IE Data Entry'!$B$30:$B$100,'IE SUMMARY'!$Q39,'IE Data Entry'!E$30:E$100)</f>
        <v>192412</v>
      </c>
      <c r="E39" s="343">
        <f>SUMIF('IE Data Entry'!$B$30:$B$100,'IE SUMMARY'!$Q39,'IE Data Entry'!F$30:F$100)</f>
        <v>0</v>
      </c>
      <c r="F39" s="343">
        <f>SUMIF('IE Data Entry'!$B$30:$B$100,'IE SUMMARY'!$Q39,'IE Data Entry'!H$30:H$100)</f>
        <v>1000</v>
      </c>
      <c r="G39" s="343">
        <f>SUMIF('IE Data Entry'!$B$30:$B$100,'IE SUMMARY'!$Q39,'IE Data Entry'!I$30:I$100)</f>
        <v>2000</v>
      </c>
      <c r="H39" s="344"/>
      <c r="I39" s="342"/>
      <c r="J39" s="342"/>
      <c r="K39" s="342"/>
      <c r="L39" s="318"/>
      <c r="M39" s="342"/>
      <c r="N39" s="342"/>
      <c r="O39" s="342"/>
      <c r="P39" s="342"/>
      <c r="Q39" s="319">
        <v>5402</v>
      </c>
    </row>
    <row r="40" spans="1:17" x14ac:dyDescent="0.25">
      <c r="A40" s="339" t="s">
        <v>255</v>
      </c>
      <c r="B40" s="343">
        <f>SUMIF('IE Data Entry'!$B$30:$B$100,'IE SUMMARY'!$Q40,'IE Data Entry'!C$30:C$100)</f>
        <v>0</v>
      </c>
      <c r="C40" s="343">
        <f>SUMIF('IE Data Entry'!$B$30:$B$100,'IE SUMMARY'!$Q40,'IE Data Entry'!D$30:D$100)</f>
        <v>0</v>
      </c>
      <c r="D40" s="343">
        <f>SUMIF('IE Data Entry'!$B$30:$B$100,'IE SUMMARY'!$Q40,'IE Data Entry'!E$30:E$100)</f>
        <v>0</v>
      </c>
      <c r="E40" s="343">
        <f>SUMIF('IE Data Entry'!$B$30:$B$100,'IE SUMMARY'!$Q40,'IE Data Entry'!F$30:F$100)</f>
        <v>0</v>
      </c>
      <c r="F40" s="343">
        <f>SUMIF('IE Data Entry'!$B$30:$B$100,'IE SUMMARY'!$Q40,'IE Data Entry'!H$30:H$100)</f>
        <v>1000</v>
      </c>
      <c r="G40" s="343">
        <f>SUMIF('IE Data Entry'!$B$30:$B$100,'IE SUMMARY'!$Q40,'IE Data Entry'!I$30:I$100)</f>
        <v>2000</v>
      </c>
      <c r="H40" s="344"/>
      <c r="I40" s="342"/>
      <c r="J40" s="342"/>
      <c r="K40" s="342"/>
      <c r="L40" s="318"/>
      <c r="M40" s="342"/>
      <c r="N40" s="342"/>
      <c r="O40" s="342"/>
      <c r="P40" s="342"/>
      <c r="Q40" s="319">
        <v>5603</v>
      </c>
    </row>
    <row r="41" spans="1:17" x14ac:dyDescent="0.25">
      <c r="A41" s="339" t="s">
        <v>156</v>
      </c>
      <c r="B41" s="343">
        <f>SUMIF('IE Data Entry'!$B$30:$B$100,'IE SUMMARY'!$Q41,'IE Data Entry'!C$30:C$100)</f>
        <v>0</v>
      </c>
      <c r="C41" s="343">
        <f>SUMIF('IE Data Entry'!$B$30:$B$100,'IE SUMMARY'!$Q41,'IE Data Entry'!D$30:D$100)</f>
        <v>0</v>
      </c>
      <c r="D41" s="343">
        <f>SUMIF('IE Data Entry'!$B$30:$B$100,'IE SUMMARY'!$Q41,'IE Data Entry'!E$30:E$100)</f>
        <v>0</v>
      </c>
      <c r="E41" s="343">
        <f>SUMIF('IE Data Entry'!$B$30:$B$100,'IE SUMMARY'!$Q41,'IE Data Entry'!F$30:F$100)</f>
        <v>0</v>
      </c>
      <c r="F41" s="343">
        <f>SUMIF('IE Data Entry'!$B$30:$B$100,'IE SUMMARY'!$Q41,'IE Data Entry'!H$30:H$100)</f>
        <v>1000</v>
      </c>
      <c r="G41" s="343">
        <f>SUMIF('IE Data Entry'!$B$30:$B$100,'IE SUMMARY'!$Q41,'IE Data Entry'!I$30:I$100)</f>
        <v>2000</v>
      </c>
      <c r="H41" s="344"/>
      <c r="I41" s="342"/>
      <c r="J41" s="342"/>
      <c r="K41" s="342"/>
      <c r="L41" s="318"/>
      <c r="M41" s="342"/>
      <c r="N41" s="342"/>
      <c r="O41" s="342"/>
      <c r="P41" s="342"/>
      <c r="Q41" s="319">
        <v>5020</v>
      </c>
    </row>
    <row r="42" spans="1:17" x14ac:dyDescent="0.25">
      <c r="A42" s="339" t="s">
        <v>157</v>
      </c>
      <c r="B42" s="343">
        <f>SUMIF('IE Data Entry'!$B$30:$B$100,'IE SUMMARY'!$Q42,'IE Data Entry'!C$30:C$100)</f>
        <v>0</v>
      </c>
      <c r="C42" s="343">
        <f>SUMIF('IE Data Entry'!$B$30:$B$100,'IE SUMMARY'!$Q42,'IE Data Entry'!D$30:D$100)</f>
        <v>0</v>
      </c>
      <c r="D42" s="343">
        <f>SUMIF('IE Data Entry'!$B$30:$B$100,'IE SUMMARY'!$Q42,'IE Data Entry'!E$30:E$100)</f>
        <v>13080</v>
      </c>
      <c r="E42" s="343">
        <f>SUMIF('IE Data Entry'!$B$30:$B$100,'IE SUMMARY'!$Q42,'IE Data Entry'!F$30:F$100)</f>
        <v>0</v>
      </c>
      <c r="F42" s="343">
        <f>SUMIF('IE Data Entry'!$B$30:$B$100,'IE SUMMARY'!$Q42,'IE Data Entry'!H$30:H$100)</f>
        <v>1000</v>
      </c>
      <c r="G42" s="343">
        <f>SUMIF('IE Data Entry'!$B$30:$B$100,'IE SUMMARY'!$Q42,'IE Data Entry'!I$30:I$100)</f>
        <v>2000</v>
      </c>
      <c r="H42" s="344"/>
      <c r="I42" s="342"/>
      <c r="J42" s="342"/>
      <c r="K42" s="342"/>
      <c r="L42" s="318"/>
      <c r="M42" s="342"/>
      <c r="N42" s="342"/>
      <c r="O42" s="342"/>
      <c r="P42" s="342"/>
      <c r="Q42" s="319">
        <v>5104</v>
      </c>
    </row>
    <row r="43" spans="1:17" x14ac:dyDescent="0.25">
      <c r="A43" s="339" t="s">
        <v>146</v>
      </c>
      <c r="B43" s="343">
        <f>SUMIF('IE Data Entry'!$B$30:$B$100,'IE SUMMARY'!$Q43,'IE Data Entry'!C$30:C$100)</f>
        <v>0</v>
      </c>
      <c r="C43" s="343">
        <f>SUMIF('IE Data Entry'!$B$30:$B$100,'IE SUMMARY'!$Q43,'IE Data Entry'!D$30:D$100)</f>
        <v>0</v>
      </c>
      <c r="D43" s="343">
        <f>SUMIF('IE Data Entry'!$B$30:$B$100,'IE SUMMARY'!$Q43,'IE Data Entry'!E$30:E$100)</f>
        <v>365</v>
      </c>
      <c r="E43" s="343">
        <f>SUMIF('IE Data Entry'!$B$30:$B$100,'IE SUMMARY'!$Q43,'IE Data Entry'!F$30:F$100)</f>
        <v>0</v>
      </c>
      <c r="F43" s="343">
        <f>SUMIF('IE Data Entry'!$B$30:$B$100,'IE SUMMARY'!$Q43,'IE Data Entry'!H$30:H$100)</f>
        <v>1000</v>
      </c>
      <c r="G43" s="343">
        <f>SUMIF('IE Data Entry'!$B$30:$B$100,'IE SUMMARY'!$Q43,'IE Data Entry'!I$30:I$100)</f>
        <v>2000</v>
      </c>
      <c r="H43" s="344"/>
      <c r="I43" s="342"/>
      <c r="J43" s="342"/>
      <c r="K43" s="342"/>
      <c r="L43" s="318"/>
      <c r="M43" s="342"/>
      <c r="N43" s="342"/>
      <c r="O43" s="342"/>
      <c r="P43" s="342"/>
      <c r="Q43" s="319">
        <v>5109</v>
      </c>
    </row>
    <row r="44" spans="1:17" x14ac:dyDescent="0.25">
      <c r="A44" s="339" t="s">
        <v>155</v>
      </c>
      <c r="B44" s="343">
        <f>SUMIF('IE Data Entry'!$B$30:$B$100,'IE SUMMARY'!$Q44,'IE Data Entry'!C$30:C$100)</f>
        <v>0</v>
      </c>
      <c r="C44" s="343">
        <f>SUMIF('IE Data Entry'!$B$30:$B$100,'IE SUMMARY'!$Q44,'IE Data Entry'!D$30:D$100)</f>
        <v>0</v>
      </c>
      <c r="D44" s="343">
        <f>SUMIF('IE Data Entry'!$B$30:$B$100,'IE SUMMARY'!$Q44,'IE Data Entry'!E$30:E$100)</f>
        <v>0</v>
      </c>
      <c r="E44" s="343">
        <f>SUMIF('IE Data Entry'!$B$30:$B$100,'IE SUMMARY'!$Q44,'IE Data Entry'!F$30:F$100)</f>
        <v>0</v>
      </c>
      <c r="F44" s="343">
        <f>SUMIF('IE Data Entry'!$B$30:$B$100,'IE SUMMARY'!$Q44,'IE Data Entry'!H$30:H$100)</f>
        <v>1000</v>
      </c>
      <c r="G44" s="343">
        <f>SUMIF('IE Data Entry'!$B$30:$B$100,'IE SUMMARY'!$Q44,'IE Data Entry'!I$30:I$100)</f>
        <v>2000</v>
      </c>
      <c r="H44" s="344"/>
      <c r="I44" s="342"/>
      <c r="J44" s="342"/>
      <c r="K44" s="342"/>
      <c r="L44" s="318"/>
      <c r="M44" s="342"/>
      <c r="N44" s="342"/>
      <c r="O44" s="342"/>
      <c r="P44" s="342"/>
      <c r="Q44" s="319">
        <v>5200</v>
      </c>
    </row>
    <row r="45" spans="1:17" x14ac:dyDescent="0.25">
      <c r="A45" s="345" t="s">
        <v>256</v>
      </c>
      <c r="B45" s="343">
        <f>SUMIF('IE Data Entry'!$B$30:$B$100,'IE SUMMARY'!$Q45,'IE Data Entry'!C$30:C$100)</f>
        <v>0</v>
      </c>
      <c r="C45" s="343">
        <f>SUMIF('IE Data Entry'!$B$30:$B$100,'IE SUMMARY'!$Q45,'IE Data Entry'!D$30:D$100)</f>
        <v>0</v>
      </c>
      <c r="D45" s="343">
        <f>SUMIF('IE Data Entry'!$B$30:$B$100,'IE SUMMARY'!$Q45,'IE Data Entry'!E$30:E$100)</f>
        <v>28516</v>
      </c>
      <c r="E45" s="343">
        <f>SUMIF('IE Data Entry'!$B$30:$B$100,'IE SUMMARY'!$Q45,'IE Data Entry'!F$30:F$100)</f>
        <v>0</v>
      </c>
      <c r="F45" s="343">
        <f>SUMIF('IE Data Entry'!$B$30:$B$100,'IE SUMMARY'!$Q45,'IE Data Entry'!H$30:H$100)</f>
        <v>1000</v>
      </c>
      <c r="G45" s="343">
        <f>SUMIF('IE Data Entry'!$B$30:$B$100,'IE SUMMARY'!$Q45,'IE Data Entry'!I$30:I$100)</f>
        <v>2000</v>
      </c>
      <c r="H45" s="344"/>
      <c r="I45" s="342"/>
      <c r="J45" s="342"/>
      <c r="K45" s="342"/>
      <c r="L45" s="318"/>
      <c r="M45" s="342"/>
      <c r="N45" s="342"/>
      <c r="O45" s="342"/>
      <c r="P45" s="342"/>
      <c r="Q45" s="319">
        <v>5301</v>
      </c>
    </row>
    <row r="46" spans="1:17" x14ac:dyDescent="0.25">
      <c r="A46" s="339" t="s">
        <v>13</v>
      </c>
      <c r="B46" s="343">
        <f>SUMIF('IE Data Entry'!$B$30:$B$100,'IE SUMMARY'!$Q46,'IE Data Entry'!C$30:C$100)</f>
        <v>0</v>
      </c>
      <c r="C46" s="343">
        <f>SUMIF('IE Data Entry'!$B$30:$B$100,'IE SUMMARY'!$Q46,'IE Data Entry'!D$30:D$100)</f>
        <v>0</v>
      </c>
      <c r="D46" s="343">
        <f>SUMIF('IE Data Entry'!$B$30:$B$100,'IE SUMMARY'!$Q46,'IE Data Entry'!E$30:E$100)</f>
        <v>8368</v>
      </c>
      <c r="E46" s="343">
        <f>SUMIF('IE Data Entry'!$B$30:$B$100,'IE SUMMARY'!$Q46,'IE Data Entry'!F$30:F$100)</f>
        <v>0</v>
      </c>
      <c r="F46" s="343">
        <f>SUMIF('IE Data Entry'!$B$30:$B$100,'IE SUMMARY'!$Q46,'IE Data Entry'!H$30:H$100)</f>
        <v>1000</v>
      </c>
      <c r="G46" s="343">
        <f>SUMIF('IE Data Entry'!$B$30:$B$100,'IE SUMMARY'!$Q46,'IE Data Entry'!I$30:I$100)</f>
        <v>2000</v>
      </c>
      <c r="H46" s="344"/>
      <c r="I46" s="342"/>
      <c r="J46" s="342"/>
      <c r="K46" s="342"/>
      <c r="L46" s="318"/>
      <c r="M46" s="342"/>
      <c r="N46" s="342"/>
      <c r="O46" s="342"/>
      <c r="P46" s="342"/>
      <c r="Q46" s="319">
        <v>5053</v>
      </c>
    </row>
    <row r="47" spans="1:17" x14ac:dyDescent="0.25">
      <c r="A47" s="339" t="s">
        <v>257</v>
      </c>
      <c r="B47" s="343">
        <f>SUMIF('IE Data Entry'!$B$30:$B$100,'IE SUMMARY'!$Q47,'IE Data Entry'!C$30:C$100)</f>
        <v>0</v>
      </c>
      <c r="C47" s="343">
        <f>SUMIF('IE Data Entry'!$B$30:$B$100,'IE SUMMARY'!$Q47,'IE Data Entry'!D$30:D$100)</f>
        <v>0</v>
      </c>
      <c r="D47" s="343">
        <f>SUMIF('IE Data Entry'!$B$30:$B$100,'IE SUMMARY'!$Q47,'IE Data Entry'!E$30:E$100)</f>
        <v>0</v>
      </c>
      <c r="E47" s="343">
        <f>SUMIF('IE Data Entry'!$B$30:$B$100,'IE SUMMARY'!$Q47,'IE Data Entry'!F$30:F$100)</f>
        <v>0</v>
      </c>
      <c r="F47" s="343">
        <f>SUMIF('IE Data Entry'!$B$30:$B$100,'IE SUMMARY'!$Q47,'IE Data Entry'!H$30:H$100)</f>
        <v>1000</v>
      </c>
      <c r="G47" s="343">
        <f>SUMIF('IE Data Entry'!$B$30:$B$100,'IE SUMMARY'!$Q47,'IE Data Entry'!I$30:I$100)</f>
        <v>2000</v>
      </c>
      <c r="H47" s="344"/>
      <c r="I47" s="342"/>
      <c r="J47" s="342"/>
      <c r="K47" s="342"/>
      <c r="L47" s="318"/>
      <c r="M47" s="342"/>
      <c r="N47" s="342"/>
      <c r="O47" s="342"/>
      <c r="P47" s="342"/>
      <c r="Q47" s="319">
        <v>5604</v>
      </c>
    </row>
    <row r="48" spans="1:17" x14ac:dyDescent="0.25">
      <c r="A48" s="339" t="s">
        <v>3</v>
      </c>
      <c r="B48" s="343">
        <f>SUMIF('IE Data Entry'!$B$30:$B$100,'IE SUMMARY'!$Q48,'IE Data Entry'!C$30:C$100)</f>
        <v>0</v>
      </c>
      <c r="C48" s="343">
        <f>SUMIF('IE Data Entry'!$B$30:$B$100,'IE SUMMARY'!$Q48,'IE Data Entry'!D$30:D$100)</f>
        <v>0</v>
      </c>
      <c r="D48" s="343">
        <f>SUMIF('IE Data Entry'!$B$30:$B$100,'IE SUMMARY'!$Q48,'IE Data Entry'!E$30:E$100)</f>
        <v>0</v>
      </c>
      <c r="E48" s="343">
        <f>SUMIF('IE Data Entry'!$B$30:$B$100,'IE SUMMARY'!$Q48,'IE Data Entry'!F$30:F$100)</f>
        <v>0</v>
      </c>
      <c r="F48" s="343">
        <f>SUMIF('IE Data Entry'!$B$30:$B$100,'IE SUMMARY'!$Q48,'IE Data Entry'!H$30:H$100)</f>
        <v>1000</v>
      </c>
      <c r="G48" s="343">
        <f>SUMIF('IE Data Entry'!$B$30:$B$100,'IE SUMMARY'!$Q48,'IE Data Entry'!I$30:I$100)</f>
        <v>2000</v>
      </c>
      <c r="H48" s="344"/>
      <c r="I48" s="342"/>
      <c r="J48" s="342"/>
      <c r="K48" s="342"/>
      <c r="L48" s="318"/>
      <c r="M48" s="342"/>
      <c r="N48" s="342"/>
      <c r="O48" s="342"/>
      <c r="P48" s="342"/>
      <c r="Q48" s="319">
        <v>5062</v>
      </c>
    </row>
    <row r="49" spans="1:17" x14ac:dyDescent="0.25">
      <c r="A49" s="339" t="s">
        <v>129</v>
      </c>
      <c r="B49" s="343">
        <f>SUMIF('IE Data Entry'!$B$30:$B$100,'IE SUMMARY'!$Q49,'IE Data Entry'!C$30:C$100)</f>
        <v>0</v>
      </c>
      <c r="C49" s="343">
        <f>SUMIF('IE Data Entry'!$B$30:$B$100,'IE SUMMARY'!$Q49,'IE Data Entry'!D$30:D$100)</f>
        <v>0</v>
      </c>
      <c r="D49" s="343">
        <f>SUMIF('IE Data Entry'!$B$30:$B$100,'IE SUMMARY'!$Q49,'IE Data Entry'!E$30:E$100)</f>
        <v>0</v>
      </c>
      <c r="E49" s="343">
        <f>SUMIF('IE Data Entry'!$B$30:$B$100,'IE SUMMARY'!$Q49,'IE Data Entry'!F$30:F$100)</f>
        <v>0</v>
      </c>
      <c r="F49" s="343">
        <f>SUMIF('IE Data Entry'!$B$30:$B$100,'IE SUMMARY'!$Q49,'IE Data Entry'!H$30:H$100)</f>
        <v>1000</v>
      </c>
      <c r="G49" s="343">
        <f>SUMIF('IE Data Entry'!$B$30:$B$100,'IE SUMMARY'!$Q49,'IE Data Entry'!I$30:I$100)</f>
        <v>2000</v>
      </c>
      <c r="H49" s="344"/>
      <c r="I49" s="342"/>
      <c r="J49" s="342"/>
      <c r="K49" s="342"/>
      <c r="L49" s="318"/>
      <c r="M49" s="342"/>
      <c r="N49" s="342"/>
      <c r="O49" s="342"/>
      <c r="P49" s="342"/>
      <c r="Q49" s="319">
        <v>5302</v>
      </c>
    </row>
    <row r="50" spans="1:17" x14ac:dyDescent="0.25">
      <c r="A50" s="339" t="s">
        <v>6</v>
      </c>
      <c r="B50" s="343">
        <f>SUMIF('IE Data Entry'!$B$30:$B$100,'IE SUMMARY'!$Q50,'IE Data Entry'!C$30:C$100)</f>
        <v>0</v>
      </c>
      <c r="C50" s="343">
        <f>SUMIF('IE Data Entry'!$B$30:$B$100,'IE SUMMARY'!$Q50,'IE Data Entry'!D$30:D$100)</f>
        <v>0</v>
      </c>
      <c r="D50" s="343">
        <f>SUMIF('IE Data Entry'!$B$30:$B$100,'IE SUMMARY'!$Q50,'IE Data Entry'!E$30:E$100)</f>
        <v>0</v>
      </c>
      <c r="E50" s="343">
        <f>SUMIF('IE Data Entry'!$B$30:$B$100,'IE SUMMARY'!$Q50,'IE Data Entry'!F$30:F$100)</f>
        <v>0</v>
      </c>
      <c r="F50" s="343">
        <f>SUMIF('IE Data Entry'!$B$30:$B$100,'IE SUMMARY'!$Q50,'IE Data Entry'!H$30:H$100)</f>
        <v>1000</v>
      </c>
      <c r="G50" s="343">
        <f>SUMIF('IE Data Entry'!$B$30:$B$100,'IE SUMMARY'!$Q50,'IE Data Entry'!I$30:I$100)</f>
        <v>2000</v>
      </c>
      <c r="H50" s="344"/>
      <c r="I50" s="342"/>
      <c r="J50" s="342"/>
      <c r="K50" s="342"/>
      <c r="L50" s="318"/>
      <c r="M50" s="342"/>
      <c r="N50" s="342"/>
      <c r="O50" s="342"/>
      <c r="P50" s="342"/>
      <c r="Q50" s="319">
        <v>5001</v>
      </c>
    </row>
    <row r="51" spans="1:17" x14ac:dyDescent="0.25">
      <c r="A51" s="339" t="s">
        <v>143</v>
      </c>
      <c r="B51" s="343">
        <f>SUMIF('IE Data Entry'!$B$30:$B$100,'IE SUMMARY'!$Q51,'IE Data Entry'!C$30:C$100)</f>
        <v>0</v>
      </c>
      <c r="C51" s="343">
        <f>SUMIF('IE Data Entry'!$B$30:$B$100,'IE SUMMARY'!$Q51,'IE Data Entry'!D$30:D$100)</f>
        <v>0</v>
      </c>
      <c r="D51" s="343">
        <f>SUMIF('IE Data Entry'!$B$30:$B$100,'IE SUMMARY'!$Q51,'IE Data Entry'!E$30:E$100)</f>
        <v>0</v>
      </c>
      <c r="E51" s="343">
        <f>SUMIF('IE Data Entry'!$B$30:$B$100,'IE SUMMARY'!$Q51,'IE Data Entry'!F$30:F$100)</f>
        <v>0</v>
      </c>
      <c r="F51" s="343">
        <f>SUMIF('IE Data Entry'!$B$30:$B$100,'IE SUMMARY'!$Q51,'IE Data Entry'!H$30:H$100)</f>
        <v>1000</v>
      </c>
      <c r="G51" s="343">
        <f>SUMIF('IE Data Entry'!$B$30:$B$100,'IE SUMMARY'!$Q51,'IE Data Entry'!I$30:I$100)</f>
        <v>2000</v>
      </c>
      <c r="H51" s="344"/>
      <c r="I51" s="342"/>
      <c r="J51" s="342"/>
      <c r="K51" s="342"/>
      <c r="L51" s="318"/>
      <c r="M51" s="342"/>
      <c r="N51" s="342"/>
      <c r="O51" s="342"/>
      <c r="P51" s="342"/>
      <c r="Q51" s="319">
        <v>5061</v>
      </c>
    </row>
    <row r="52" spans="1:17" x14ac:dyDescent="0.25">
      <c r="A52" s="339" t="s">
        <v>2</v>
      </c>
      <c r="B52" s="343">
        <f>SUMIF('IE Data Entry'!$B$30:$B$100,'IE SUMMARY'!$Q52,'IE Data Entry'!C$30:C$100)</f>
        <v>0</v>
      </c>
      <c r="C52" s="343">
        <f>SUMIF('IE Data Entry'!$B$30:$B$100,'IE SUMMARY'!$Q52,'IE Data Entry'!D$30:D$100)</f>
        <v>0</v>
      </c>
      <c r="D52" s="343">
        <f>SUMIF('IE Data Entry'!$B$30:$B$100,'IE SUMMARY'!$Q52,'IE Data Entry'!E$30:E$100)</f>
        <v>0</v>
      </c>
      <c r="E52" s="343">
        <f>SUMIF('IE Data Entry'!$B$30:$B$100,'IE SUMMARY'!$Q52,'IE Data Entry'!F$30:F$100)</f>
        <v>0</v>
      </c>
      <c r="F52" s="343">
        <f>SUMIF('IE Data Entry'!$B$30:$B$100,'IE SUMMARY'!$Q52,'IE Data Entry'!H$30:H$100)</f>
        <v>1000</v>
      </c>
      <c r="G52" s="343">
        <f>SUMIF('IE Data Entry'!$B$30:$B$100,'IE SUMMARY'!$Q52,'IE Data Entry'!I$30:I$100)</f>
        <v>2000</v>
      </c>
      <c r="H52" s="344"/>
      <c r="I52" s="342"/>
      <c r="J52" s="342"/>
      <c r="K52" s="342"/>
      <c r="L52" s="318"/>
      <c r="M52" s="342"/>
      <c r="N52" s="342"/>
      <c r="O52" s="342"/>
      <c r="P52" s="342"/>
      <c r="Q52" s="319">
        <v>5304</v>
      </c>
    </row>
    <row r="53" spans="1:17" x14ac:dyDescent="0.25">
      <c r="A53" s="339" t="s">
        <v>9</v>
      </c>
      <c r="B53" s="343">
        <f>SUMIF('IE Data Entry'!$B$30:$B$100,'IE SUMMARY'!$Q53,'IE Data Entry'!C$30:C$100)</f>
        <v>0</v>
      </c>
      <c r="C53" s="343">
        <f>SUMIF('IE Data Entry'!$B$30:$B$100,'IE SUMMARY'!$Q53,'IE Data Entry'!D$30:D$100)</f>
        <v>0</v>
      </c>
      <c r="D53" s="343">
        <f>SUMIF('IE Data Entry'!$B$30:$B$100,'IE SUMMARY'!$Q53,'IE Data Entry'!E$30:E$100)</f>
        <v>105</v>
      </c>
      <c r="E53" s="343">
        <f>SUMIF('IE Data Entry'!$B$30:$B$100,'IE SUMMARY'!$Q53,'IE Data Entry'!F$30:F$100)</f>
        <v>0</v>
      </c>
      <c r="F53" s="343">
        <f>SUMIF('IE Data Entry'!$B$30:$B$100,'IE SUMMARY'!$Q53,'IE Data Entry'!H$30:H$100)</f>
        <v>1000</v>
      </c>
      <c r="G53" s="343">
        <f>SUMIF('IE Data Entry'!$B$30:$B$100,'IE SUMMARY'!$Q53,'IE Data Entry'!I$30:I$100)</f>
        <v>2000</v>
      </c>
      <c r="H53" s="344"/>
      <c r="I53" s="342"/>
      <c r="J53" s="342"/>
      <c r="K53" s="342"/>
      <c r="L53" s="318"/>
      <c r="M53" s="342"/>
      <c r="N53" s="342"/>
      <c r="O53" s="342"/>
      <c r="P53" s="342"/>
      <c r="Q53" s="319">
        <v>5064</v>
      </c>
    </row>
    <row r="54" spans="1:17" x14ac:dyDescent="0.25">
      <c r="A54" s="339" t="s">
        <v>128</v>
      </c>
      <c r="B54" s="343">
        <f>SUMIF('IE Data Entry'!$B$30:$B$100,'IE SUMMARY'!$Q54,'IE Data Entry'!C$30:C$100)</f>
        <v>0</v>
      </c>
      <c r="C54" s="343">
        <f>SUMIF('IE Data Entry'!$B$30:$B$100,'IE SUMMARY'!$Q54,'IE Data Entry'!D$30:D$100)</f>
        <v>0</v>
      </c>
      <c r="D54" s="343">
        <f>SUMIF('IE Data Entry'!$B$30:$B$100,'IE SUMMARY'!$Q54,'IE Data Entry'!E$30:E$100)</f>
        <v>0</v>
      </c>
      <c r="E54" s="343">
        <f>SUMIF('IE Data Entry'!$B$30:$B$100,'IE SUMMARY'!$Q54,'IE Data Entry'!F$30:F$100)</f>
        <v>0</v>
      </c>
      <c r="F54" s="343">
        <f>SUMIF('IE Data Entry'!$B$30:$B$100,'IE SUMMARY'!$Q54,'IE Data Entry'!H$30:H$100)</f>
        <v>1000</v>
      </c>
      <c r="G54" s="343">
        <f>SUMIF('IE Data Entry'!$B$30:$B$100,'IE SUMMARY'!$Q54,'IE Data Entry'!I$30:I$100)</f>
        <v>2000</v>
      </c>
      <c r="H54" s="344"/>
      <c r="I54" s="315" t="str">
        <f>IF(ISERROR((+(G56-E56)/E56)),"",(+(G56-E56)/E56))</f>
        <v/>
      </c>
      <c r="J54" s="324" t="s">
        <v>242</v>
      </c>
      <c r="K54" s="346"/>
      <c r="M54" s="346"/>
      <c r="N54" s="346"/>
      <c r="O54" s="346"/>
      <c r="P54" s="346"/>
      <c r="Q54" s="319">
        <v>5601</v>
      </c>
    </row>
    <row r="55" spans="1:17" x14ac:dyDescent="0.25">
      <c r="A55" s="339" t="s">
        <v>258</v>
      </c>
      <c r="B55" s="347">
        <f>SUMIF('IE Data Entry'!$B$30:$B$100,'IE SUMMARY'!$Q55,'IE Data Entry'!C$30:C$100)</f>
        <v>0</v>
      </c>
      <c r="C55" s="347">
        <f>SUMIF('IE Data Entry'!$B$30:$B$100,'IE SUMMARY'!$Q55,'IE Data Entry'!D$30:D$100)</f>
        <v>0</v>
      </c>
      <c r="D55" s="347">
        <f>SUMIF('IE Data Entry'!$B$30:$B$100,'IE SUMMARY'!$Q55,'IE Data Entry'!E$30:E$100)</f>
        <v>0</v>
      </c>
      <c r="E55" s="347">
        <f>SUMIF('IE Data Entry'!$B$30:$B$100,'IE SUMMARY'!$Q55,'IE Data Entry'!F$30:F$100)</f>
        <v>0</v>
      </c>
      <c r="F55" s="347">
        <f>SUMIF('IE Data Entry'!$B$30:$B$100,'IE SUMMARY'!$Q55,'IE Data Entry'!H$30:H$100)</f>
        <v>1000</v>
      </c>
      <c r="G55" s="347">
        <f>SUMIF('IE Data Entry'!$B$30:$B$100,'IE SUMMARY'!$Q55,'IE Data Entry'!I$30:I$100)</f>
        <v>2000</v>
      </c>
      <c r="H55" s="348"/>
      <c r="I55" s="326">
        <f>IF(ISERROR((+(G56-F56)/F56)),"",(+(G56-F56)/F56))</f>
        <v>1</v>
      </c>
      <c r="J55" s="324" t="s">
        <v>244</v>
      </c>
      <c r="K55" s="346"/>
      <c r="M55" s="346"/>
      <c r="N55" s="346"/>
      <c r="O55" s="346"/>
      <c r="P55" s="346"/>
      <c r="Q55" s="319">
        <v>5000</v>
      </c>
    </row>
    <row r="56" spans="1:17" x14ac:dyDescent="0.25">
      <c r="A56" s="349" t="s">
        <v>259</v>
      </c>
      <c r="B56" s="350">
        <f>SUM(B32:B55)</f>
        <v>0</v>
      </c>
      <c r="C56" s="350">
        <f t="shared" ref="C56:H56" si="4">SUM(C32:C55)</f>
        <v>0</v>
      </c>
      <c r="D56" s="350">
        <f t="shared" si="4"/>
        <v>282241</v>
      </c>
      <c r="E56" s="350">
        <f t="shared" si="4"/>
        <v>0</v>
      </c>
      <c r="F56" s="350">
        <f t="shared" si="4"/>
        <v>24000</v>
      </c>
      <c r="G56" s="350">
        <f t="shared" si="4"/>
        <v>48000</v>
      </c>
      <c r="H56" s="350">
        <f t="shared" si="4"/>
        <v>0</v>
      </c>
      <c r="I56" s="326">
        <f>IF(ISERROR((+(G56-D56)/D56)),"",(+(G56-D56)/D56))</f>
        <v>-0.82993257535226983</v>
      </c>
      <c r="J56" s="324" t="str">
        <f>"Broker Compared to "&amp;'IE Data Entry'!$B$4</f>
        <v>Broker Compared to 2017</v>
      </c>
      <c r="K56" s="351"/>
      <c r="N56" s="346"/>
      <c r="O56" s="346"/>
      <c r="P56" s="346"/>
    </row>
    <row r="57" spans="1:17" x14ac:dyDescent="0.25">
      <c r="A57" s="352" t="s">
        <v>245</v>
      </c>
      <c r="B57" s="324"/>
      <c r="C57" s="326" t="str">
        <f>IF(ISERROR((+(C56-B56)/B56)),"",(+(C56-B56)/B56))</f>
        <v/>
      </c>
      <c r="D57" s="326" t="str">
        <f>IF(ISERROR((+(D56-C56)/C56)),"",(+(D56-C56)/C56))</f>
        <v/>
      </c>
      <c r="E57" s="326">
        <f>IF(ISERROR((+(E56-D56)/D56)),"",(+(E56-D56)/D56))</f>
        <v>-1</v>
      </c>
      <c r="F57" s="326">
        <f>IF(ISERROR((+(F56-D56)/D56)),"",(+(F56-D56)/D56))</f>
        <v>-0.91496628767613497</v>
      </c>
      <c r="G57" s="353"/>
      <c r="K57" s="353"/>
      <c r="L57" s="353"/>
      <c r="N57" s="354"/>
      <c r="O57" s="354"/>
      <c r="P57" s="354"/>
    </row>
    <row r="58" spans="1:17" x14ac:dyDescent="0.25">
      <c r="A58" s="355" t="s">
        <v>260</v>
      </c>
      <c r="B58" s="356" t="str">
        <f>IF(ISERROR((+B56/B26)),"",(+B56/B26))</f>
        <v/>
      </c>
      <c r="C58" s="356" t="str">
        <f t="shared" ref="C58:H58" si="5">IF(ISERROR((+C56/C26)),"",(+C56/C26))</f>
        <v/>
      </c>
      <c r="D58" s="356">
        <f t="shared" si="5"/>
        <v>1.6131744398719707</v>
      </c>
      <c r="E58" s="356" t="str">
        <f t="shared" si="5"/>
        <v/>
      </c>
      <c r="F58" s="356" t="str">
        <f t="shared" si="5"/>
        <v/>
      </c>
      <c r="G58" s="357"/>
      <c r="H58" s="356" t="str">
        <f t="shared" si="5"/>
        <v/>
      </c>
      <c r="I58" s="324"/>
      <c r="J58" s="353"/>
      <c r="K58" s="353"/>
      <c r="L58" s="353"/>
      <c r="M58" s="354"/>
      <c r="N58" s="354"/>
      <c r="O58" s="354"/>
      <c r="P58" s="354"/>
    </row>
    <row r="59" spans="1:17" x14ac:dyDescent="0.25">
      <c r="A59" s="352"/>
      <c r="B59" s="300"/>
      <c r="C59" s="300"/>
      <c r="D59" s="300"/>
      <c r="E59" s="300"/>
      <c r="F59" s="563" t="str">
        <f>Current_Year&amp;" Annualized"</f>
        <v>2018 Annualized</v>
      </c>
      <c r="G59" s="563" t="s">
        <v>237</v>
      </c>
      <c r="H59" s="326"/>
      <c r="I59" s="324"/>
      <c r="J59" s="353"/>
      <c r="K59" s="353"/>
      <c r="L59" s="353"/>
      <c r="M59" s="354"/>
      <c r="N59" s="354"/>
      <c r="O59" s="354"/>
      <c r="P59" s="354"/>
    </row>
    <row r="60" spans="1:17" ht="15.75" thickBot="1" x14ac:dyDescent="0.3">
      <c r="B60" s="301">
        <f>+B31</f>
        <v>2015</v>
      </c>
      <c r="C60" s="301">
        <f t="shared" ref="C60:E60" si="6">+C31</f>
        <v>2016</v>
      </c>
      <c r="D60" s="301">
        <f t="shared" si="6"/>
        <v>2017</v>
      </c>
      <c r="E60" s="301" t="str">
        <f t="shared" si="6"/>
        <v>Trailing 12</v>
      </c>
      <c r="F60" s="564"/>
      <c r="G60" s="564"/>
      <c r="H60" s="324"/>
      <c r="I60" s="315">
        <f>IF(ISERROR((+(G62-E62)/E62)),"",(+(G62-E62)/E62))</f>
        <v>-1</v>
      </c>
      <c r="J60" s="324" t="s">
        <v>242</v>
      </c>
    </row>
    <row r="61" spans="1:17" ht="15.75" thickBot="1" x14ac:dyDescent="0.3">
      <c r="A61" s="332" t="s">
        <v>261</v>
      </c>
      <c r="B61" s="358">
        <f t="shared" ref="B61:H61" si="7">+B26-B56</f>
        <v>0</v>
      </c>
      <c r="C61" s="358">
        <f t="shared" si="7"/>
        <v>0</v>
      </c>
      <c r="D61" s="358">
        <f t="shared" si="7"/>
        <v>-107281</v>
      </c>
      <c r="E61" s="358">
        <f t="shared" si="7"/>
        <v>0</v>
      </c>
      <c r="F61" s="358">
        <f t="shared" si="7"/>
        <v>-24000</v>
      </c>
      <c r="G61" s="358">
        <f t="shared" si="7"/>
        <v>-48000</v>
      </c>
      <c r="H61" s="358">
        <f t="shared" si="7"/>
        <v>0</v>
      </c>
      <c r="I61" s="326">
        <f>IF(ISERROR((+(G61-F61)/F61)),"",(+(G61-F61)/F61))</f>
        <v>1</v>
      </c>
      <c r="J61" s="324" t="s">
        <v>244</v>
      </c>
    </row>
    <row r="62" spans="1:17" ht="15.75" thickTop="1" x14ac:dyDescent="0.25">
      <c r="A62" s="352" t="s">
        <v>245</v>
      </c>
      <c r="B62" s="324"/>
      <c r="C62" s="326" t="str">
        <f>IF(ISERROR((+(C61-B61)/B61)),"",(+(C61-B61)/B61))</f>
        <v/>
      </c>
      <c r="D62" s="326" t="str">
        <f>IF(ISERROR((+(D61-C61)/C61)),"",(+(D61-C61)/C61))</f>
        <v/>
      </c>
      <c r="E62" s="326">
        <f>IF(ISERROR((+(E61-D61)/D61)),"",(+(E61-D61)/D61))</f>
        <v>-1</v>
      </c>
      <c r="F62" s="326">
        <f>IF(ISERROR((+(F61-D61)/D61)),"",(+(F61-D61)/D61))</f>
        <v>-0.77628843877294207</v>
      </c>
      <c r="G62" s="353"/>
      <c r="I62" s="326">
        <f>IF(ISERROR((+(G61-D61)/D61)),"",(+(G61-D61)/D61))</f>
        <v>-0.55257687754588414</v>
      </c>
      <c r="J62" s="324" t="str">
        <f>"Broker Compared to "&amp;'IE Data Entry'!$B$4</f>
        <v>Broker Compared to 2017</v>
      </c>
    </row>
    <row r="64" spans="1:17" x14ac:dyDescent="0.25">
      <c r="A64" s="565" t="s">
        <v>317</v>
      </c>
      <c r="B64" s="566"/>
      <c r="C64" s="566"/>
      <c r="D64" s="566"/>
      <c r="E64" s="566"/>
      <c r="F64" s="566"/>
      <c r="G64" s="566"/>
      <c r="H64" s="566"/>
    </row>
    <row r="65" spans="1:8" x14ac:dyDescent="0.25">
      <c r="A65" s="373" t="s">
        <v>316</v>
      </c>
      <c r="B65" s="372" t="s">
        <v>318</v>
      </c>
      <c r="C65" s="371"/>
      <c r="D65" s="371"/>
      <c r="E65" s="371"/>
      <c r="F65" s="371"/>
      <c r="G65" s="371"/>
      <c r="H65" s="371"/>
    </row>
    <row r="66" spans="1:8" x14ac:dyDescent="0.25">
      <c r="A66" s="368" t="s">
        <v>308</v>
      </c>
      <c r="B66" s="369">
        <v>10</v>
      </c>
    </row>
    <row r="67" spans="1:8" x14ac:dyDescent="0.25">
      <c r="A67" s="368" t="s">
        <v>309</v>
      </c>
      <c r="B67" s="369">
        <v>8</v>
      </c>
    </row>
    <row r="68" spans="1:8" x14ac:dyDescent="0.25">
      <c r="A68" s="368" t="s">
        <v>307</v>
      </c>
      <c r="B68" s="374">
        <f>+B66-B67</f>
        <v>2</v>
      </c>
    </row>
    <row r="69" spans="1:8" x14ac:dyDescent="0.25">
      <c r="A69" s="368" t="s">
        <v>310</v>
      </c>
      <c r="B69" s="370">
        <f>+B67/B66</f>
        <v>0.8</v>
      </c>
    </row>
    <row r="71" spans="1:8" x14ac:dyDescent="0.25">
      <c r="A71" s="299" t="s">
        <v>311</v>
      </c>
      <c r="B71" s="296"/>
    </row>
    <row r="72" spans="1:8" x14ac:dyDescent="0.25">
      <c r="A72" s="368" t="s">
        <v>312</v>
      </c>
      <c r="B72" s="369">
        <v>5</v>
      </c>
    </row>
    <row r="73" spans="1:8" x14ac:dyDescent="0.25">
      <c r="A73" s="368" t="s">
        <v>313</v>
      </c>
      <c r="B73" s="369">
        <v>3</v>
      </c>
    </row>
    <row r="74" spans="1:8" x14ac:dyDescent="0.25">
      <c r="A74" s="368" t="s">
        <v>314</v>
      </c>
      <c r="B74" s="374">
        <f>+B72-B73</f>
        <v>2</v>
      </c>
    </row>
    <row r="75" spans="1:8" x14ac:dyDescent="0.25">
      <c r="A75" s="368" t="s">
        <v>315</v>
      </c>
      <c r="B75" s="370">
        <f>+B73/B72</f>
        <v>0.6</v>
      </c>
    </row>
    <row r="77" spans="1:8" x14ac:dyDescent="0.25">
      <c r="A77" s="299" t="s">
        <v>319</v>
      </c>
      <c r="B77" s="296"/>
    </row>
    <row r="78" spans="1:8" x14ac:dyDescent="0.25">
      <c r="A78" s="368" t="s">
        <v>320</v>
      </c>
      <c r="B78" s="369">
        <v>5</v>
      </c>
    </row>
    <row r="79" spans="1:8" x14ac:dyDescent="0.25">
      <c r="A79" s="368" t="s">
        <v>321</v>
      </c>
      <c r="B79" s="369">
        <v>3</v>
      </c>
    </row>
    <row r="80" spans="1:8" x14ac:dyDescent="0.25">
      <c r="A80" s="368" t="s">
        <v>314</v>
      </c>
      <c r="B80" s="374">
        <f>+B78-B79</f>
        <v>2</v>
      </c>
    </row>
    <row r="81" spans="1:8" x14ac:dyDescent="0.25">
      <c r="A81" s="368" t="s">
        <v>322</v>
      </c>
      <c r="B81" s="370">
        <f>+B79/B78</f>
        <v>0.6</v>
      </c>
    </row>
    <row r="83" spans="1:8" x14ac:dyDescent="0.25">
      <c r="A83" s="368" t="s">
        <v>323</v>
      </c>
    </row>
    <row r="90" spans="1:8" x14ac:dyDescent="0.25">
      <c r="A90" s="317" t="s">
        <v>262</v>
      </c>
      <c r="B90" s="317">
        <f>+B60</f>
        <v>2015</v>
      </c>
      <c r="C90" s="317">
        <f t="shared" ref="C90:E90" si="8">+C60</f>
        <v>2016</v>
      </c>
      <c r="D90" s="317">
        <f t="shared" si="8"/>
        <v>2017</v>
      </c>
      <c r="E90" s="317" t="str">
        <f t="shared" si="8"/>
        <v>Trailing 12</v>
      </c>
      <c r="F90" s="317" t="str">
        <f>LEFT(F31,4)&amp;" Ann."</f>
        <v>2018 Ann.</v>
      </c>
      <c r="G90" s="317" t="s">
        <v>224</v>
      </c>
      <c r="H90" s="317" t="s">
        <v>238</v>
      </c>
    </row>
  </sheetData>
  <mergeCells count="8">
    <mergeCell ref="F59:F60"/>
    <mergeCell ref="G59:G60"/>
    <mergeCell ref="A64:H64"/>
    <mergeCell ref="A1:G1"/>
    <mergeCell ref="A3:G3"/>
    <mergeCell ref="F4:F5"/>
    <mergeCell ref="G4:G5"/>
    <mergeCell ref="A29:G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CD38-0102-4834-932D-032EA85C1A01}">
  <sheetPr>
    <tabColor rgb="FF7030A0"/>
  </sheetPr>
  <dimension ref="A1"/>
  <sheetViews>
    <sheetView workbookViewId="0">
      <selection activeCell="O3" sqref="O3"/>
    </sheetView>
  </sheetViews>
  <sheetFormatPr defaultRowHeight="15" x14ac:dyDescent="0.25"/>
  <cols>
    <col min="1" max="16384" width="9.140625" style="289"/>
  </cols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905EA-A685-4ADC-9128-6A2E339F78B9}">
  <sheetPr>
    <tabColor rgb="FF7030A0"/>
    <pageSetUpPr fitToPage="1"/>
  </sheetPr>
  <dimension ref="A1:C41"/>
  <sheetViews>
    <sheetView workbookViewId="0">
      <selection activeCell="O3" sqref="O3"/>
    </sheetView>
  </sheetViews>
  <sheetFormatPr defaultRowHeight="15" x14ac:dyDescent="0.25"/>
  <cols>
    <col min="1" max="1" width="9.140625" style="289"/>
    <col min="2" max="2" width="53.7109375" style="289" bestFit="1" customWidth="1"/>
    <col min="3" max="3" width="108.28515625" style="289" bestFit="1" customWidth="1"/>
    <col min="4" max="16384" width="9.140625" style="289"/>
  </cols>
  <sheetData>
    <row r="1" spans="1:3" x14ac:dyDescent="0.25">
      <c r="A1" s="560" t="s">
        <v>263</v>
      </c>
      <c r="B1" s="560"/>
      <c r="C1" s="560"/>
    </row>
    <row r="2" spans="1:3" x14ac:dyDescent="0.25">
      <c r="A2" s="359">
        <v>1</v>
      </c>
      <c r="B2" s="320" t="s">
        <v>118</v>
      </c>
    </row>
    <row r="3" spans="1:3" x14ac:dyDescent="0.25">
      <c r="A3" s="360">
        <v>2</v>
      </c>
      <c r="B3" s="361" t="s">
        <v>168</v>
      </c>
      <c r="C3" s="362" t="s">
        <v>264</v>
      </c>
    </row>
    <row r="4" spans="1:3" x14ac:dyDescent="0.25">
      <c r="A4" s="359">
        <v>3</v>
      </c>
      <c r="B4" s="320" t="s">
        <v>169</v>
      </c>
      <c r="C4" s="289" t="s">
        <v>264</v>
      </c>
    </row>
    <row r="5" spans="1:3" x14ac:dyDescent="0.25">
      <c r="A5" s="360">
        <v>4</v>
      </c>
      <c r="B5" s="361" t="s">
        <v>265</v>
      </c>
      <c r="C5" s="362" t="s">
        <v>266</v>
      </c>
    </row>
    <row r="6" spans="1:3" x14ac:dyDescent="0.25">
      <c r="A6" s="359">
        <v>4403</v>
      </c>
      <c r="B6" s="320" t="s">
        <v>267</v>
      </c>
      <c r="C6" s="289" t="s">
        <v>268</v>
      </c>
    </row>
    <row r="7" spans="1:3" x14ac:dyDescent="0.25">
      <c r="A7" s="360">
        <v>4401</v>
      </c>
      <c r="B7" s="361" t="s">
        <v>246</v>
      </c>
      <c r="C7" s="362" t="s">
        <v>268</v>
      </c>
    </row>
    <row r="8" spans="1:3" x14ac:dyDescent="0.25">
      <c r="A8" s="359">
        <v>4404</v>
      </c>
      <c r="B8" s="320" t="s">
        <v>10</v>
      </c>
      <c r="C8" s="289" t="s">
        <v>268</v>
      </c>
    </row>
    <row r="9" spans="1:3" x14ac:dyDescent="0.25">
      <c r="A9" s="360">
        <v>4405</v>
      </c>
      <c r="B9" s="361" t="s">
        <v>200</v>
      </c>
      <c r="C9" s="362" t="s">
        <v>268</v>
      </c>
    </row>
    <row r="10" spans="1:3" x14ac:dyDescent="0.25">
      <c r="A10" s="359">
        <v>4402</v>
      </c>
      <c r="B10" s="320" t="s">
        <v>201</v>
      </c>
      <c r="C10" s="289" t="s">
        <v>268</v>
      </c>
    </row>
    <row r="11" spans="1:3" x14ac:dyDescent="0.25">
      <c r="A11" s="360">
        <v>4998</v>
      </c>
      <c r="B11" s="361" t="s">
        <v>199</v>
      </c>
      <c r="C11" s="362" t="s">
        <v>269</v>
      </c>
    </row>
    <row r="12" spans="1:3" x14ac:dyDescent="0.25">
      <c r="A12" s="359">
        <v>4134</v>
      </c>
      <c r="B12" s="320" t="s">
        <v>270</v>
      </c>
      <c r="C12" s="363" t="s">
        <v>271</v>
      </c>
    </row>
    <row r="15" spans="1:3" x14ac:dyDescent="0.25">
      <c r="A15" s="560" t="s">
        <v>272</v>
      </c>
      <c r="B15" s="560"/>
      <c r="C15" s="560"/>
    </row>
    <row r="17" spans="1:3" ht="15.75" thickBot="1" x14ac:dyDescent="0.3">
      <c r="A17" s="364" t="s">
        <v>273</v>
      </c>
      <c r="B17" s="364" t="s">
        <v>274</v>
      </c>
      <c r="C17" s="364" t="s">
        <v>275</v>
      </c>
    </row>
    <row r="18" spans="1:3" x14ac:dyDescent="0.25">
      <c r="A18" s="359">
        <v>5701</v>
      </c>
      <c r="B18" s="320" t="s">
        <v>253</v>
      </c>
      <c r="C18" s="289" t="s">
        <v>276</v>
      </c>
    </row>
    <row r="19" spans="1:3" x14ac:dyDescent="0.25">
      <c r="A19" s="360">
        <v>5305</v>
      </c>
      <c r="B19" s="361" t="s">
        <v>148</v>
      </c>
      <c r="C19" s="362" t="s">
        <v>277</v>
      </c>
    </row>
    <row r="20" spans="1:3" x14ac:dyDescent="0.25">
      <c r="A20" s="359">
        <v>5306</v>
      </c>
      <c r="B20" s="320" t="s">
        <v>147</v>
      </c>
      <c r="C20" s="289" t="s">
        <v>278</v>
      </c>
    </row>
    <row r="21" spans="1:3" x14ac:dyDescent="0.25">
      <c r="A21" s="360">
        <v>5404</v>
      </c>
      <c r="B21" s="361" t="s">
        <v>12</v>
      </c>
      <c r="C21" s="362" t="s">
        <v>279</v>
      </c>
    </row>
    <row r="22" spans="1:3" x14ac:dyDescent="0.25">
      <c r="A22" s="359">
        <v>5401</v>
      </c>
      <c r="B22" s="320" t="s">
        <v>254</v>
      </c>
      <c r="C22" s="289" t="s">
        <v>280</v>
      </c>
    </row>
    <row r="23" spans="1:3" x14ac:dyDescent="0.25">
      <c r="A23" s="360">
        <v>5405</v>
      </c>
      <c r="B23" s="361" t="s">
        <v>10</v>
      </c>
      <c r="C23" s="362" t="s">
        <v>281</v>
      </c>
    </row>
    <row r="24" spans="1:3" x14ac:dyDescent="0.25">
      <c r="A24" s="359">
        <v>5403</v>
      </c>
      <c r="B24" s="320" t="s">
        <v>145</v>
      </c>
      <c r="C24" s="289" t="s">
        <v>282</v>
      </c>
    </row>
    <row r="25" spans="1:3" x14ac:dyDescent="0.25">
      <c r="A25" s="360">
        <v>5402</v>
      </c>
      <c r="B25" s="361" t="s">
        <v>144</v>
      </c>
      <c r="C25" s="362" t="s">
        <v>283</v>
      </c>
    </row>
    <row r="26" spans="1:3" x14ac:dyDescent="0.25">
      <c r="A26" s="359">
        <v>5603</v>
      </c>
      <c r="B26" s="320" t="s">
        <v>255</v>
      </c>
      <c r="C26" s="289" t="s">
        <v>284</v>
      </c>
    </row>
    <row r="27" spans="1:3" x14ac:dyDescent="0.25">
      <c r="A27" s="360">
        <v>5020</v>
      </c>
      <c r="B27" s="361" t="s">
        <v>156</v>
      </c>
      <c r="C27" s="362" t="s">
        <v>285</v>
      </c>
    </row>
    <row r="28" spans="1:3" x14ac:dyDescent="0.25">
      <c r="A28" s="359">
        <v>5104</v>
      </c>
      <c r="B28" s="320" t="s">
        <v>157</v>
      </c>
      <c r="C28" s="289" t="s">
        <v>286</v>
      </c>
    </row>
    <row r="29" spans="1:3" x14ac:dyDescent="0.25">
      <c r="A29" s="360">
        <v>5109</v>
      </c>
      <c r="B29" s="361" t="s">
        <v>146</v>
      </c>
      <c r="C29" s="362" t="s">
        <v>287</v>
      </c>
    </row>
    <row r="30" spans="1:3" x14ac:dyDescent="0.25">
      <c r="A30" s="359">
        <v>5200</v>
      </c>
      <c r="B30" s="320" t="s">
        <v>155</v>
      </c>
      <c r="C30" s="289" t="s">
        <v>288</v>
      </c>
    </row>
    <row r="31" spans="1:3" x14ac:dyDescent="0.25">
      <c r="A31" s="360">
        <v>5301</v>
      </c>
      <c r="B31" s="365" t="s">
        <v>256</v>
      </c>
      <c r="C31" s="362"/>
    </row>
    <row r="32" spans="1:3" x14ac:dyDescent="0.25">
      <c r="A32" s="359">
        <v>5053</v>
      </c>
      <c r="B32" s="320" t="s">
        <v>13</v>
      </c>
    </row>
    <row r="33" spans="1:3" x14ac:dyDescent="0.25">
      <c r="A33" s="360">
        <v>5604</v>
      </c>
      <c r="B33" s="361" t="s">
        <v>257</v>
      </c>
      <c r="C33" s="362" t="s">
        <v>289</v>
      </c>
    </row>
    <row r="34" spans="1:3" x14ac:dyDescent="0.25">
      <c r="A34" s="359">
        <v>5062</v>
      </c>
      <c r="B34" s="320" t="s">
        <v>3</v>
      </c>
      <c r="C34" s="289" t="s">
        <v>290</v>
      </c>
    </row>
    <row r="35" spans="1:3" x14ac:dyDescent="0.25">
      <c r="A35" s="360">
        <v>5302</v>
      </c>
      <c r="B35" s="361" t="s">
        <v>129</v>
      </c>
      <c r="C35" s="362" t="s">
        <v>291</v>
      </c>
    </row>
    <row r="36" spans="1:3" x14ac:dyDescent="0.25">
      <c r="A36" s="359">
        <v>5001</v>
      </c>
      <c r="B36" s="320" t="s">
        <v>6</v>
      </c>
      <c r="C36" s="289" t="s">
        <v>292</v>
      </c>
    </row>
    <row r="37" spans="1:3" x14ac:dyDescent="0.25">
      <c r="A37" s="360">
        <v>5061</v>
      </c>
      <c r="B37" s="361" t="s">
        <v>143</v>
      </c>
      <c r="C37" s="362" t="s">
        <v>293</v>
      </c>
    </row>
    <row r="38" spans="1:3" x14ac:dyDescent="0.25">
      <c r="A38" s="359">
        <v>5304</v>
      </c>
      <c r="B38" s="320" t="s">
        <v>2</v>
      </c>
      <c r="C38" s="289" t="s">
        <v>294</v>
      </c>
    </row>
    <row r="39" spans="1:3" x14ac:dyDescent="0.25">
      <c r="A39" s="360">
        <v>5064</v>
      </c>
      <c r="B39" s="361" t="s">
        <v>9</v>
      </c>
      <c r="C39" s="362" t="s">
        <v>295</v>
      </c>
    </row>
    <row r="40" spans="1:3" x14ac:dyDescent="0.25">
      <c r="A40" s="359">
        <v>5601</v>
      </c>
      <c r="B40" s="320" t="s">
        <v>128</v>
      </c>
      <c r="C40" s="289" t="s">
        <v>296</v>
      </c>
    </row>
    <row r="41" spans="1:3" x14ac:dyDescent="0.25">
      <c r="A41" s="360">
        <v>5000</v>
      </c>
      <c r="B41" s="361" t="s">
        <v>297</v>
      </c>
      <c r="C41" s="362" t="s">
        <v>298</v>
      </c>
    </row>
  </sheetData>
  <mergeCells count="2">
    <mergeCell ref="A1:C1"/>
    <mergeCell ref="A15:C15"/>
  </mergeCells>
  <pageMargins left="0.2" right="0.2" top="0.25" bottom="0.25" header="0.3" footer="0.3"/>
  <pageSetup scale="7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"/>
  <sheetViews>
    <sheetView workbookViewId="0"/>
  </sheetViews>
  <sheetFormatPr defaultColWidth="9.140625" defaultRowHeight="12.75" x14ac:dyDescent="0.2"/>
  <cols>
    <col min="1" max="1" width="25" style="30" customWidth="1"/>
    <col min="2" max="2" width="18.42578125" style="30" customWidth="1"/>
    <col min="3" max="3" width="10.28515625" style="30" customWidth="1"/>
    <col min="4" max="4" width="35.42578125" style="30" bestFit="1" customWidth="1"/>
    <col min="5" max="8" width="12.28515625" style="30" bestFit="1" customWidth="1"/>
    <col min="9" max="9" width="12.42578125" style="30" bestFit="1" customWidth="1"/>
    <col min="10" max="10" width="12.28515625" style="30" bestFit="1" customWidth="1"/>
    <col min="11" max="16384" width="9.140625" style="30"/>
  </cols>
  <sheetData>
    <row r="1" spans="1:10" ht="8.4499999999999993" customHeight="1" x14ac:dyDescent="0.2"/>
    <row r="2" spans="1:10" x14ac:dyDescent="0.2">
      <c r="A2" s="31" t="str">
        <f>Proforma!B1</f>
        <v>Stonecroft - 4900 Raytown Rd, Kansas City, MO</v>
      </c>
    </row>
    <row r="3" spans="1:10" x14ac:dyDescent="0.2">
      <c r="A3" s="103" t="s">
        <v>18</v>
      </c>
      <c r="B3" s="103"/>
      <c r="C3" s="104"/>
      <c r="D3" s="103" t="s">
        <v>23</v>
      </c>
      <c r="E3" s="105" t="s">
        <v>25</v>
      </c>
      <c r="F3" s="105" t="s">
        <v>26</v>
      </c>
      <c r="G3" s="105" t="s">
        <v>27</v>
      </c>
      <c r="H3" s="105" t="s">
        <v>28</v>
      </c>
      <c r="I3" s="105" t="s">
        <v>29</v>
      </c>
      <c r="J3" s="105" t="s">
        <v>132</v>
      </c>
    </row>
    <row r="4" spans="1:10" x14ac:dyDescent="0.2">
      <c r="A4" s="107" t="s">
        <v>109</v>
      </c>
      <c r="B4" s="108" t="s">
        <v>22</v>
      </c>
      <c r="C4" s="104"/>
      <c r="D4" s="77" t="s">
        <v>30</v>
      </c>
      <c r="E4" s="35">
        <f ca="1">Proforma!E53*12</f>
        <v>547200</v>
      </c>
      <c r="F4" s="35">
        <f ca="1">Proforma!F53*12</f>
        <v>662808</v>
      </c>
      <c r="G4" s="35">
        <f ca="1">Proforma!G53*12</f>
        <v>783827.52</v>
      </c>
      <c r="H4" s="35">
        <f ca="1">Proforma!H53*12</f>
        <v>913653.19679999992</v>
      </c>
      <c r="I4" s="35">
        <f ca="1">Proforma!I53*12</f>
        <v>1052799.6510720002</v>
      </c>
      <c r="J4" s="35">
        <f ca="1">Proforma!J53*12</f>
        <v>1201808.6584780803</v>
      </c>
    </row>
    <row r="5" spans="1:10" x14ac:dyDescent="0.2">
      <c r="A5" s="77" t="s">
        <v>18</v>
      </c>
      <c r="B5" s="109">
        <f>Proforma!C4</f>
        <v>970000</v>
      </c>
      <c r="C5" s="110"/>
      <c r="D5" s="77" t="s">
        <v>31</v>
      </c>
      <c r="E5" s="34">
        <f ca="1">Proforma!E80*12</f>
        <v>624398.30000000005</v>
      </c>
      <c r="F5" s="34">
        <f ca="1">Proforma!F80*12</f>
        <v>648595.86599999992</v>
      </c>
      <c r="G5" s="34">
        <f ca="1">Proforma!G80*12</f>
        <v>666945.04331999994</v>
      </c>
      <c r="H5" s="34">
        <f ca="1">Proforma!H80*12</f>
        <v>685980.38342639979</v>
      </c>
      <c r="I5" s="34">
        <f ca="1">Proforma!I80*12</f>
        <v>705732.53336092806</v>
      </c>
      <c r="J5" s="34">
        <f ca="1">Proforma!J80*12</f>
        <v>726233.59622407064</v>
      </c>
    </row>
    <row r="6" spans="1:10" ht="13.5" thickBot="1" x14ac:dyDescent="0.25">
      <c r="A6" s="33" t="s">
        <v>112</v>
      </c>
      <c r="B6" s="111">
        <f>Proforma!C5</f>
        <v>785849.19</v>
      </c>
      <c r="C6" s="112"/>
      <c r="D6" s="1" t="s">
        <v>32</v>
      </c>
      <c r="E6" s="3">
        <f t="shared" ref="E6:J6" ca="1" si="0">E4-E5</f>
        <v>-77198.300000000047</v>
      </c>
      <c r="F6" s="3">
        <f t="shared" ca="1" si="0"/>
        <v>14212.134000000078</v>
      </c>
      <c r="G6" s="3">
        <f t="shared" ca="1" si="0"/>
        <v>116882.47668000008</v>
      </c>
      <c r="H6" s="3">
        <f t="shared" ca="1" si="0"/>
        <v>227672.81337360013</v>
      </c>
      <c r="I6" s="3">
        <f t="shared" ca="1" si="0"/>
        <v>347067.11771107209</v>
      </c>
      <c r="J6" s="3">
        <f t="shared" ca="1" si="0"/>
        <v>475575.06225400965</v>
      </c>
    </row>
    <row r="7" spans="1:10" ht="13.5" thickTop="1" x14ac:dyDescent="0.2">
      <c r="A7" s="114" t="s">
        <v>110</v>
      </c>
      <c r="B7" s="115">
        <f>SUM(B5:B6)</f>
        <v>1755849.19</v>
      </c>
      <c r="C7" s="113"/>
      <c r="D7" s="4" t="s">
        <v>33</v>
      </c>
      <c r="E7" s="93">
        <f t="shared" ref="E7:J7" ca="1" si="1">E6/E4</f>
        <v>-0.14107876461988311</v>
      </c>
      <c r="F7" s="93">
        <f t="shared" ca="1" si="1"/>
        <v>2.1442309084984006E-2</v>
      </c>
      <c r="G7" s="93">
        <f t="shared" ca="1" si="1"/>
        <v>0.14911759755513571</v>
      </c>
      <c r="H7" s="93">
        <f t="shared" ca="1" si="1"/>
        <v>0.24918953293329094</v>
      </c>
      <c r="I7" s="93">
        <f t="shared" ca="1" si="1"/>
        <v>0.32966112532206421</v>
      </c>
      <c r="J7" s="93">
        <f t="shared" ca="1" si="1"/>
        <v>0.39571612244519672</v>
      </c>
    </row>
    <row r="8" spans="1:10" x14ac:dyDescent="0.2">
      <c r="A8" s="119" t="s">
        <v>74</v>
      </c>
      <c r="B8" s="120">
        <f ca="1">Proforma!C8</f>
        <v>-4.3966361370705184E-2</v>
      </c>
    </row>
    <row r="9" spans="1:10" x14ac:dyDescent="0.2">
      <c r="D9" s="121" t="s">
        <v>34</v>
      </c>
      <c r="E9" s="54">
        <f>-Proforma!E94</f>
        <v>0</v>
      </c>
      <c r="F9" s="54">
        <f>-Proforma!F94</f>
        <v>0</v>
      </c>
      <c r="G9" s="54">
        <f>-Proforma!G94</f>
        <v>0</v>
      </c>
      <c r="H9" s="54">
        <f>-Proforma!H94</f>
        <v>0</v>
      </c>
      <c r="I9" s="54">
        <f>-Proforma!I94</f>
        <v>0</v>
      </c>
      <c r="J9" s="54">
        <f ca="1">-Proforma!J94</f>
        <v>-286295.38209216535</v>
      </c>
    </row>
    <row r="10" spans="1:10" x14ac:dyDescent="0.2">
      <c r="A10" s="77" t="s">
        <v>21</v>
      </c>
      <c r="B10" s="35">
        <f>B5-B11</f>
        <v>970000</v>
      </c>
      <c r="C10" s="122">
        <f>B11/B12</f>
        <v>0</v>
      </c>
    </row>
    <row r="11" spans="1:10" x14ac:dyDescent="0.2">
      <c r="A11" s="77" t="s">
        <v>111</v>
      </c>
      <c r="B11" s="109">
        <f>Proforma!E92</f>
        <v>0</v>
      </c>
      <c r="D11" s="33" t="s">
        <v>99</v>
      </c>
      <c r="E11" s="35">
        <f t="shared" ref="E11:J11" ca="1" si="2">E6+E9</f>
        <v>-77198.300000000047</v>
      </c>
      <c r="F11" s="35">
        <f t="shared" ca="1" si="2"/>
        <v>14212.134000000078</v>
      </c>
      <c r="G11" s="35">
        <f t="shared" ca="1" si="2"/>
        <v>116882.47668000008</v>
      </c>
      <c r="H11" s="35">
        <f t="shared" ca="1" si="2"/>
        <v>227672.81337360013</v>
      </c>
      <c r="I11" s="35">
        <f t="shared" ca="1" si="2"/>
        <v>347067.11771107209</v>
      </c>
      <c r="J11" s="35">
        <f t="shared" ca="1" si="2"/>
        <v>189279.6801618443</v>
      </c>
    </row>
    <row r="12" spans="1:10" ht="13.5" thickBot="1" x14ac:dyDescent="0.25">
      <c r="A12" s="114" t="s">
        <v>22</v>
      </c>
      <c r="B12" s="116">
        <f>SUM(B10:B11)</f>
        <v>970000</v>
      </c>
      <c r="C12" s="113"/>
      <c r="D12" s="33" t="s">
        <v>100</v>
      </c>
      <c r="E12" s="40">
        <f>Proforma!E103</f>
        <v>0</v>
      </c>
      <c r="F12" s="40">
        <f>Proforma!F103</f>
        <v>0</v>
      </c>
      <c r="G12" s="40">
        <f>Proforma!G103</f>
        <v>0</v>
      </c>
      <c r="H12" s="40">
        <f>Proforma!H103</f>
        <v>0</v>
      </c>
      <c r="I12" s="40">
        <f>Proforma!I103</f>
        <v>0</v>
      </c>
      <c r="J12" s="40">
        <f>Proforma!J103</f>
        <v>0</v>
      </c>
    </row>
    <row r="13" spans="1:10" ht="13.5" thickTop="1" x14ac:dyDescent="0.2">
      <c r="C13" s="113"/>
      <c r="D13" s="33" t="s">
        <v>101</v>
      </c>
      <c r="E13" s="40">
        <f>Proforma!E107</f>
        <v>0</v>
      </c>
      <c r="F13" s="40">
        <f>Proforma!F107</f>
        <v>0</v>
      </c>
      <c r="G13" s="40">
        <f>Proforma!G107</f>
        <v>0</v>
      </c>
      <c r="H13" s="40">
        <f>Proforma!H107</f>
        <v>0</v>
      </c>
      <c r="I13" s="40">
        <f ca="1">Proforma!I107</f>
        <v>3737645.8830423132</v>
      </c>
      <c r="J13" s="40">
        <f>Proforma!J107</f>
        <v>0</v>
      </c>
    </row>
    <row r="14" spans="1:10" ht="13.5" thickBot="1" x14ac:dyDescent="0.25">
      <c r="A14" s="33" t="s">
        <v>112</v>
      </c>
      <c r="B14" s="111">
        <f>B6</f>
        <v>785849.19</v>
      </c>
      <c r="C14" s="113"/>
      <c r="D14" s="63" t="s">
        <v>114</v>
      </c>
      <c r="E14" s="68">
        <f ca="1">SUM(E11:E13)</f>
        <v>-77198.300000000047</v>
      </c>
      <c r="F14" s="68">
        <f t="shared" ref="F14:I14" ca="1" si="3">SUM(F11:F13)</f>
        <v>14212.134000000078</v>
      </c>
      <c r="G14" s="68">
        <f t="shared" ca="1" si="3"/>
        <v>116882.47668000008</v>
      </c>
      <c r="H14" s="68">
        <f t="shared" ca="1" si="3"/>
        <v>227672.81337360013</v>
      </c>
      <c r="I14" s="68">
        <f t="shared" ca="1" si="3"/>
        <v>4084713.000753385</v>
      </c>
      <c r="J14" s="68">
        <f t="shared" ref="J14" ca="1" si="4">SUM(J11:J13)</f>
        <v>189279.6801618443</v>
      </c>
    </row>
    <row r="15" spans="1:10" ht="14.25" thickTop="1" thickBot="1" x14ac:dyDescent="0.25">
      <c r="A15" s="114" t="s">
        <v>113</v>
      </c>
      <c r="B15" s="116">
        <f>B10+B14</f>
        <v>1755849.19</v>
      </c>
      <c r="C15" s="113"/>
    </row>
    <row r="16" spans="1:10" ht="13.5" thickTop="1" x14ac:dyDescent="0.2">
      <c r="A16" s="106"/>
      <c r="B16" s="106"/>
      <c r="C16" s="113"/>
      <c r="D16" s="57" t="s">
        <v>171</v>
      </c>
      <c r="E16" s="125">
        <f ca="1">Proforma!E124</f>
        <v>-77198.299999999988</v>
      </c>
      <c r="F16" s="125">
        <f ca="1">Proforma!F124</f>
        <v>14212.134000000078</v>
      </c>
      <c r="G16" s="125">
        <f ca="1">Proforma!G124</f>
        <v>116882.47667999999</v>
      </c>
      <c r="H16" s="125">
        <f ca="1">Proforma!H124</f>
        <v>227672.8133736001</v>
      </c>
      <c r="I16" s="125">
        <f ca="1">Proforma!I124</f>
        <v>3017567.1292082947</v>
      </c>
      <c r="J16" s="125">
        <f ca="1">Proforma!J124</f>
        <v>94639.840080922091</v>
      </c>
    </row>
    <row r="17" spans="1:10" x14ac:dyDescent="0.2">
      <c r="A17" s="30" t="s">
        <v>0</v>
      </c>
      <c r="B17" s="34">
        <f>Proforma!C14</f>
        <v>148</v>
      </c>
      <c r="C17" s="113"/>
      <c r="D17" s="123" t="s">
        <v>15</v>
      </c>
      <c r="E17" s="124">
        <f ca="1">E16/$B$15</f>
        <v>-4.3966361370705184E-2</v>
      </c>
      <c r="F17" s="124">
        <f t="shared" ref="F17:I17" ca="1" si="5">F16/$B$15</f>
        <v>8.0941655359365334E-3</v>
      </c>
      <c r="G17" s="124">
        <f t="shared" ca="1" si="5"/>
        <v>6.6567491869845605E-2</v>
      </c>
      <c r="H17" s="124">
        <f t="shared" ca="1" si="5"/>
        <v>0.12966535774840668</v>
      </c>
      <c r="I17" s="124">
        <f t="shared" ca="1" si="5"/>
        <v>1.7185799021886925</v>
      </c>
      <c r="J17" s="124">
        <f t="shared" ref="J17" ca="1" si="6">J16/$B$15</f>
        <v>5.3899754386606574E-2</v>
      </c>
    </row>
    <row r="18" spans="1:10" x14ac:dyDescent="0.2">
      <c r="A18" s="30" t="s">
        <v>19</v>
      </c>
      <c r="B18" s="32">
        <f>B5/B17</f>
        <v>6554.0540540540542</v>
      </c>
      <c r="C18" s="113"/>
    </row>
    <row r="19" spans="1:10" x14ac:dyDescent="0.2">
      <c r="C19" s="113"/>
    </row>
    <row r="20" spans="1:10" x14ac:dyDescent="0.2">
      <c r="A20" s="103" t="s">
        <v>24</v>
      </c>
      <c r="B20" s="103"/>
      <c r="C20" s="113"/>
    </row>
    <row r="21" spans="1:10" x14ac:dyDescent="0.2">
      <c r="A21" s="106" t="s">
        <v>172</v>
      </c>
      <c r="B21" s="117">
        <f ca="1">Proforma!C128</f>
        <v>0.20693334051628942</v>
      </c>
      <c r="C21" s="113"/>
    </row>
    <row r="22" spans="1:10" x14ac:dyDescent="0.2">
      <c r="A22" s="106" t="s">
        <v>150</v>
      </c>
      <c r="B22" s="118">
        <f ca="1">SUM(Proforma!E124:I124)/-Proforma!D124</f>
        <v>1.8789405559721761</v>
      </c>
      <c r="C22" s="113"/>
    </row>
    <row r="23" spans="1:10" x14ac:dyDescent="0.2">
      <c r="A23" s="30" t="s">
        <v>151</v>
      </c>
      <c r="B23" s="35">
        <f ca="1">SUM(E16:I16)</f>
        <v>3299136.2532618949</v>
      </c>
      <c r="C23" s="113"/>
    </row>
    <row r="24" spans="1:10" x14ac:dyDescent="0.2">
      <c r="C24" s="104"/>
    </row>
    <row r="25" spans="1:10" x14ac:dyDescent="0.2">
      <c r="C25" s="113"/>
    </row>
    <row r="26" spans="1:10" x14ac:dyDescent="0.2">
      <c r="C26" s="113"/>
    </row>
    <row r="27" spans="1:10" x14ac:dyDescent="0.2">
      <c r="C27" s="113"/>
    </row>
  </sheetData>
  <sheetProtection algorithmName="SHA-512" hashValue="nxJx62Ryig+lp3llp173dSP4Fv+Q2RXvDi1fh8F48+IzTLD/HD7GSekHihDnv9UCp/jjvosUVv5lAsvtC+lp1Q==" saltValue="uuQ8GTvl/N3cYf/zHsUdTQ==" spinCount="100000" sheet="1" objects="1" scenario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2"/>
  <sheetViews>
    <sheetView workbookViewId="0">
      <selection activeCell="A35" sqref="A35"/>
    </sheetView>
  </sheetViews>
  <sheetFormatPr defaultColWidth="8.7109375" defaultRowHeight="12.75" x14ac:dyDescent="0.2"/>
  <cols>
    <col min="1" max="1" width="15.42578125" style="12" bestFit="1" customWidth="1"/>
    <col min="2" max="2" width="49.42578125" style="12" customWidth="1"/>
    <col min="3" max="16384" width="8.7109375" style="12"/>
  </cols>
  <sheetData>
    <row r="1" spans="1:2" ht="15" x14ac:dyDescent="0.2">
      <c r="A1" s="150" t="str">
        <f>Proforma!B1</f>
        <v>Stonecroft - 4900 Raytown Rd, Kansas City, MO</v>
      </c>
      <c r="B1" s="150"/>
    </row>
    <row r="2" spans="1:2" ht="29.45" customHeight="1" x14ac:dyDescent="0.3">
      <c r="A2" s="13" t="s">
        <v>49</v>
      </c>
    </row>
    <row r="3" spans="1:2" ht="11.45" customHeight="1" x14ac:dyDescent="0.3">
      <c r="A3" s="14"/>
    </row>
    <row r="4" spans="1:2" ht="15" x14ac:dyDescent="0.25">
      <c r="A4" s="15" t="s">
        <v>50</v>
      </c>
      <c r="B4" s="16"/>
    </row>
    <row r="5" spans="1:2" x14ac:dyDescent="0.2">
      <c r="A5" s="17" t="s">
        <v>51</v>
      </c>
      <c r="B5" s="18" t="s">
        <v>52</v>
      </c>
    </row>
    <row r="6" spans="1:2" x14ac:dyDescent="0.2">
      <c r="A6" s="19" t="s">
        <v>60</v>
      </c>
      <c r="B6" s="20" t="s">
        <v>54</v>
      </c>
    </row>
    <row r="7" spans="1:2" x14ac:dyDescent="0.2">
      <c r="A7" s="19" t="s">
        <v>53</v>
      </c>
      <c r="B7" s="20" t="s">
        <v>55</v>
      </c>
    </row>
    <row r="8" spans="1:2" x14ac:dyDescent="0.2">
      <c r="A8" s="21" t="s">
        <v>53</v>
      </c>
      <c r="B8" s="12" t="s">
        <v>56</v>
      </c>
    </row>
    <row r="9" spans="1:2" x14ac:dyDescent="0.2">
      <c r="A9" s="21" t="s">
        <v>53</v>
      </c>
      <c r="B9" s="20" t="s">
        <v>57</v>
      </c>
    </row>
    <row r="10" spans="1:2" x14ac:dyDescent="0.2">
      <c r="A10" s="22">
        <f>IF(COUNTIF(A6:A9,"Yes")&gt;2,2,COUNTIF(A6:A9,"Yes"))</f>
        <v>1</v>
      </c>
      <c r="B10" s="23"/>
    </row>
    <row r="11" spans="1:2" x14ac:dyDescent="0.2">
      <c r="A11" s="24"/>
      <c r="B11" s="25"/>
    </row>
    <row r="13" spans="1:2" ht="15" x14ac:dyDescent="0.25">
      <c r="A13" s="15" t="s">
        <v>58</v>
      </c>
      <c r="B13" s="16"/>
    </row>
    <row r="14" spans="1:2" x14ac:dyDescent="0.2">
      <c r="A14" s="17" t="s">
        <v>51</v>
      </c>
      <c r="B14" s="18" t="s">
        <v>52</v>
      </c>
    </row>
    <row r="15" spans="1:2" x14ac:dyDescent="0.2">
      <c r="A15" s="19" t="s">
        <v>60</v>
      </c>
      <c r="B15" s="20" t="s">
        <v>59</v>
      </c>
    </row>
    <row r="16" spans="1:2" x14ac:dyDescent="0.2">
      <c r="A16" s="19" t="s">
        <v>60</v>
      </c>
      <c r="B16" s="20" t="s">
        <v>61</v>
      </c>
    </row>
    <row r="17" spans="1:2" x14ac:dyDescent="0.2">
      <c r="A17" s="26" t="s">
        <v>53</v>
      </c>
      <c r="B17" s="20" t="s">
        <v>57</v>
      </c>
    </row>
    <row r="18" spans="1:2" x14ac:dyDescent="0.2">
      <c r="A18" s="22">
        <f>IF(COUNTIF(A15:A17,"Yes")&gt;1,1,COUNTIF(A15:A17,"Yes"))</f>
        <v>1</v>
      </c>
      <c r="B18" s="27"/>
    </row>
    <row r="20" spans="1:2" ht="15" x14ac:dyDescent="0.25">
      <c r="A20" s="15" t="s">
        <v>62</v>
      </c>
      <c r="B20" s="16"/>
    </row>
    <row r="21" spans="1:2" x14ac:dyDescent="0.2">
      <c r="A21" s="17" t="s">
        <v>51</v>
      </c>
      <c r="B21" s="18" t="s">
        <v>52</v>
      </c>
    </row>
    <row r="22" spans="1:2" x14ac:dyDescent="0.2">
      <c r="A22" s="19" t="s">
        <v>60</v>
      </c>
      <c r="B22" s="20" t="s">
        <v>63</v>
      </c>
    </row>
    <row r="23" spans="1:2" x14ac:dyDescent="0.2">
      <c r="A23" s="19" t="s">
        <v>60</v>
      </c>
      <c r="B23" s="20" t="s">
        <v>64</v>
      </c>
    </row>
    <row r="24" spans="1:2" x14ac:dyDescent="0.2">
      <c r="A24" s="26" t="s">
        <v>53</v>
      </c>
      <c r="B24" s="20" t="s">
        <v>142</v>
      </c>
    </row>
    <row r="25" spans="1:2" x14ac:dyDescent="0.2">
      <c r="A25" s="26" t="s">
        <v>53</v>
      </c>
      <c r="B25" s="20" t="s">
        <v>57</v>
      </c>
    </row>
    <row r="26" spans="1:2" x14ac:dyDescent="0.2">
      <c r="A26" s="22">
        <f>IF(COUNTIF(A22:A25,"Yes")&gt;1,1,COUNTIF(A22:A25,"Yes"))</f>
        <v>1</v>
      </c>
      <c r="B26" s="27"/>
    </row>
    <row r="28" spans="1:2" ht="15" x14ac:dyDescent="0.25">
      <c r="A28" s="15" t="s">
        <v>65</v>
      </c>
      <c r="B28" s="16"/>
    </row>
    <row r="29" spans="1:2" x14ac:dyDescent="0.2">
      <c r="A29" s="17" t="s">
        <v>51</v>
      </c>
      <c r="B29" s="18" t="s">
        <v>52</v>
      </c>
    </row>
    <row r="30" spans="1:2" x14ac:dyDescent="0.2">
      <c r="A30" s="19" t="s">
        <v>53</v>
      </c>
      <c r="B30" s="20" t="s">
        <v>66</v>
      </c>
    </row>
    <row r="31" spans="1:2" x14ac:dyDescent="0.2">
      <c r="A31" s="19" t="s">
        <v>53</v>
      </c>
      <c r="B31" s="20" t="s">
        <v>67</v>
      </c>
    </row>
    <row r="32" spans="1:2" x14ac:dyDescent="0.2">
      <c r="A32" s="26" t="s">
        <v>53</v>
      </c>
      <c r="B32" s="20" t="s">
        <v>68</v>
      </c>
    </row>
    <row r="33" spans="1:2" x14ac:dyDescent="0.2">
      <c r="A33" s="26" t="s">
        <v>53</v>
      </c>
      <c r="B33" s="20" t="s">
        <v>69</v>
      </c>
    </row>
    <row r="34" spans="1:2" x14ac:dyDescent="0.2">
      <c r="A34" s="26" t="s">
        <v>53</v>
      </c>
      <c r="B34" s="20" t="s">
        <v>141</v>
      </c>
    </row>
    <row r="35" spans="1:2" x14ac:dyDescent="0.2">
      <c r="A35" s="22">
        <f>IF(COUNTIF(A30:A34,"Yes")&gt;1,1,COUNTIF(A30:A34,"Yes"))</f>
        <v>0</v>
      </c>
      <c r="B35" s="27"/>
    </row>
    <row r="37" spans="1:2" ht="15" x14ac:dyDescent="0.25">
      <c r="A37" s="15">
        <f>SUM(A35,A26,A18,A10)</f>
        <v>3</v>
      </c>
      <c r="B37" s="15" t="s">
        <v>70</v>
      </c>
    </row>
    <row r="41" spans="1:2" x14ac:dyDescent="0.2">
      <c r="A41" s="28" t="s">
        <v>60</v>
      </c>
    </row>
    <row r="42" spans="1:2" x14ac:dyDescent="0.2">
      <c r="A42" s="28" t="s">
        <v>53</v>
      </c>
    </row>
  </sheetData>
  <sheetProtection algorithmName="SHA-512" hashValue="XPTLD2t0TOYOyr5QTjWYJ5S4x2rmWcxZEAfMQrwNW6bMRmfz+AcgMzpX5HxUvttF06B12KHisMTPK2EcC1i5Rw==" saltValue="M5XIZo2uAcJBL6oxxsHN1g==" spinCount="100000" sheet="1" objects="1" scenarios="1"/>
  <conditionalFormatting sqref="B10">
    <cfRule type="expression" dxfId="20" priority="5">
      <formula>$A$37&gt;0</formula>
    </cfRule>
  </conditionalFormatting>
  <conditionalFormatting sqref="B11">
    <cfRule type="expression" dxfId="19" priority="4">
      <formula>$A$37&gt;1</formula>
    </cfRule>
  </conditionalFormatting>
  <conditionalFormatting sqref="B18">
    <cfRule type="expression" dxfId="18" priority="3">
      <formula>$A$37&gt;2</formula>
    </cfRule>
  </conditionalFormatting>
  <conditionalFormatting sqref="B26">
    <cfRule type="expression" dxfId="17" priority="2">
      <formula>$A$37&gt;3</formula>
    </cfRule>
  </conditionalFormatting>
  <conditionalFormatting sqref="B35">
    <cfRule type="expression" dxfId="16" priority="1">
      <formula>$A$37&gt;4</formula>
    </cfRule>
  </conditionalFormatting>
  <dataValidations count="1">
    <dataValidation type="list" allowBlank="1" showInputMessage="1" showErrorMessage="1" sqref="A6:A9 A30:A34 A22:A25 A15:A17" xr:uid="{00000000-0002-0000-0200-000000000000}">
      <formula1>$A$41:$A$42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B11" sqref="AB11"/>
    </sheetView>
  </sheetViews>
  <sheetFormatPr defaultColWidth="8.85546875" defaultRowHeight="12.75" x14ac:dyDescent="0.2"/>
  <cols>
    <col min="1" max="16384" width="8.85546875" style="182"/>
  </cols>
  <sheetData>
    <row r="1" spans="1:1" s="184" customFormat="1" ht="22.9" customHeight="1" x14ac:dyDescent="0.2">
      <c r="A1" s="183" t="str">
        <f>Proforma!B1</f>
        <v>Stonecroft - 4900 Raytown Rd, Kansas City, MO</v>
      </c>
    </row>
  </sheetData>
  <sheetProtection algorithmName="SHA-512" hashValue="g1/dT6SXo8jxke039RwfYnJVRW3OmBSQEBX/hjo8fbyyrvpegXf2e8Vkj6lmlNGYin34LS2k4/9IEMvZ5FhaSw==" saltValue="g1B0ChJeBv81f66O808sLA==" spinCount="100000" sheet="1" objects="1" scenario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211"/>
  <sheetViews>
    <sheetView workbookViewId="0">
      <selection activeCell="J12" sqref="J12"/>
    </sheetView>
  </sheetViews>
  <sheetFormatPr defaultColWidth="12.28515625" defaultRowHeight="12.75" x14ac:dyDescent="0.2"/>
  <cols>
    <col min="1" max="1" width="7.5703125" style="37" bestFit="1" customWidth="1"/>
    <col min="2" max="2" width="54.28515625" style="37" bestFit="1" customWidth="1"/>
    <col min="3" max="3" width="13.85546875" style="36" bestFit="1" customWidth="1"/>
    <col min="4" max="4" width="16.42578125" style="37" bestFit="1" customWidth="1"/>
    <col min="5" max="5" width="12.42578125" style="37" customWidth="1"/>
    <col min="6" max="6" width="15.42578125" style="37" customWidth="1"/>
    <col min="7" max="8" width="12.42578125" style="37" customWidth="1"/>
    <col min="9" max="9" width="12.85546875" style="37" bestFit="1" customWidth="1"/>
    <col min="10" max="10" width="14.5703125" style="37" bestFit="1" customWidth="1"/>
    <col min="11" max="12" width="12.42578125" style="37" customWidth="1"/>
    <col min="13" max="13" width="15.28515625" style="37" customWidth="1"/>
    <col min="14" max="16" width="13.28515625" style="37" customWidth="1"/>
    <col min="17" max="17" width="12.42578125" style="37" customWidth="1"/>
    <col min="18" max="34" width="12.85546875" style="37" bestFit="1" customWidth="1"/>
    <col min="35" max="35" width="16.140625" style="37" bestFit="1" customWidth="1"/>
    <col min="36" max="16384" width="12.28515625" style="37"/>
  </cols>
  <sheetData>
    <row r="1" spans="2:20" x14ac:dyDescent="0.2">
      <c r="B1" s="38" t="s">
        <v>349</v>
      </c>
      <c r="C1" s="280" t="str">
        <f>HYPERLINK("http://maps.google.com/maps?q="&amp;B1,"View on Google Map")</f>
        <v>View on Google Map</v>
      </c>
    </row>
    <row r="2" spans="2:20" x14ac:dyDescent="0.2">
      <c r="C2" s="49"/>
    </row>
    <row r="3" spans="2:20" x14ac:dyDescent="0.2">
      <c r="B3" s="29" t="s">
        <v>72</v>
      </c>
      <c r="C3" s="29"/>
      <c r="D3" s="78" t="s">
        <v>75</v>
      </c>
      <c r="G3" s="29" t="s">
        <v>202</v>
      </c>
      <c r="H3" s="29"/>
      <c r="I3" s="29"/>
      <c r="J3" s="29"/>
      <c r="K3" s="29"/>
      <c r="L3" s="29"/>
      <c r="M3" s="29"/>
    </row>
    <row r="4" spans="2:20" x14ac:dyDescent="0.2">
      <c r="B4" s="33" t="s">
        <v>18</v>
      </c>
      <c r="C4" s="282">
        <v>970000</v>
      </c>
      <c r="D4" s="136">
        <f>C4/C14</f>
        <v>6554.0540540540542</v>
      </c>
      <c r="G4" s="37" t="s">
        <v>204</v>
      </c>
      <c r="H4" s="60"/>
      <c r="I4" s="281">
        <v>0.02</v>
      </c>
      <c r="L4" s="176" t="s">
        <v>299</v>
      </c>
      <c r="M4" s="366" t="s">
        <v>347</v>
      </c>
      <c r="T4" s="60"/>
    </row>
    <row r="5" spans="2:20" x14ac:dyDescent="0.2">
      <c r="B5" s="52" t="s">
        <v>73</v>
      </c>
      <c r="C5" s="53">
        <f>Notes!C15</f>
        <v>785849.19</v>
      </c>
      <c r="G5" s="37" t="s">
        <v>205</v>
      </c>
      <c r="H5" s="60"/>
      <c r="I5" s="281">
        <v>0.05</v>
      </c>
      <c r="T5" s="60"/>
    </row>
    <row r="6" spans="2:20" ht="13.5" thickBot="1" x14ac:dyDescent="0.25">
      <c r="B6" s="1" t="s">
        <v>20</v>
      </c>
      <c r="C6" s="2">
        <f>SUM(C4:C5)</f>
        <v>1755849.19</v>
      </c>
      <c r="D6" s="2"/>
      <c r="F6" s="138"/>
      <c r="G6" s="37" t="s">
        <v>206</v>
      </c>
      <c r="H6" s="60"/>
      <c r="I6" s="286">
        <v>1750</v>
      </c>
      <c r="L6" s="176"/>
      <c r="M6" s="286"/>
      <c r="T6" s="60"/>
    </row>
    <row r="7" spans="2:20" ht="13.5" thickTop="1" x14ac:dyDescent="0.2">
      <c r="B7" s="30"/>
      <c r="C7" s="73"/>
      <c r="D7" s="54"/>
      <c r="G7" s="37" t="s">
        <v>211</v>
      </c>
      <c r="H7" s="60"/>
      <c r="I7" s="545">
        <v>1.7600000000000001E-2</v>
      </c>
      <c r="T7" s="60"/>
    </row>
    <row r="8" spans="2:20" x14ac:dyDescent="0.2">
      <c r="B8" s="37" t="s">
        <v>213</v>
      </c>
      <c r="C8" s="73">
        <f ca="1">E85/(C4+C5)</f>
        <v>-4.3966361370705184E-2</v>
      </c>
      <c r="G8" s="37" t="s">
        <v>328</v>
      </c>
      <c r="I8" s="390">
        <v>20</v>
      </c>
    </row>
    <row r="9" spans="2:20" x14ac:dyDescent="0.2">
      <c r="B9" s="37" t="s">
        <v>212</v>
      </c>
      <c r="C9" s="73">
        <f>D100</f>
        <v>6.5000000000000002E-2</v>
      </c>
    </row>
    <row r="10" spans="2:20" x14ac:dyDescent="0.2">
      <c r="C10" s="73"/>
    </row>
    <row r="11" spans="2:20" x14ac:dyDescent="0.2">
      <c r="B11" s="131" t="s">
        <v>0</v>
      </c>
      <c r="C11" s="133" t="s">
        <v>22</v>
      </c>
      <c r="D11" s="133" t="s">
        <v>123</v>
      </c>
      <c r="E11" s="133" t="s">
        <v>124</v>
      </c>
      <c r="F11" s="133" t="s">
        <v>125</v>
      </c>
    </row>
    <row r="12" spans="2:20" x14ac:dyDescent="0.2">
      <c r="B12" s="33" t="s">
        <v>197</v>
      </c>
      <c r="C12" s="39">
        <v>148</v>
      </c>
      <c r="D12" s="39">
        <v>20</v>
      </c>
      <c r="E12" s="39">
        <f>C12-D12</f>
        <v>128</v>
      </c>
      <c r="F12" s="283">
        <f>E12/C12</f>
        <v>0.86486486486486491</v>
      </c>
    </row>
    <row r="13" spans="2:20" x14ac:dyDescent="0.2">
      <c r="B13" s="33" t="s">
        <v>198</v>
      </c>
      <c r="C13" s="39"/>
      <c r="D13" s="39"/>
      <c r="E13" s="39">
        <f>C13-D13</f>
        <v>0</v>
      </c>
    </row>
    <row r="14" spans="2:20" x14ac:dyDescent="0.2">
      <c r="B14" s="131" t="s">
        <v>22</v>
      </c>
      <c r="C14" s="133">
        <f>SUM(C12:C13)</f>
        <v>148</v>
      </c>
      <c r="D14" s="135">
        <f>SUM(D12:D13)</f>
        <v>20</v>
      </c>
      <c r="E14" s="175">
        <f t="shared" ref="E14" si="0">C14-D14</f>
        <v>128</v>
      </c>
      <c r="F14" s="173">
        <f>E14/C14</f>
        <v>0.86486486486486491</v>
      </c>
    </row>
    <row r="15" spans="2:20" x14ac:dyDescent="0.2">
      <c r="B15" s="33"/>
      <c r="C15" s="134"/>
      <c r="D15" s="134"/>
      <c r="E15" s="39"/>
    </row>
    <row r="16" spans="2:20" x14ac:dyDescent="0.2">
      <c r="B16" s="33" t="s">
        <v>126</v>
      </c>
      <c r="C16" s="252">
        <v>9</v>
      </c>
      <c r="D16" s="39">
        <v>9</v>
      </c>
      <c r="E16" s="39">
        <v>0</v>
      </c>
      <c r="F16" s="146">
        <v>0</v>
      </c>
      <c r="G16" s="147" t="s">
        <v>139</v>
      </c>
      <c r="H16" s="144"/>
    </row>
    <row r="17" spans="1:16384" x14ac:dyDescent="0.2">
      <c r="B17" s="33"/>
      <c r="C17" s="134"/>
      <c r="D17" s="134"/>
      <c r="E17" s="134"/>
    </row>
    <row r="18" spans="1:16384" x14ac:dyDescent="0.2">
      <c r="B18" s="29" t="s">
        <v>93</v>
      </c>
      <c r="C18" s="78" t="s">
        <v>94</v>
      </c>
      <c r="D18" s="78" t="s">
        <v>95</v>
      </c>
      <c r="F18" s="96" t="s">
        <v>158</v>
      </c>
      <c r="G18" s="96"/>
      <c r="H18" s="96"/>
    </row>
    <row r="19" spans="1:16384" x14ac:dyDescent="0.2">
      <c r="C19" s="558" t="s">
        <v>137</v>
      </c>
      <c r="D19" s="559"/>
      <c r="F19" s="60" t="s">
        <v>159</v>
      </c>
      <c r="G19" s="97"/>
      <c r="H19" s="281">
        <v>0.5</v>
      </c>
    </row>
    <row r="20" spans="1:16384" x14ac:dyDescent="0.2">
      <c r="B20" s="77" t="s">
        <v>96</v>
      </c>
      <c r="C20" s="153">
        <f>C91</f>
        <v>0</v>
      </c>
      <c r="D20" s="154">
        <f>D91</f>
        <v>0.7</v>
      </c>
      <c r="F20" s="60" t="s">
        <v>107</v>
      </c>
      <c r="G20" s="97"/>
      <c r="H20" s="75">
        <f>1-H19</f>
        <v>0.5</v>
      </c>
      <c r="K20" s="41"/>
    </row>
    <row r="21" spans="1:16384" x14ac:dyDescent="0.2">
      <c r="B21" s="77" t="s">
        <v>1</v>
      </c>
      <c r="C21" s="155">
        <f>C93</f>
        <v>360</v>
      </c>
      <c r="D21" s="156">
        <f>D93</f>
        <v>360</v>
      </c>
      <c r="F21" s="60" t="s">
        <v>160</v>
      </c>
      <c r="G21" s="97"/>
      <c r="H21" s="281">
        <v>0.05</v>
      </c>
      <c r="J21" s="41"/>
    </row>
    <row r="22" spans="1:16384" x14ac:dyDescent="0.2">
      <c r="B22" s="77" t="s">
        <v>92</v>
      </c>
      <c r="C22" s="157">
        <f>C95</f>
        <v>5.2499999999999998E-2</v>
      </c>
      <c r="D22" s="158">
        <f>D95</f>
        <v>6.5000000000000002E-2</v>
      </c>
      <c r="F22" s="60" t="s">
        <v>161</v>
      </c>
      <c r="G22" s="97"/>
      <c r="H22" s="281">
        <v>0.05</v>
      </c>
    </row>
    <row r="23" spans="1:16384" x14ac:dyDescent="0.2">
      <c r="B23" s="77"/>
      <c r="D23" s="142"/>
    </row>
    <row r="24" spans="1:16384" x14ac:dyDescent="0.2">
      <c r="B24" s="77"/>
      <c r="C24" s="79"/>
      <c r="D24" s="39"/>
    </row>
    <row r="25" spans="1:16384" x14ac:dyDescent="0.2">
      <c r="C25" s="49"/>
      <c r="D25" s="49"/>
      <c r="F25" s="137" t="str">
        <f>TEXT(((F28-E28)/E28),"0.0%")</f>
        <v>4.0%</v>
      </c>
      <c r="I25" s="39"/>
    </row>
    <row r="26" spans="1:16384" x14ac:dyDescent="0.2">
      <c r="A26" s="39" t="s">
        <v>149</v>
      </c>
      <c r="B26" s="55" t="s">
        <v>76</v>
      </c>
      <c r="C26" s="56" t="s">
        <v>71</v>
      </c>
      <c r="D26" s="70" t="s">
        <v>84</v>
      </c>
      <c r="E26" s="61">
        <v>1</v>
      </c>
      <c r="F26" s="61">
        <f>E26+1</f>
        <v>2</v>
      </c>
      <c r="G26" s="61">
        <f t="shared" ref="G26:AH26" si="1">F26+1</f>
        <v>3</v>
      </c>
      <c r="H26" s="61">
        <f t="shared" si="1"/>
        <v>4</v>
      </c>
      <c r="I26" s="61">
        <f t="shared" si="1"/>
        <v>5</v>
      </c>
      <c r="J26" s="61">
        <f t="shared" si="1"/>
        <v>6</v>
      </c>
      <c r="K26" s="61">
        <f t="shared" si="1"/>
        <v>7</v>
      </c>
      <c r="L26" s="61">
        <f t="shared" si="1"/>
        <v>8</v>
      </c>
      <c r="M26" s="61">
        <f t="shared" si="1"/>
        <v>9</v>
      </c>
      <c r="N26" s="61">
        <f t="shared" si="1"/>
        <v>10</v>
      </c>
      <c r="O26" s="61">
        <f t="shared" si="1"/>
        <v>11</v>
      </c>
      <c r="P26" s="61">
        <f t="shared" si="1"/>
        <v>12</v>
      </c>
      <c r="Q26" s="61">
        <f t="shared" si="1"/>
        <v>13</v>
      </c>
      <c r="R26" s="61">
        <f t="shared" si="1"/>
        <v>14</v>
      </c>
      <c r="S26" s="61">
        <f t="shared" si="1"/>
        <v>15</v>
      </c>
      <c r="T26" s="61">
        <f t="shared" si="1"/>
        <v>16</v>
      </c>
      <c r="U26" s="61">
        <f t="shared" si="1"/>
        <v>17</v>
      </c>
      <c r="V26" s="61">
        <f t="shared" si="1"/>
        <v>18</v>
      </c>
      <c r="W26" s="61">
        <f t="shared" si="1"/>
        <v>19</v>
      </c>
      <c r="X26" s="61">
        <f t="shared" si="1"/>
        <v>20</v>
      </c>
      <c r="Y26" s="61">
        <f t="shared" si="1"/>
        <v>21</v>
      </c>
      <c r="Z26" s="61">
        <f t="shared" si="1"/>
        <v>22</v>
      </c>
      <c r="AA26" s="61">
        <f t="shared" si="1"/>
        <v>23</v>
      </c>
      <c r="AB26" s="61">
        <f t="shared" si="1"/>
        <v>24</v>
      </c>
      <c r="AC26" s="61">
        <f t="shared" si="1"/>
        <v>25</v>
      </c>
      <c r="AD26" s="61">
        <f t="shared" si="1"/>
        <v>26</v>
      </c>
      <c r="AE26" s="61">
        <f t="shared" si="1"/>
        <v>27</v>
      </c>
      <c r="AF26" s="61">
        <f t="shared" si="1"/>
        <v>28</v>
      </c>
      <c r="AG26" s="61">
        <f t="shared" si="1"/>
        <v>29</v>
      </c>
      <c r="AH26" s="61">
        <f t="shared" si="1"/>
        <v>30</v>
      </c>
      <c r="AI26" s="62" t="s">
        <v>4</v>
      </c>
    </row>
    <row r="27" spans="1:16384" x14ac:dyDescent="0.2">
      <c r="B27" s="38" t="s">
        <v>77</v>
      </c>
      <c r="C27" s="253"/>
      <c r="D27" s="246"/>
      <c r="E27" s="40"/>
      <c r="F27" s="367" t="str">
        <f>"YOY = "&amp;TEXT(((F28-E28)/E28),"0.0%")</f>
        <v>YOY = 4.0%</v>
      </c>
      <c r="G27" s="367" t="str">
        <f t="shared" ref="G27:AH27" si="2">"YOY = "&amp;TEXT(((G28-F28)/F28),"0.0%")</f>
        <v>YOY = 4.0%</v>
      </c>
      <c r="H27" s="367" t="str">
        <f t="shared" si="2"/>
        <v>YOY = 4.0%</v>
      </c>
      <c r="I27" s="367" t="str">
        <f t="shared" si="2"/>
        <v>YOY = 4.0%</v>
      </c>
      <c r="J27" s="367" t="str">
        <f t="shared" si="2"/>
        <v>YOY = 4.0%</v>
      </c>
      <c r="K27" s="367" t="str">
        <f t="shared" si="2"/>
        <v>YOY = 4.0%</v>
      </c>
      <c r="L27" s="367" t="str">
        <f t="shared" si="2"/>
        <v>YOY = 4.0%</v>
      </c>
      <c r="M27" s="367" t="str">
        <f t="shared" si="2"/>
        <v>YOY = 4.0%</v>
      </c>
      <c r="N27" s="367" t="str">
        <f t="shared" si="2"/>
        <v>YOY = 4.0%</v>
      </c>
      <c r="O27" s="367" t="str">
        <f t="shared" si="2"/>
        <v>YOY = 4.0%</v>
      </c>
      <c r="P27" s="367" t="str">
        <f t="shared" si="2"/>
        <v>YOY = 4.0%</v>
      </c>
      <c r="Q27" s="367" t="str">
        <f t="shared" si="2"/>
        <v>YOY = 4.0%</v>
      </c>
      <c r="R27" s="367" t="str">
        <f t="shared" si="2"/>
        <v>YOY = 4.0%</v>
      </c>
      <c r="S27" s="367" t="str">
        <f t="shared" si="2"/>
        <v>YOY = 4.0%</v>
      </c>
      <c r="T27" s="367" t="str">
        <f t="shared" si="2"/>
        <v>YOY = 4.0%</v>
      </c>
      <c r="U27" s="367" t="str">
        <f t="shared" si="2"/>
        <v>YOY = 4.0%</v>
      </c>
      <c r="V27" s="367" t="str">
        <f t="shared" si="2"/>
        <v>YOY = 4.0%</v>
      </c>
      <c r="W27" s="367" t="str">
        <f t="shared" si="2"/>
        <v>YOY = 4.0%</v>
      </c>
      <c r="X27" s="367" t="str">
        <f t="shared" si="2"/>
        <v>YOY = 4.0%</v>
      </c>
      <c r="Y27" s="367" t="str">
        <f t="shared" si="2"/>
        <v>YOY = 4.0%</v>
      </c>
      <c r="Z27" s="367" t="str">
        <f t="shared" si="2"/>
        <v>YOY = 4.0%</v>
      </c>
      <c r="AA27" s="367" t="str">
        <f t="shared" si="2"/>
        <v>YOY = 4.0%</v>
      </c>
      <c r="AB27" s="367" t="str">
        <f t="shared" si="2"/>
        <v>YOY = 4.0%</v>
      </c>
      <c r="AC27" s="367" t="str">
        <f t="shared" si="2"/>
        <v>YOY = 4.0%</v>
      </c>
      <c r="AD27" s="367" t="str">
        <f t="shared" si="2"/>
        <v>YOY = 4.0%</v>
      </c>
      <c r="AE27" s="367" t="str">
        <f t="shared" si="2"/>
        <v>YOY = 4.0%</v>
      </c>
      <c r="AF27" s="367" t="str">
        <f t="shared" si="2"/>
        <v>YOY = 4.0%</v>
      </c>
      <c r="AG27" s="367" t="str">
        <f t="shared" si="2"/>
        <v>YOY = 4.0%</v>
      </c>
      <c r="AH27" s="367" t="str">
        <f t="shared" si="2"/>
        <v>YOY = 4.0%</v>
      </c>
      <c r="AI27" s="40"/>
    </row>
    <row r="28" spans="1:16384" x14ac:dyDescent="0.2">
      <c r="B28" s="52" t="s">
        <v>118</v>
      </c>
      <c r="C28" s="254">
        <v>400</v>
      </c>
      <c r="D28" s="80">
        <v>0.04</v>
      </c>
      <c r="E28" s="40">
        <f>C28</f>
        <v>400</v>
      </c>
      <c r="F28" s="40">
        <f t="shared" ref="F28:G28" si="3">E28*(1+$D$28)</f>
        <v>416</v>
      </c>
      <c r="G28" s="40">
        <f t="shared" si="3"/>
        <v>432.64</v>
      </c>
      <c r="H28" s="40">
        <f t="shared" ref="H28" si="4">G28*(1+$D$28)</f>
        <v>449.94560000000001</v>
      </c>
      <c r="I28" s="40">
        <f t="shared" ref="I28" si="5">H28*(1+$D$28)</f>
        <v>467.94342400000005</v>
      </c>
      <c r="J28" s="40">
        <f t="shared" ref="J28" si="6">I28*(1+$D$28)</f>
        <v>486.66116096000007</v>
      </c>
      <c r="K28" s="40">
        <f t="shared" ref="K28:AI28" si="7">J28*(1+$D$28)</f>
        <v>506.12760739840007</v>
      </c>
      <c r="L28" s="40">
        <f t="shared" si="7"/>
        <v>526.37271169433609</v>
      </c>
      <c r="M28" s="40">
        <f t="shared" si="7"/>
        <v>547.42762016210952</v>
      </c>
      <c r="N28" s="40">
        <f t="shared" si="7"/>
        <v>569.32472496859396</v>
      </c>
      <c r="O28" s="40">
        <f t="shared" si="7"/>
        <v>592.09771396733777</v>
      </c>
      <c r="P28" s="40">
        <f t="shared" si="7"/>
        <v>615.78162252603136</v>
      </c>
      <c r="Q28" s="40">
        <f t="shared" si="7"/>
        <v>640.41288742707263</v>
      </c>
      <c r="R28" s="40">
        <f t="shared" si="7"/>
        <v>666.02940292415553</v>
      </c>
      <c r="S28" s="40">
        <f t="shared" si="7"/>
        <v>692.67057904112175</v>
      </c>
      <c r="T28" s="40">
        <f t="shared" si="7"/>
        <v>720.37740220276669</v>
      </c>
      <c r="U28" s="40">
        <f t="shared" si="7"/>
        <v>749.19249829087744</v>
      </c>
      <c r="V28" s="40">
        <f t="shared" si="7"/>
        <v>779.16019822251258</v>
      </c>
      <c r="W28" s="40">
        <f t="shared" si="7"/>
        <v>810.3266061514131</v>
      </c>
      <c r="X28" s="40">
        <f t="shared" si="7"/>
        <v>842.73967039746969</v>
      </c>
      <c r="Y28" s="40">
        <f t="shared" si="7"/>
        <v>876.44925721336847</v>
      </c>
      <c r="Z28" s="40">
        <f t="shared" si="7"/>
        <v>911.50722750190323</v>
      </c>
      <c r="AA28" s="40">
        <f t="shared" si="7"/>
        <v>947.96751660197936</v>
      </c>
      <c r="AB28" s="40">
        <f t="shared" si="7"/>
        <v>985.88621726605857</v>
      </c>
      <c r="AC28" s="40">
        <f t="shared" si="7"/>
        <v>1025.3216659567011</v>
      </c>
      <c r="AD28" s="40">
        <f t="shared" si="7"/>
        <v>1066.3345325949692</v>
      </c>
      <c r="AE28" s="40">
        <f t="shared" si="7"/>
        <v>1108.9879138987681</v>
      </c>
      <c r="AF28" s="40">
        <f t="shared" si="7"/>
        <v>1153.3474304547187</v>
      </c>
      <c r="AG28" s="40">
        <f t="shared" si="7"/>
        <v>1199.4813276729076</v>
      </c>
      <c r="AH28" s="40">
        <f t="shared" si="7"/>
        <v>1247.4605807798239</v>
      </c>
      <c r="AI28" s="40">
        <f t="shared" si="7"/>
        <v>1297.3590040110169</v>
      </c>
    </row>
    <row r="29" spans="1:16384" x14ac:dyDescent="0.2">
      <c r="B29" s="52" t="s">
        <v>168</v>
      </c>
      <c r="C29" s="254"/>
      <c r="D29" s="80">
        <v>0.04</v>
      </c>
      <c r="E29" s="40">
        <f>C29</f>
        <v>0</v>
      </c>
      <c r="F29" s="40">
        <f t="shared" ref="F29" si="8">E29*(1+$D$29)</f>
        <v>0</v>
      </c>
      <c r="G29" s="40">
        <f t="shared" ref="G29" si="9">F29*(1+$D$29)</f>
        <v>0</v>
      </c>
      <c r="H29" s="40">
        <f t="shared" ref="H29" si="10">G29*(1+$D$29)</f>
        <v>0</v>
      </c>
      <c r="I29" s="40">
        <f t="shared" ref="I29" si="11">H29*(1+$D$29)</f>
        <v>0</v>
      </c>
      <c r="J29" s="40">
        <f t="shared" ref="J29:AI29" si="12">I29*(1+$D$29)</f>
        <v>0</v>
      </c>
      <c r="K29" s="40">
        <f t="shared" si="12"/>
        <v>0</v>
      </c>
      <c r="L29" s="40">
        <f t="shared" si="12"/>
        <v>0</v>
      </c>
      <c r="M29" s="40">
        <f t="shared" si="12"/>
        <v>0</v>
      </c>
      <c r="N29" s="40">
        <f t="shared" si="12"/>
        <v>0</v>
      </c>
      <c r="O29" s="40">
        <f t="shared" si="12"/>
        <v>0</v>
      </c>
      <c r="P29" s="40">
        <f t="shared" si="12"/>
        <v>0</v>
      </c>
      <c r="Q29" s="40">
        <f t="shared" si="12"/>
        <v>0</v>
      </c>
      <c r="R29" s="40">
        <f t="shared" si="12"/>
        <v>0</v>
      </c>
      <c r="S29" s="40">
        <f t="shared" si="12"/>
        <v>0</v>
      </c>
      <c r="T29" s="40">
        <f t="shared" si="12"/>
        <v>0</v>
      </c>
      <c r="U29" s="40">
        <f t="shared" si="12"/>
        <v>0</v>
      </c>
      <c r="V29" s="40">
        <f t="shared" si="12"/>
        <v>0</v>
      </c>
      <c r="W29" s="40">
        <f t="shared" si="12"/>
        <v>0</v>
      </c>
      <c r="X29" s="40">
        <f t="shared" si="12"/>
        <v>0</v>
      </c>
      <c r="Y29" s="40">
        <f t="shared" si="12"/>
        <v>0</v>
      </c>
      <c r="Z29" s="40">
        <f t="shared" si="12"/>
        <v>0</v>
      </c>
      <c r="AA29" s="40">
        <f t="shared" si="12"/>
        <v>0</v>
      </c>
      <c r="AB29" s="40">
        <f t="shared" si="12"/>
        <v>0</v>
      </c>
      <c r="AC29" s="40">
        <f t="shared" si="12"/>
        <v>0</v>
      </c>
      <c r="AD29" s="40">
        <f t="shared" si="12"/>
        <v>0</v>
      </c>
      <c r="AE29" s="40">
        <f t="shared" si="12"/>
        <v>0</v>
      </c>
      <c r="AF29" s="40">
        <f t="shared" si="12"/>
        <v>0</v>
      </c>
      <c r="AG29" s="40">
        <f t="shared" si="12"/>
        <v>0</v>
      </c>
      <c r="AH29" s="40">
        <f t="shared" si="12"/>
        <v>0</v>
      </c>
      <c r="AI29" s="40">
        <f t="shared" si="12"/>
        <v>0</v>
      </c>
    </row>
    <row r="30" spans="1:16384" x14ac:dyDescent="0.2">
      <c r="B30" s="52" t="s">
        <v>169</v>
      </c>
      <c r="C30" s="254"/>
      <c r="D30" s="80">
        <v>0.04</v>
      </c>
      <c r="E30" s="40">
        <f>C30</f>
        <v>0</v>
      </c>
      <c r="F30" s="40">
        <f t="shared" ref="F30" si="13">E30*(1+$D$30)</f>
        <v>0</v>
      </c>
      <c r="G30" s="40">
        <f t="shared" ref="G30" si="14">F30*(1+$D$30)</f>
        <v>0</v>
      </c>
      <c r="H30" s="40">
        <f t="shared" ref="H30" si="15">G30*(1+$D$30)</f>
        <v>0</v>
      </c>
      <c r="I30" s="40">
        <f t="shared" ref="I30" si="16">H30*(1+$D$30)</f>
        <v>0</v>
      </c>
      <c r="J30" s="40">
        <f t="shared" ref="J30:AI30" si="17">I30*(1+$D$30)</f>
        <v>0</v>
      </c>
      <c r="K30" s="40">
        <f t="shared" si="17"/>
        <v>0</v>
      </c>
      <c r="L30" s="40">
        <f t="shared" si="17"/>
        <v>0</v>
      </c>
      <c r="M30" s="40">
        <f t="shared" si="17"/>
        <v>0</v>
      </c>
      <c r="N30" s="40">
        <f t="shared" si="17"/>
        <v>0</v>
      </c>
      <c r="O30" s="40">
        <f t="shared" si="17"/>
        <v>0</v>
      </c>
      <c r="P30" s="40">
        <f t="shared" si="17"/>
        <v>0</v>
      </c>
      <c r="Q30" s="40">
        <f t="shared" si="17"/>
        <v>0</v>
      </c>
      <c r="R30" s="40">
        <f t="shared" si="17"/>
        <v>0</v>
      </c>
      <c r="S30" s="40">
        <f t="shared" si="17"/>
        <v>0</v>
      </c>
      <c r="T30" s="40">
        <f t="shared" si="17"/>
        <v>0</v>
      </c>
      <c r="U30" s="40">
        <f t="shared" si="17"/>
        <v>0</v>
      </c>
      <c r="V30" s="40">
        <f t="shared" si="17"/>
        <v>0</v>
      </c>
      <c r="W30" s="40">
        <f t="shared" si="17"/>
        <v>0</v>
      </c>
      <c r="X30" s="40">
        <f t="shared" si="17"/>
        <v>0</v>
      </c>
      <c r="Y30" s="40">
        <f t="shared" si="17"/>
        <v>0</v>
      </c>
      <c r="Z30" s="40">
        <f t="shared" si="17"/>
        <v>0</v>
      </c>
      <c r="AA30" s="40">
        <f t="shared" si="17"/>
        <v>0</v>
      </c>
      <c r="AB30" s="40">
        <f t="shared" si="17"/>
        <v>0</v>
      </c>
      <c r="AC30" s="40">
        <f t="shared" si="17"/>
        <v>0</v>
      </c>
      <c r="AD30" s="40">
        <f t="shared" si="17"/>
        <v>0</v>
      </c>
      <c r="AE30" s="40">
        <f t="shared" si="17"/>
        <v>0</v>
      </c>
      <c r="AF30" s="40">
        <f t="shared" si="17"/>
        <v>0</v>
      </c>
      <c r="AG30" s="40">
        <f t="shared" si="17"/>
        <v>0</v>
      </c>
      <c r="AH30" s="40">
        <f t="shared" si="17"/>
        <v>0</v>
      </c>
      <c r="AI30" s="40">
        <f t="shared" si="17"/>
        <v>0</v>
      </c>
    </row>
    <row r="31" spans="1:16384" x14ac:dyDescent="0.2">
      <c r="B31" s="58" t="s">
        <v>195</v>
      </c>
      <c r="C31" s="255"/>
      <c r="D31" s="132">
        <v>0.04</v>
      </c>
      <c r="E31" s="40">
        <f>C31</f>
        <v>0</v>
      </c>
      <c r="F31" s="40">
        <f t="shared" ref="F31:I31" si="18">E31*(1+$D$31)</f>
        <v>0</v>
      </c>
      <c r="G31" s="40">
        <f t="shared" si="18"/>
        <v>0</v>
      </c>
      <c r="H31" s="40">
        <f t="shared" si="18"/>
        <v>0</v>
      </c>
      <c r="I31" s="40">
        <f t="shared" si="18"/>
        <v>0</v>
      </c>
      <c r="J31" s="40">
        <f>I31*(1+$D$31)</f>
        <v>0</v>
      </c>
      <c r="K31" s="40">
        <f t="shared" ref="K31:AI31" si="19">J31*(1+$D$31)</f>
        <v>0</v>
      </c>
      <c r="L31" s="40">
        <f t="shared" si="19"/>
        <v>0</v>
      </c>
      <c r="M31" s="40">
        <f t="shared" si="19"/>
        <v>0</v>
      </c>
      <c r="N31" s="40">
        <f t="shared" si="19"/>
        <v>0</v>
      </c>
      <c r="O31" s="40">
        <f t="shared" si="19"/>
        <v>0</v>
      </c>
      <c r="P31" s="40">
        <f t="shared" si="19"/>
        <v>0</v>
      </c>
      <c r="Q31" s="40">
        <f t="shared" si="19"/>
        <v>0</v>
      </c>
      <c r="R31" s="40">
        <f t="shared" si="19"/>
        <v>0</v>
      </c>
      <c r="S31" s="40">
        <f t="shared" si="19"/>
        <v>0</v>
      </c>
      <c r="T31" s="40">
        <f t="shared" si="19"/>
        <v>0</v>
      </c>
      <c r="U31" s="40">
        <f t="shared" si="19"/>
        <v>0</v>
      </c>
      <c r="V31" s="40">
        <f t="shared" si="19"/>
        <v>0</v>
      </c>
      <c r="W31" s="40">
        <f t="shared" si="19"/>
        <v>0</v>
      </c>
      <c r="X31" s="40">
        <f t="shared" si="19"/>
        <v>0</v>
      </c>
      <c r="Y31" s="40">
        <f t="shared" si="19"/>
        <v>0</v>
      </c>
      <c r="Z31" s="40">
        <f t="shared" si="19"/>
        <v>0</v>
      </c>
      <c r="AA31" s="40">
        <f t="shared" si="19"/>
        <v>0</v>
      </c>
      <c r="AB31" s="40">
        <f t="shared" si="19"/>
        <v>0</v>
      </c>
      <c r="AC31" s="40">
        <f t="shared" si="19"/>
        <v>0</v>
      </c>
      <c r="AD31" s="40">
        <f t="shared" si="19"/>
        <v>0</v>
      </c>
      <c r="AE31" s="40">
        <f t="shared" si="19"/>
        <v>0</v>
      </c>
      <c r="AF31" s="40">
        <f t="shared" si="19"/>
        <v>0</v>
      </c>
      <c r="AG31" s="40">
        <f t="shared" si="19"/>
        <v>0</v>
      </c>
      <c r="AH31" s="40">
        <f t="shared" si="19"/>
        <v>0</v>
      </c>
      <c r="AI31" s="40">
        <f t="shared" si="19"/>
        <v>0</v>
      </c>
      <c r="AJ31" s="52"/>
      <c r="AK31" s="41"/>
      <c r="AL31" s="128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52"/>
      <c r="BS31" s="41"/>
      <c r="BT31" s="128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52"/>
      <c r="DA31" s="41"/>
      <c r="DB31" s="128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52"/>
      <c r="EI31" s="41"/>
      <c r="EJ31" s="128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52"/>
      <c r="FQ31" s="41"/>
      <c r="FR31" s="128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52"/>
      <c r="GY31" s="41"/>
      <c r="GZ31" s="128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52"/>
      <c r="IG31" s="41"/>
      <c r="IH31" s="128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52"/>
      <c r="JO31" s="41"/>
      <c r="JP31" s="128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52"/>
      <c r="KW31" s="41"/>
      <c r="KX31" s="128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52"/>
      <c r="ME31" s="41"/>
      <c r="MF31" s="128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52"/>
      <c r="NM31" s="41"/>
      <c r="NN31" s="128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52"/>
      <c r="OU31" s="41"/>
      <c r="OV31" s="128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52"/>
      <c r="QC31" s="41"/>
      <c r="QD31" s="128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52"/>
      <c r="RK31" s="41"/>
      <c r="RL31" s="128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52"/>
      <c r="SS31" s="41"/>
      <c r="ST31" s="128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52"/>
      <c r="UA31" s="41"/>
      <c r="UB31" s="128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52"/>
      <c r="VI31" s="41"/>
      <c r="VJ31" s="128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52"/>
      <c r="WQ31" s="41"/>
      <c r="WR31" s="128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52"/>
      <c r="XY31" s="41"/>
      <c r="XZ31" s="128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52"/>
      <c r="ZG31" s="41"/>
      <c r="ZH31" s="128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52"/>
      <c r="AAO31" s="41"/>
      <c r="AAP31" s="128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52"/>
      <c r="ABW31" s="41"/>
      <c r="ABX31" s="128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52"/>
      <c r="ADE31" s="41"/>
      <c r="ADF31" s="128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52"/>
      <c r="AEM31" s="41"/>
      <c r="AEN31" s="128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52"/>
      <c r="AFU31" s="41"/>
      <c r="AFV31" s="128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52"/>
      <c r="AHC31" s="41"/>
      <c r="AHD31" s="128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52"/>
      <c r="AIK31" s="41"/>
      <c r="AIL31" s="128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52"/>
      <c r="AJS31" s="41"/>
      <c r="AJT31" s="128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52"/>
      <c r="ALA31" s="41"/>
      <c r="ALB31" s="128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52"/>
      <c r="AMI31" s="41"/>
      <c r="AMJ31" s="128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52"/>
      <c r="ANQ31" s="41"/>
      <c r="ANR31" s="128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52"/>
      <c r="AOY31" s="41"/>
      <c r="AOZ31" s="128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52"/>
      <c r="AQG31" s="41"/>
      <c r="AQH31" s="128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52"/>
      <c r="ARO31" s="41"/>
      <c r="ARP31" s="128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52"/>
      <c r="ASW31" s="41"/>
      <c r="ASX31" s="128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52"/>
      <c r="AUE31" s="41"/>
      <c r="AUF31" s="128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52"/>
      <c r="AVM31" s="41"/>
      <c r="AVN31" s="128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52"/>
      <c r="AWU31" s="41"/>
      <c r="AWV31" s="128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52"/>
      <c r="AYC31" s="41"/>
      <c r="AYD31" s="128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52"/>
      <c r="AZK31" s="41"/>
      <c r="AZL31" s="128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52"/>
      <c r="BAS31" s="41"/>
      <c r="BAT31" s="128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52"/>
      <c r="BCA31" s="41"/>
      <c r="BCB31" s="128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52"/>
      <c r="BDI31" s="41"/>
      <c r="BDJ31" s="128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52"/>
      <c r="BEQ31" s="41"/>
      <c r="BER31" s="128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52"/>
      <c r="BFY31" s="41"/>
      <c r="BFZ31" s="128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52"/>
      <c r="BHG31" s="41"/>
      <c r="BHH31" s="128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52"/>
      <c r="BIO31" s="41"/>
      <c r="BIP31" s="128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52"/>
      <c r="BJW31" s="41"/>
      <c r="BJX31" s="128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52"/>
      <c r="BLE31" s="41"/>
      <c r="BLF31" s="128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52"/>
      <c r="BMM31" s="41"/>
      <c r="BMN31" s="128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52"/>
      <c r="BNU31" s="41"/>
      <c r="BNV31" s="128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52"/>
      <c r="BPC31" s="41"/>
      <c r="BPD31" s="128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52"/>
      <c r="BQK31" s="41"/>
      <c r="BQL31" s="128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52"/>
      <c r="BRS31" s="41"/>
      <c r="BRT31" s="128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52"/>
      <c r="BTA31" s="41"/>
      <c r="BTB31" s="128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52"/>
      <c r="BUI31" s="41"/>
      <c r="BUJ31" s="128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52"/>
      <c r="BVQ31" s="41"/>
      <c r="BVR31" s="128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52"/>
      <c r="BWY31" s="41"/>
      <c r="BWZ31" s="128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52"/>
      <c r="BYG31" s="41"/>
      <c r="BYH31" s="128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52"/>
      <c r="BZO31" s="41"/>
      <c r="BZP31" s="128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52"/>
      <c r="CAW31" s="41"/>
      <c r="CAX31" s="128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52"/>
      <c r="CCE31" s="41"/>
      <c r="CCF31" s="128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52"/>
      <c r="CDM31" s="41"/>
      <c r="CDN31" s="128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52"/>
      <c r="CEU31" s="41"/>
      <c r="CEV31" s="128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52"/>
      <c r="CGC31" s="41"/>
      <c r="CGD31" s="128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52"/>
      <c r="CHK31" s="41"/>
      <c r="CHL31" s="128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52"/>
      <c r="CIS31" s="41"/>
      <c r="CIT31" s="128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52"/>
      <c r="CKA31" s="41"/>
      <c r="CKB31" s="128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52"/>
      <c r="CLI31" s="41"/>
      <c r="CLJ31" s="128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52"/>
      <c r="CMQ31" s="41"/>
      <c r="CMR31" s="128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52"/>
      <c r="CNY31" s="41"/>
      <c r="CNZ31" s="128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52"/>
      <c r="CPG31" s="41"/>
      <c r="CPH31" s="128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52"/>
      <c r="CQO31" s="41"/>
      <c r="CQP31" s="128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52"/>
      <c r="CRW31" s="41"/>
      <c r="CRX31" s="128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52"/>
      <c r="CTE31" s="41"/>
      <c r="CTF31" s="128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52"/>
      <c r="CUM31" s="41"/>
      <c r="CUN31" s="128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52"/>
      <c r="CVU31" s="41"/>
      <c r="CVV31" s="128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52"/>
      <c r="CXC31" s="41"/>
      <c r="CXD31" s="128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52"/>
      <c r="CYK31" s="41"/>
      <c r="CYL31" s="128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52"/>
      <c r="CZS31" s="41"/>
      <c r="CZT31" s="128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52"/>
      <c r="DBA31" s="41"/>
      <c r="DBB31" s="128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52"/>
      <c r="DCI31" s="41"/>
      <c r="DCJ31" s="128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52"/>
      <c r="DDQ31" s="41"/>
      <c r="DDR31" s="128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52"/>
      <c r="DEY31" s="41"/>
      <c r="DEZ31" s="128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52"/>
      <c r="DGG31" s="41"/>
      <c r="DGH31" s="128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52"/>
      <c r="DHO31" s="41"/>
      <c r="DHP31" s="128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52"/>
      <c r="DIW31" s="41"/>
      <c r="DIX31" s="128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52"/>
      <c r="DKE31" s="41"/>
      <c r="DKF31" s="128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52"/>
      <c r="DLM31" s="41"/>
      <c r="DLN31" s="128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52"/>
      <c r="DMU31" s="41"/>
      <c r="DMV31" s="128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52"/>
      <c r="DOC31" s="41"/>
      <c r="DOD31" s="128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52"/>
      <c r="DPK31" s="41"/>
      <c r="DPL31" s="128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52"/>
      <c r="DQS31" s="41"/>
      <c r="DQT31" s="128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52"/>
      <c r="DSA31" s="41"/>
      <c r="DSB31" s="128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52"/>
      <c r="DTI31" s="41"/>
      <c r="DTJ31" s="128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52"/>
      <c r="DUQ31" s="41"/>
      <c r="DUR31" s="128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52"/>
      <c r="DVY31" s="41"/>
      <c r="DVZ31" s="128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52"/>
      <c r="DXG31" s="41"/>
      <c r="DXH31" s="128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52"/>
      <c r="DYO31" s="41"/>
      <c r="DYP31" s="128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52"/>
      <c r="DZW31" s="41"/>
      <c r="DZX31" s="128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52"/>
      <c r="EBE31" s="41"/>
      <c r="EBF31" s="128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52"/>
      <c r="ECM31" s="41"/>
      <c r="ECN31" s="128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52"/>
      <c r="EDU31" s="41"/>
      <c r="EDV31" s="128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52"/>
      <c r="EFC31" s="41"/>
      <c r="EFD31" s="128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52"/>
      <c r="EGK31" s="41"/>
      <c r="EGL31" s="128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52"/>
      <c r="EHS31" s="41"/>
      <c r="EHT31" s="128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52"/>
      <c r="EJA31" s="41"/>
      <c r="EJB31" s="128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52"/>
      <c r="EKI31" s="41"/>
      <c r="EKJ31" s="128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52"/>
      <c r="ELQ31" s="41"/>
      <c r="ELR31" s="128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52"/>
      <c r="EMY31" s="41"/>
      <c r="EMZ31" s="128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52"/>
      <c r="EOG31" s="41"/>
      <c r="EOH31" s="128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52"/>
      <c r="EPO31" s="41"/>
      <c r="EPP31" s="128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52"/>
      <c r="EQW31" s="41"/>
      <c r="EQX31" s="128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52"/>
      <c r="ESE31" s="41"/>
      <c r="ESF31" s="128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52"/>
      <c r="ETM31" s="41"/>
      <c r="ETN31" s="128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52"/>
      <c r="EUU31" s="41"/>
      <c r="EUV31" s="128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52"/>
      <c r="EWC31" s="41"/>
      <c r="EWD31" s="128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52"/>
      <c r="EXK31" s="41"/>
      <c r="EXL31" s="128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52"/>
      <c r="EYS31" s="41"/>
      <c r="EYT31" s="128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52"/>
      <c r="FAA31" s="41"/>
      <c r="FAB31" s="128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52"/>
      <c r="FBI31" s="41"/>
      <c r="FBJ31" s="128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52"/>
      <c r="FCQ31" s="41"/>
      <c r="FCR31" s="128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52"/>
      <c r="FDY31" s="41"/>
      <c r="FDZ31" s="128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52"/>
      <c r="FFG31" s="41"/>
      <c r="FFH31" s="128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52"/>
      <c r="FGO31" s="41"/>
      <c r="FGP31" s="128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52"/>
      <c r="FHW31" s="41"/>
      <c r="FHX31" s="128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52"/>
      <c r="FJE31" s="41"/>
      <c r="FJF31" s="128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52"/>
      <c r="FKM31" s="41"/>
      <c r="FKN31" s="128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52"/>
      <c r="FLU31" s="41"/>
      <c r="FLV31" s="128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52"/>
      <c r="FNC31" s="41"/>
      <c r="FND31" s="128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52"/>
      <c r="FOK31" s="41"/>
      <c r="FOL31" s="128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52"/>
      <c r="FPS31" s="41"/>
      <c r="FPT31" s="128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52"/>
      <c r="FRA31" s="41"/>
      <c r="FRB31" s="128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52"/>
      <c r="FSI31" s="41"/>
      <c r="FSJ31" s="128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52"/>
      <c r="FTQ31" s="41"/>
      <c r="FTR31" s="128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52"/>
      <c r="FUY31" s="41"/>
      <c r="FUZ31" s="128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52"/>
      <c r="FWG31" s="41"/>
      <c r="FWH31" s="128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52"/>
      <c r="FXO31" s="41"/>
      <c r="FXP31" s="128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52"/>
      <c r="FYW31" s="41"/>
      <c r="FYX31" s="128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52"/>
      <c r="GAE31" s="41"/>
      <c r="GAF31" s="128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52"/>
      <c r="GBM31" s="41"/>
      <c r="GBN31" s="128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52"/>
      <c r="GCU31" s="41"/>
      <c r="GCV31" s="128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52"/>
      <c r="GEC31" s="41"/>
      <c r="GED31" s="128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52"/>
      <c r="GFK31" s="41"/>
      <c r="GFL31" s="128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52"/>
      <c r="GGS31" s="41"/>
      <c r="GGT31" s="128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52"/>
      <c r="GIA31" s="41"/>
      <c r="GIB31" s="128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52"/>
      <c r="GJI31" s="41"/>
      <c r="GJJ31" s="128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52"/>
      <c r="GKQ31" s="41"/>
      <c r="GKR31" s="128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52"/>
      <c r="GLY31" s="41"/>
      <c r="GLZ31" s="128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52"/>
      <c r="GNG31" s="41"/>
      <c r="GNH31" s="128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52"/>
      <c r="GOO31" s="41"/>
      <c r="GOP31" s="128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52"/>
      <c r="GPW31" s="41"/>
      <c r="GPX31" s="128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52"/>
      <c r="GRE31" s="41"/>
      <c r="GRF31" s="128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52"/>
      <c r="GSM31" s="41"/>
      <c r="GSN31" s="128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52"/>
      <c r="GTU31" s="41"/>
      <c r="GTV31" s="128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52"/>
      <c r="GVC31" s="41"/>
      <c r="GVD31" s="128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52"/>
      <c r="GWK31" s="41"/>
      <c r="GWL31" s="128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52"/>
      <c r="GXS31" s="41"/>
      <c r="GXT31" s="128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52"/>
      <c r="GZA31" s="41"/>
      <c r="GZB31" s="128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52"/>
      <c r="HAI31" s="41"/>
      <c r="HAJ31" s="128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52"/>
      <c r="HBQ31" s="41"/>
      <c r="HBR31" s="128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52"/>
      <c r="HCY31" s="41"/>
      <c r="HCZ31" s="128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52"/>
      <c r="HEG31" s="41"/>
      <c r="HEH31" s="128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52"/>
      <c r="HFO31" s="41"/>
      <c r="HFP31" s="128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52"/>
      <c r="HGW31" s="41"/>
      <c r="HGX31" s="128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52"/>
      <c r="HIE31" s="41"/>
      <c r="HIF31" s="128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52"/>
      <c r="HJM31" s="41"/>
      <c r="HJN31" s="128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52"/>
      <c r="HKU31" s="41"/>
      <c r="HKV31" s="128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52"/>
      <c r="HMC31" s="41"/>
      <c r="HMD31" s="128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52"/>
      <c r="HNK31" s="41"/>
      <c r="HNL31" s="128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52"/>
      <c r="HOS31" s="41"/>
      <c r="HOT31" s="128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52"/>
      <c r="HQA31" s="41"/>
      <c r="HQB31" s="128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52"/>
      <c r="HRI31" s="41"/>
      <c r="HRJ31" s="128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52"/>
      <c r="HSQ31" s="41"/>
      <c r="HSR31" s="128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52"/>
      <c r="HTY31" s="41"/>
      <c r="HTZ31" s="128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52"/>
      <c r="HVG31" s="41"/>
      <c r="HVH31" s="128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52"/>
      <c r="HWO31" s="41"/>
      <c r="HWP31" s="128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52"/>
      <c r="HXW31" s="41"/>
      <c r="HXX31" s="128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52"/>
      <c r="HZE31" s="41"/>
      <c r="HZF31" s="128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52"/>
      <c r="IAM31" s="41"/>
      <c r="IAN31" s="128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52"/>
      <c r="IBU31" s="41"/>
      <c r="IBV31" s="128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52"/>
      <c r="IDC31" s="41"/>
      <c r="IDD31" s="128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52"/>
      <c r="IEK31" s="41"/>
      <c r="IEL31" s="128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52"/>
      <c r="IFS31" s="41"/>
      <c r="IFT31" s="128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52"/>
      <c r="IHA31" s="41"/>
      <c r="IHB31" s="128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52"/>
      <c r="III31" s="41"/>
      <c r="IIJ31" s="128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52"/>
      <c r="IJQ31" s="41"/>
      <c r="IJR31" s="128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52"/>
      <c r="IKY31" s="41"/>
      <c r="IKZ31" s="128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52"/>
      <c r="IMG31" s="41"/>
      <c r="IMH31" s="128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52"/>
      <c r="INO31" s="41"/>
      <c r="INP31" s="128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52"/>
      <c r="IOW31" s="41"/>
      <c r="IOX31" s="128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52"/>
      <c r="IQE31" s="41"/>
      <c r="IQF31" s="128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52"/>
      <c r="IRM31" s="41"/>
      <c r="IRN31" s="128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52"/>
      <c r="ISU31" s="41"/>
      <c r="ISV31" s="128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52"/>
      <c r="IUC31" s="41"/>
      <c r="IUD31" s="128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52"/>
      <c r="IVK31" s="41"/>
      <c r="IVL31" s="128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52"/>
      <c r="IWS31" s="41"/>
      <c r="IWT31" s="128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52"/>
      <c r="IYA31" s="41"/>
      <c r="IYB31" s="128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52"/>
      <c r="IZI31" s="41"/>
      <c r="IZJ31" s="128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52"/>
      <c r="JAQ31" s="41"/>
      <c r="JAR31" s="128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52"/>
      <c r="JBY31" s="41"/>
      <c r="JBZ31" s="128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52"/>
      <c r="JDG31" s="41"/>
      <c r="JDH31" s="128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52"/>
      <c r="JEO31" s="41"/>
      <c r="JEP31" s="128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52"/>
      <c r="JFW31" s="41"/>
      <c r="JFX31" s="128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52"/>
      <c r="JHE31" s="41"/>
      <c r="JHF31" s="128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52"/>
      <c r="JIM31" s="41"/>
      <c r="JIN31" s="128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52"/>
      <c r="JJU31" s="41"/>
      <c r="JJV31" s="128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52"/>
      <c r="JLC31" s="41"/>
      <c r="JLD31" s="128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52"/>
      <c r="JMK31" s="41"/>
      <c r="JML31" s="128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52"/>
      <c r="JNS31" s="41"/>
      <c r="JNT31" s="128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52"/>
      <c r="JPA31" s="41"/>
      <c r="JPB31" s="128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52"/>
      <c r="JQI31" s="41"/>
      <c r="JQJ31" s="128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52"/>
      <c r="JRQ31" s="41"/>
      <c r="JRR31" s="128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52"/>
      <c r="JSY31" s="41"/>
      <c r="JSZ31" s="128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52"/>
      <c r="JUG31" s="41"/>
      <c r="JUH31" s="128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52"/>
      <c r="JVO31" s="41"/>
      <c r="JVP31" s="128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52"/>
      <c r="JWW31" s="41"/>
      <c r="JWX31" s="128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52"/>
      <c r="JYE31" s="41"/>
      <c r="JYF31" s="128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52"/>
      <c r="JZM31" s="41"/>
      <c r="JZN31" s="128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52"/>
      <c r="KAU31" s="41"/>
      <c r="KAV31" s="128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52"/>
      <c r="KCC31" s="41"/>
      <c r="KCD31" s="128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52"/>
      <c r="KDK31" s="41"/>
      <c r="KDL31" s="128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52"/>
      <c r="KES31" s="41"/>
      <c r="KET31" s="128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52"/>
      <c r="KGA31" s="41"/>
      <c r="KGB31" s="128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52"/>
      <c r="KHI31" s="41"/>
      <c r="KHJ31" s="128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52"/>
      <c r="KIQ31" s="41"/>
      <c r="KIR31" s="128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52"/>
      <c r="KJY31" s="41"/>
      <c r="KJZ31" s="128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52"/>
      <c r="KLG31" s="41"/>
      <c r="KLH31" s="128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52"/>
      <c r="KMO31" s="41"/>
      <c r="KMP31" s="128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52"/>
      <c r="KNW31" s="41"/>
      <c r="KNX31" s="128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52"/>
      <c r="KPE31" s="41"/>
      <c r="KPF31" s="128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52"/>
      <c r="KQM31" s="41"/>
      <c r="KQN31" s="128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52"/>
      <c r="KRU31" s="41"/>
      <c r="KRV31" s="128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52"/>
      <c r="KTC31" s="41"/>
      <c r="KTD31" s="128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52"/>
      <c r="KUK31" s="41"/>
      <c r="KUL31" s="128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52"/>
      <c r="KVS31" s="41"/>
      <c r="KVT31" s="128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52"/>
      <c r="KXA31" s="41"/>
      <c r="KXB31" s="128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52"/>
      <c r="KYI31" s="41"/>
      <c r="KYJ31" s="128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52"/>
      <c r="KZQ31" s="41"/>
      <c r="KZR31" s="128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52"/>
      <c r="LAY31" s="41"/>
      <c r="LAZ31" s="128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52"/>
      <c r="LCG31" s="41"/>
      <c r="LCH31" s="128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52"/>
      <c r="LDO31" s="41"/>
      <c r="LDP31" s="128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52"/>
      <c r="LEW31" s="41"/>
      <c r="LEX31" s="128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52"/>
      <c r="LGE31" s="41"/>
      <c r="LGF31" s="128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52"/>
      <c r="LHM31" s="41"/>
      <c r="LHN31" s="128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52"/>
      <c r="LIU31" s="41"/>
      <c r="LIV31" s="128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52"/>
      <c r="LKC31" s="41"/>
      <c r="LKD31" s="128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52"/>
      <c r="LLK31" s="41"/>
      <c r="LLL31" s="128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52"/>
      <c r="LMS31" s="41"/>
      <c r="LMT31" s="128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52"/>
      <c r="LOA31" s="41"/>
      <c r="LOB31" s="128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52"/>
      <c r="LPI31" s="41"/>
      <c r="LPJ31" s="128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52"/>
      <c r="LQQ31" s="41"/>
      <c r="LQR31" s="128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52"/>
      <c r="LRY31" s="41"/>
      <c r="LRZ31" s="128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52"/>
      <c r="LTG31" s="41"/>
      <c r="LTH31" s="128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52"/>
      <c r="LUO31" s="41"/>
      <c r="LUP31" s="128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52"/>
      <c r="LVW31" s="41"/>
      <c r="LVX31" s="128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52"/>
      <c r="LXE31" s="41"/>
      <c r="LXF31" s="128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52"/>
      <c r="LYM31" s="41"/>
      <c r="LYN31" s="128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52"/>
      <c r="LZU31" s="41"/>
      <c r="LZV31" s="128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52"/>
      <c r="MBC31" s="41"/>
      <c r="MBD31" s="128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52"/>
      <c r="MCK31" s="41"/>
      <c r="MCL31" s="128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52"/>
      <c r="MDS31" s="41"/>
      <c r="MDT31" s="128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52"/>
      <c r="MFA31" s="41"/>
      <c r="MFB31" s="128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52"/>
      <c r="MGI31" s="41"/>
      <c r="MGJ31" s="128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52"/>
      <c r="MHQ31" s="41"/>
      <c r="MHR31" s="128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52"/>
      <c r="MIY31" s="41"/>
      <c r="MIZ31" s="128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52"/>
      <c r="MKG31" s="41"/>
      <c r="MKH31" s="128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52"/>
      <c r="MLO31" s="41"/>
      <c r="MLP31" s="128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52"/>
      <c r="MMW31" s="41"/>
      <c r="MMX31" s="128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52"/>
      <c r="MOE31" s="41"/>
      <c r="MOF31" s="128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52"/>
      <c r="MPM31" s="41"/>
      <c r="MPN31" s="128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52"/>
      <c r="MQU31" s="41"/>
      <c r="MQV31" s="128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52"/>
      <c r="MSC31" s="41"/>
      <c r="MSD31" s="128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52"/>
      <c r="MTK31" s="41"/>
      <c r="MTL31" s="128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52"/>
      <c r="MUS31" s="41"/>
      <c r="MUT31" s="128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52"/>
      <c r="MWA31" s="41"/>
      <c r="MWB31" s="128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52"/>
      <c r="MXI31" s="41"/>
      <c r="MXJ31" s="128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52"/>
      <c r="MYQ31" s="41"/>
      <c r="MYR31" s="128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52"/>
      <c r="MZY31" s="41"/>
      <c r="MZZ31" s="128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52"/>
      <c r="NBG31" s="41"/>
      <c r="NBH31" s="128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52"/>
      <c r="NCO31" s="41"/>
      <c r="NCP31" s="128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52"/>
      <c r="NDW31" s="41"/>
      <c r="NDX31" s="128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52"/>
      <c r="NFE31" s="41"/>
      <c r="NFF31" s="128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52"/>
      <c r="NGM31" s="41"/>
      <c r="NGN31" s="128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52"/>
      <c r="NHU31" s="41"/>
      <c r="NHV31" s="128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52"/>
      <c r="NJC31" s="41"/>
      <c r="NJD31" s="128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52"/>
      <c r="NKK31" s="41"/>
      <c r="NKL31" s="128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52"/>
      <c r="NLS31" s="41"/>
      <c r="NLT31" s="128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52"/>
      <c r="NNA31" s="41"/>
      <c r="NNB31" s="128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52"/>
      <c r="NOI31" s="41"/>
      <c r="NOJ31" s="128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52"/>
      <c r="NPQ31" s="41"/>
      <c r="NPR31" s="128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52"/>
      <c r="NQY31" s="41"/>
      <c r="NQZ31" s="128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52"/>
      <c r="NSG31" s="41"/>
      <c r="NSH31" s="128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52"/>
      <c r="NTO31" s="41"/>
      <c r="NTP31" s="128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52"/>
      <c r="NUW31" s="41"/>
      <c r="NUX31" s="128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52"/>
      <c r="NWE31" s="41"/>
      <c r="NWF31" s="128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52"/>
      <c r="NXM31" s="41"/>
      <c r="NXN31" s="128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52"/>
      <c r="NYU31" s="41"/>
      <c r="NYV31" s="128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52"/>
      <c r="OAC31" s="41"/>
      <c r="OAD31" s="128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52"/>
      <c r="OBK31" s="41"/>
      <c r="OBL31" s="128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52"/>
      <c r="OCS31" s="41"/>
      <c r="OCT31" s="128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52"/>
      <c r="OEA31" s="41"/>
      <c r="OEB31" s="128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52"/>
      <c r="OFI31" s="41"/>
      <c r="OFJ31" s="128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52"/>
      <c r="OGQ31" s="41"/>
      <c r="OGR31" s="128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52"/>
      <c r="OHY31" s="41"/>
      <c r="OHZ31" s="128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52"/>
      <c r="OJG31" s="41"/>
      <c r="OJH31" s="128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52"/>
      <c r="OKO31" s="41"/>
      <c r="OKP31" s="128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52"/>
      <c r="OLW31" s="41"/>
      <c r="OLX31" s="128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52"/>
      <c r="ONE31" s="41"/>
      <c r="ONF31" s="128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52"/>
      <c r="OOM31" s="41"/>
      <c r="OON31" s="128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52"/>
      <c r="OPU31" s="41"/>
      <c r="OPV31" s="128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52"/>
      <c r="ORC31" s="41"/>
      <c r="ORD31" s="128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52"/>
      <c r="OSK31" s="41"/>
      <c r="OSL31" s="128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52"/>
      <c r="OTS31" s="41"/>
      <c r="OTT31" s="128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52"/>
      <c r="OVA31" s="41"/>
      <c r="OVB31" s="128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52"/>
      <c r="OWI31" s="41"/>
      <c r="OWJ31" s="128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52"/>
      <c r="OXQ31" s="41"/>
      <c r="OXR31" s="128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52"/>
      <c r="OYY31" s="41"/>
      <c r="OYZ31" s="128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52"/>
      <c r="PAG31" s="41"/>
      <c r="PAH31" s="128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52"/>
      <c r="PBO31" s="41"/>
      <c r="PBP31" s="128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52"/>
      <c r="PCW31" s="41"/>
      <c r="PCX31" s="128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52"/>
      <c r="PEE31" s="41"/>
      <c r="PEF31" s="128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52"/>
      <c r="PFM31" s="41"/>
      <c r="PFN31" s="128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52"/>
      <c r="PGU31" s="41"/>
      <c r="PGV31" s="128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52"/>
      <c r="PIC31" s="41"/>
      <c r="PID31" s="128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52"/>
      <c r="PJK31" s="41"/>
      <c r="PJL31" s="128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52"/>
      <c r="PKS31" s="41"/>
      <c r="PKT31" s="128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52"/>
      <c r="PMA31" s="41"/>
      <c r="PMB31" s="128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52"/>
      <c r="PNI31" s="41"/>
      <c r="PNJ31" s="128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52"/>
      <c r="POQ31" s="41"/>
      <c r="POR31" s="128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52"/>
      <c r="PPY31" s="41"/>
      <c r="PPZ31" s="128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52"/>
      <c r="PRG31" s="41"/>
      <c r="PRH31" s="128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52"/>
      <c r="PSO31" s="41"/>
      <c r="PSP31" s="128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52"/>
      <c r="PTW31" s="41"/>
      <c r="PTX31" s="128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52"/>
      <c r="PVE31" s="41"/>
      <c r="PVF31" s="128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52"/>
      <c r="PWM31" s="41"/>
      <c r="PWN31" s="128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52"/>
      <c r="PXU31" s="41"/>
      <c r="PXV31" s="128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52"/>
      <c r="PZC31" s="41"/>
      <c r="PZD31" s="128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52"/>
      <c r="QAK31" s="41"/>
      <c r="QAL31" s="128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52"/>
      <c r="QBS31" s="41"/>
      <c r="QBT31" s="128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52"/>
      <c r="QDA31" s="41"/>
      <c r="QDB31" s="128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52"/>
      <c r="QEI31" s="41"/>
      <c r="QEJ31" s="128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52"/>
      <c r="QFQ31" s="41"/>
      <c r="QFR31" s="128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52"/>
      <c r="QGY31" s="41"/>
      <c r="QGZ31" s="128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52"/>
      <c r="QIG31" s="41"/>
      <c r="QIH31" s="128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52"/>
      <c r="QJO31" s="41"/>
      <c r="QJP31" s="128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52"/>
      <c r="QKW31" s="41"/>
      <c r="QKX31" s="128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52"/>
      <c r="QME31" s="41"/>
      <c r="QMF31" s="128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52"/>
      <c r="QNM31" s="41"/>
      <c r="QNN31" s="128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52"/>
      <c r="QOU31" s="41"/>
      <c r="QOV31" s="128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52"/>
      <c r="QQC31" s="41"/>
      <c r="QQD31" s="128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52"/>
      <c r="QRK31" s="41"/>
      <c r="QRL31" s="128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52"/>
      <c r="QSS31" s="41"/>
      <c r="QST31" s="128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52"/>
      <c r="QUA31" s="41"/>
      <c r="QUB31" s="128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52"/>
      <c r="QVI31" s="41"/>
      <c r="QVJ31" s="128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52"/>
      <c r="QWQ31" s="41"/>
      <c r="QWR31" s="128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52"/>
      <c r="QXY31" s="41"/>
      <c r="QXZ31" s="128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52"/>
      <c r="QZG31" s="41"/>
      <c r="QZH31" s="128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52"/>
      <c r="RAO31" s="41"/>
      <c r="RAP31" s="128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52"/>
      <c r="RBW31" s="41"/>
      <c r="RBX31" s="128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52"/>
      <c r="RDE31" s="41"/>
      <c r="RDF31" s="128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52"/>
      <c r="REM31" s="41"/>
      <c r="REN31" s="128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52"/>
      <c r="RFU31" s="41"/>
      <c r="RFV31" s="128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52"/>
      <c r="RHC31" s="41"/>
      <c r="RHD31" s="128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52"/>
      <c r="RIK31" s="41"/>
      <c r="RIL31" s="128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52"/>
      <c r="RJS31" s="41"/>
      <c r="RJT31" s="128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52"/>
      <c r="RLA31" s="41"/>
      <c r="RLB31" s="128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52"/>
      <c r="RMI31" s="41"/>
      <c r="RMJ31" s="128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52"/>
      <c r="RNQ31" s="41"/>
      <c r="RNR31" s="128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52"/>
      <c r="ROY31" s="41"/>
      <c r="ROZ31" s="128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52"/>
      <c r="RQG31" s="41"/>
      <c r="RQH31" s="128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52"/>
      <c r="RRO31" s="41"/>
      <c r="RRP31" s="128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52"/>
      <c r="RSW31" s="41"/>
      <c r="RSX31" s="128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52"/>
      <c r="RUE31" s="41"/>
      <c r="RUF31" s="128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52"/>
      <c r="RVM31" s="41"/>
      <c r="RVN31" s="128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52"/>
      <c r="RWU31" s="41"/>
      <c r="RWV31" s="128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52"/>
      <c r="RYC31" s="41"/>
      <c r="RYD31" s="128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52"/>
      <c r="RZK31" s="41"/>
      <c r="RZL31" s="128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52"/>
      <c r="SAS31" s="41"/>
      <c r="SAT31" s="128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52"/>
      <c r="SCA31" s="41"/>
      <c r="SCB31" s="128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52"/>
      <c r="SDI31" s="41"/>
      <c r="SDJ31" s="128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52"/>
      <c r="SEQ31" s="41"/>
      <c r="SER31" s="128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52"/>
      <c r="SFY31" s="41"/>
      <c r="SFZ31" s="128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52"/>
      <c r="SHG31" s="41"/>
      <c r="SHH31" s="128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52"/>
      <c r="SIO31" s="41"/>
      <c r="SIP31" s="128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52"/>
      <c r="SJW31" s="41"/>
      <c r="SJX31" s="128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52"/>
      <c r="SLE31" s="41"/>
      <c r="SLF31" s="128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52"/>
      <c r="SMM31" s="41"/>
      <c r="SMN31" s="128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52"/>
      <c r="SNU31" s="41"/>
      <c r="SNV31" s="128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52"/>
      <c r="SPC31" s="41"/>
      <c r="SPD31" s="128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52"/>
      <c r="SQK31" s="41"/>
      <c r="SQL31" s="128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52"/>
      <c r="SRS31" s="41"/>
      <c r="SRT31" s="128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52"/>
      <c r="STA31" s="41"/>
      <c r="STB31" s="128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52"/>
      <c r="SUI31" s="41"/>
      <c r="SUJ31" s="128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52"/>
      <c r="SVQ31" s="41"/>
      <c r="SVR31" s="128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52"/>
      <c r="SWY31" s="41"/>
      <c r="SWZ31" s="128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52"/>
      <c r="SYG31" s="41"/>
      <c r="SYH31" s="128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52"/>
      <c r="SZO31" s="41"/>
      <c r="SZP31" s="128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52"/>
      <c r="TAW31" s="41"/>
      <c r="TAX31" s="128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52"/>
      <c r="TCE31" s="41"/>
      <c r="TCF31" s="128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52"/>
      <c r="TDM31" s="41"/>
      <c r="TDN31" s="128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52"/>
      <c r="TEU31" s="41"/>
      <c r="TEV31" s="128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52"/>
      <c r="TGC31" s="41"/>
      <c r="TGD31" s="128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52"/>
      <c r="THK31" s="41"/>
      <c r="THL31" s="128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52"/>
      <c r="TIS31" s="41"/>
      <c r="TIT31" s="128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52"/>
      <c r="TKA31" s="41"/>
      <c r="TKB31" s="128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52"/>
      <c r="TLI31" s="41"/>
      <c r="TLJ31" s="128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52"/>
      <c r="TMQ31" s="41"/>
      <c r="TMR31" s="128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52"/>
      <c r="TNY31" s="41"/>
      <c r="TNZ31" s="128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52"/>
      <c r="TPG31" s="41"/>
      <c r="TPH31" s="128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52"/>
      <c r="TQO31" s="41"/>
      <c r="TQP31" s="128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52"/>
      <c r="TRW31" s="41"/>
      <c r="TRX31" s="128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52"/>
      <c r="TTE31" s="41"/>
      <c r="TTF31" s="128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52"/>
      <c r="TUM31" s="41"/>
      <c r="TUN31" s="128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52"/>
      <c r="TVU31" s="41"/>
      <c r="TVV31" s="128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52"/>
      <c r="TXC31" s="41"/>
      <c r="TXD31" s="128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52"/>
      <c r="TYK31" s="41"/>
      <c r="TYL31" s="128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52"/>
      <c r="TZS31" s="41"/>
      <c r="TZT31" s="128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52"/>
      <c r="UBA31" s="41"/>
      <c r="UBB31" s="128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52"/>
      <c r="UCI31" s="41"/>
      <c r="UCJ31" s="128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52"/>
      <c r="UDQ31" s="41"/>
      <c r="UDR31" s="128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52"/>
      <c r="UEY31" s="41"/>
      <c r="UEZ31" s="128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52"/>
      <c r="UGG31" s="41"/>
      <c r="UGH31" s="128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52"/>
      <c r="UHO31" s="41"/>
      <c r="UHP31" s="128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52"/>
      <c r="UIW31" s="41"/>
      <c r="UIX31" s="128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52"/>
      <c r="UKE31" s="41"/>
      <c r="UKF31" s="128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52"/>
      <c r="ULM31" s="41"/>
      <c r="ULN31" s="128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52"/>
      <c r="UMU31" s="41"/>
      <c r="UMV31" s="128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52"/>
      <c r="UOC31" s="41"/>
      <c r="UOD31" s="128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52"/>
      <c r="UPK31" s="41"/>
      <c r="UPL31" s="128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52"/>
      <c r="UQS31" s="41"/>
      <c r="UQT31" s="128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52"/>
      <c r="USA31" s="41"/>
      <c r="USB31" s="128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52"/>
      <c r="UTI31" s="41"/>
      <c r="UTJ31" s="128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52"/>
      <c r="UUQ31" s="41"/>
      <c r="UUR31" s="128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52"/>
      <c r="UVY31" s="41"/>
      <c r="UVZ31" s="128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52"/>
      <c r="UXG31" s="41"/>
      <c r="UXH31" s="128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52"/>
      <c r="UYO31" s="41"/>
      <c r="UYP31" s="128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52"/>
      <c r="UZW31" s="41"/>
      <c r="UZX31" s="128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52"/>
      <c r="VBE31" s="41"/>
      <c r="VBF31" s="128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52"/>
      <c r="VCM31" s="41"/>
      <c r="VCN31" s="128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52"/>
      <c r="VDU31" s="41"/>
      <c r="VDV31" s="128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52"/>
      <c r="VFC31" s="41"/>
      <c r="VFD31" s="128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52"/>
      <c r="VGK31" s="41"/>
      <c r="VGL31" s="128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52"/>
      <c r="VHS31" s="41"/>
      <c r="VHT31" s="128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52"/>
      <c r="VJA31" s="41"/>
      <c r="VJB31" s="128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52"/>
      <c r="VKI31" s="41"/>
      <c r="VKJ31" s="128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52"/>
      <c r="VLQ31" s="41"/>
      <c r="VLR31" s="128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52"/>
      <c r="VMY31" s="41"/>
      <c r="VMZ31" s="128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52"/>
      <c r="VOG31" s="41"/>
      <c r="VOH31" s="128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52"/>
      <c r="VPO31" s="41"/>
      <c r="VPP31" s="128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52"/>
      <c r="VQW31" s="41"/>
      <c r="VQX31" s="128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52"/>
      <c r="VSE31" s="41"/>
      <c r="VSF31" s="128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52"/>
      <c r="VTM31" s="41"/>
      <c r="VTN31" s="128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52"/>
      <c r="VUU31" s="41"/>
      <c r="VUV31" s="128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52"/>
      <c r="VWC31" s="41"/>
      <c r="VWD31" s="128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52"/>
      <c r="VXK31" s="41"/>
      <c r="VXL31" s="128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52"/>
      <c r="VYS31" s="41"/>
      <c r="VYT31" s="128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52"/>
      <c r="WAA31" s="41"/>
      <c r="WAB31" s="128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52"/>
      <c r="WBI31" s="41"/>
      <c r="WBJ31" s="128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52"/>
      <c r="WCQ31" s="41"/>
      <c r="WCR31" s="128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52"/>
      <c r="WDY31" s="41"/>
      <c r="WDZ31" s="128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52"/>
      <c r="WFG31" s="41"/>
      <c r="WFH31" s="128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52"/>
      <c r="WGO31" s="41"/>
      <c r="WGP31" s="128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52"/>
      <c r="WHW31" s="41"/>
      <c r="WHX31" s="128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52"/>
      <c r="WJE31" s="41"/>
      <c r="WJF31" s="128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52"/>
      <c r="WKM31" s="41"/>
      <c r="WKN31" s="128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52"/>
      <c r="WLU31" s="41"/>
      <c r="WLV31" s="128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52"/>
      <c r="WNC31" s="41"/>
      <c r="WND31" s="128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52"/>
      <c r="WOK31" s="41"/>
      <c r="WOL31" s="128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52"/>
      <c r="WPS31" s="41"/>
      <c r="WPT31" s="128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52"/>
      <c r="WRA31" s="41"/>
      <c r="WRB31" s="128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52"/>
      <c r="WSI31" s="41"/>
      <c r="WSJ31" s="128"/>
      <c r="WSK31" s="40"/>
      <c r="WSL31" s="40"/>
      <c r="WSM31" s="40"/>
      <c r="WSN31" s="40"/>
      <c r="WSO31" s="40"/>
      <c r="WSP31" s="40"/>
      <c r="WSQ31" s="40"/>
      <c r="WSR31" s="40"/>
      <c r="WSS31" s="40"/>
      <c r="WST31" s="40"/>
      <c r="WSU31" s="40"/>
      <c r="WSV31" s="40"/>
      <c r="WSW31" s="40"/>
      <c r="WSX31" s="40"/>
      <c r="WSY31" s="40"/>
      <c r="WSZ31" s="40"/>
      <c r="WTA31" s="40"/>
      <c r="WTB31" s="40"/>
      <c r="WTC31" s="40"/>
      <c r="WTD31" s="40"/>
      <c r="WTE31" s="40"/>
      <c r="WTF31" s="40"/>
      <c r="WTG31" s="40"/>
      <c r="WTH31" s="40"/>
      <c r="WTI31" s="40"/>
      <c r="WTJ31" s="40"/>
      <c r="WTK31" s="40"/>
      <c r="WTL31" s="40"/>
      <c r="WTM31" s="40"/>
      <c r="WTN31" s="40"/>
      <c r="WTO31" s="40"/>
      <c r="WTP31" s="52"/>
      <c r="WTQ31" s="41"/>
      <c r="WTR31" s="128"/>
      <c r="WTS31" s="40"/>
      <c r="WTT31" s="40"/>
      <c r="WTU31" s="40"/>
      <c r="WTV31" s="40"/>
      <c r="WTW31" s="40"/>
      <c r="WTX31" s="40"/>
      <c r="WTY31" s="40"/>
      <c r="WTZ31" s="40"/>
      <c r="WUA31" s="40"/>
      <c r="WUB31" s="40"/>
      <c r="WUC31" s="40"/>
      <c r="WUD31" s="40"/>
      <c r="WUE31" s="40"/>
      <c r="WUF31" s="40"/>
      <c r="WUG31" s="40"/>
      <c r="WUH31" s="40"/>
      <c r="WUI31" s="40"/>
      <c r="WUJ31" s="40"/>
      <c r="WUK31" s="40"/>
      <c r="WUL31" s="40"/>
      <c r="WUM31" s="40"/>
      <c r="WUN31" s="40"/>
      <c r="WUO31" s="40"/>
      <c r="WUP31" s="40"/>
      <c r="WUQ31" s="40"/>
      <c r="WUR31" s="40"/>
      <c r="WUS31" s="40"/>
      <c r="WUT31" s="40"/>
      <c r="WUU31" s="40"/>
      <c r="WUV31" s="40"/>
      <c r="WUW31" s="40"/>
      <c r="WUX31" s="52"/>
      <c r="WUY31" s="41"/>
      <c r="WUZ31" s="128"/>
      <c r="WVA31" s="40"/>
      <c r="WVB31" s="40"/>
      <c r="WVC31" s="40"/>
      <c r="WVD31" s="40"/>
      <c r="WVE31" s="40"/>
      <c r="WVF31" s="40"/>
      <c r="WVG31" s="40"/>
      <c r="WVH31" s="40"/>
      <c r="WVI31" s="40"/>
      <c r="WVJ31" s="40"/>
      <c r="WVK31" s="40"/>
      <c r="WVL31" s="40"/>
      <c r="WVM31" s="40"/>
      <c r="WVN31" s="40"/>
      <c r="WVO31" s="40"/>
      <c r="WVP31" s="40"/>
      <c r="WVQ31" s="40"/>
      <c r="WVR31" s="40"/>
      <c r="WVS31" s="40"/>
      <c r="WVT31" s="40"/>
      <c r="WVU31" s="40"/>
      <c r="WVV31" s="40"/>
      <c r="WVW31" s="40"/>
      <c r="WVX31" s="40"/>
      <c r="WVY31" s="40"/>
      <c r="WVZ31" s="40"/>
      <c r="WWA31" s="40"/>
      <c r="WWB31" s="40"/>
      <c r="WWC31" s="40"/>
      <c r="WWD31" s="40"/>
      <c r="WWE31" s="40"/>
      <c r="WWF31" s="52"/>
      <c r="WWG31" s="41"/>
      <c r="WWH31" s="128"/>
      <c r="WWI31" s="40"/>
      <c r="WWJ31" s="40"/>
      <c r="WWK31" s="40"/>
      <c r="WWL31" s="40"/>
      <c r="WWM31" s="40"/>
      <c r="WWN31" s="40"/>
      <c r="WWO31" s="40"/>
      <c r="WWP31" s="40"/>
      <c r="WWQ31" s="40"/>
      <c r="WWR31" s="40"/>
      <c r="WWS31" s="40"/>
      <c r="WWT31" s="40"/>
      <c r="WWU31" s="40"/>
      <c r="WWV31" s="40"/>
      <c r="WWW31" s="40"/>
      <c r="WWX31" s="40"/>
      <c r="WWY31" s="40"/>
      <c r="WWZ31" s="40"/>
      <c r="WXA31" s="40"/>
      <c r="WXB31" s="40"/>
      <c r="WXC31" s="40"/>
      <c r="WXD31" s="40"/>
      <c r="WXE31" s="40"/>
      <c r="WXF31" s="40"/>
      <c r="WXG31" s="40"/>
      <c r="WXH31" s="40"/>
      <c r="WXI31" s="40"/>
      <c r="WXJ31" s="40"/>
      <c r="WXK31" s="40"/>
      <c r="WXL31" s="40"/>
      <c r="WXM31" s="40"/>
      <c r="WXN31" s="52"/>
      <c r="WXO31" s="41"/>
      <c r="WXP31" s="128"/>
      <c r="WXQ31" s="40"/>
      <c r="WXR31" s="40"/>
      <c r="WXS31" s="40"/>
      <c r="WXT31" s="40"/>
      <c r="WXU31" s="40"/>
      <c r="WXV31" s="40"/>
      <c r="WXW31" s="40"/>
      <c r="WXX31" s="40"/>
      <c r="WXY31" s="40"/>
      <c r="WXZ31" s="40"/>
      <c r="WYA31" s="40"/>
      <c r="WYB31" s="40"/>
      <c r="WYC31" s="40"/>
      <c r="WYD31" s="40"/>
      <c r="WYE31" s="40"/>
      <c r="WYF31" s="40"/>
      <c r="WYG31" s="40"/>
      <c r="WYH31" s="40"/>
      <c r="WYI31" s="40"/>
      <c r="WYJ31" s="40"/>
      <c r="WYK31" s="40"/>
      <c r="WYL31" s="40"/>
      <c r="WYM31" s="40"/>
      <c r="WYN31" s="40"/>
      <c r="WYO31" s="40"/>
      <c r="WYP31" s="40"/>
      <c r="WYQ31" s="40"/>
      <c r="WYR31" s="40"/>
      <c r="WYS31" s="40"/>
      <c r="WYT31" s="40"/>
      <c r="WYU31" s="40"/>
      <c r="WYV31" s="52"/>
      <c r="WYW31" s="41"/>
      <c r="WYX31" s="128"/>
      <c r="WYY31" s="40"/>
      <c r="WYZ31" s="40"/>
      <c r="WZA31" s="40"/>
      <c r="WZB31" s="40"/>
      <c r="WZC31" s="40"/>
      <c r="WZD31" s="40"/>
      <c r="WZE31" s="40"/>
      <c r="WZF31" s="40"/>
      <c r="WZG31" s="40"/>
      <c r="WZH31" s="40"/>
      <c r="WZI31" s="40"/>
      <c r="WZJ31" s="40"/>
      <c r="WZK31" s="40"/>
      <c r="WZL31" s="40"/>
      <c r="WZM31" s="40"/>
      <c r="WZN31" s="40"/>
      <c r="WZO31" s="40"/>
      <c r="WZP31" s="40"/>
      <c r="WZQ31" s="40"/>
      <c r="WZR31" s="40"/>
      <c r="WZS31" s="40"/>
      <c r="WZT31" s="40"/>
      <c r="WZU31" s="40"/>
      <c r="WZV31" s="40"/>
      <c r="WZW31" s="40"/>
      <c r="WZX31" s="40"/>
      <c r="WZY31" s="40"/>
      <c r="WZZ31" s="40"/>
      <c r="XAA31" s="40"/>
      <c r="XAB31" s="40"/>
      <c r="XAC31" s="40"/>
      <c r="XAD31" s="52"/>
      <c r="XAE31" s="41"/>
      <c r="XAF31" s="128"/>
      <c r="XAG31" s="40"/>
      <c r="XAH31" s="40"/>
      <c r="XAI31" s="40"/>
      <c r="XAJ31" s="40"/>
      <c r="XAK31" s="40"/>
      <c r="XAL31" s="40"/>
      <c r="XAM31" s="40"/>
      <c r="XAN31" s="40"/>
      <c r="XAO31" s="40"/>
      <c r="XAP31" s="40"/>
      <c r="XAQ31" s="40"/>
      <c r="XAR31" s="40"/>
      <c r="XAS31" s="40"/>
      <c r="XAT31" s="40"/>
      <c r="XAU31" s="40"/>
      <c r="XAV31" s="40"/>
      <c r="XAW31" s="40"/>
      <c r="XAX31" s="40"/>
      <c r="XAY31" s="40"/>
      <c r="XAZ31" s="40"/>
      <c r="XBA31" s="40"/>
      <c r="XBB31" s="40"/>
      <c r="XBC31" s="40"/>
      <c r="XBD31" s="40"/>
      <c r="XBE31" s="40"/>
      <c r="XBF31" s="40"/>
      <c r="XBG31" s="40"/>
      <c r="XBH31" s="40"/>
      <c r="XBI31" s="40"/>
      <c r="XBJ31" s="40"/>
      <c r="XBK31" s="40"/>
      <c r="XBL31" s="52"/>
      <c r="XBM31" s="41"/>
      <c r="XBN31" s="128"/>
      <c r="XBO31" s="40"/>
      <c r="XBP31" s="40"/>
      <c r="XBQ31" s="40"/>
      <c r="XBR31" s="40"/>
      <c r="XBS31" s="40"/>
      <c r="XBT31" s="40"/>
      <c r="XBU31" s="40"/>
      <c r="XBV31" s="40"/>
      <c r="XBW31" s="40"/>
      <c r="XBX31" s="40"/>
      <c r="XBY31" s="40"/>
      <c r="XBZ31" s="40"/>
      <c r="XCA31" s="40"/>
      <c r="XCB31" s="40"/>
      <c r="XCC31" s="40"/>
      <c r="XCD31" s="40"/>
      <c r="XCE31" s="40"/>
      <c r="XCF31" s="40"/>
      <c r="XCG31" s="40"/>
      <c r="XCH31" s="40"/>
      <c r="XCI31" s="40"/>
      <c r="XCJ31" s="40"/>
      <c r="XCK31" s="40"/>
      <c r="XCL31" s="40"/>
      <c r="XCM31" s="40"/>
      <c r="XCN31" s="40"/>
      <c r="XCO31" s="40"/>
      <c r="XCP31" s="40"/>
      <c r="XCQ31" s="40"/>
      <c r="XCR31" s="40"/>
      <c r="XCS31" s="40"/>
      <c r="XCT31" s="52"/>
      <c r="XCU31" s="41"/>
      <c r="XCV31" s="128"/>
      <c r="XCW31" s="40"/>
      <c r="XCX31" s="40"/>
      <c r="XCY31" s="40"/>
      <c r="XCZ31" s="40"/>
      <c r="XDA31" s="40"/>
      <c r="XDB31" s="40"/>
      <c r="XDC31" s="40"/>
      <c r="XDD31" s="40"/>
      <c r="XDE31" s="40"/>
      <c r="XDF31" s="40"/>
      <c r="XDG31" s="40"/>
      <c r="XDH31" s="40"/>
      <c r="XDI31" s="40"/>
      <c r="XDJ31" s="40"/>
      <c r="XDK31" s="40"/>
      <c r="XDL31" s="40"/>
      <c r="XDM31" s="40"/>
      <c r="XDN31" s="40"/>
      <c r="XDO31" s="40"/>
      <c r="XDP31" s="40"/>
      <c r="XDQ31" s="40"/>
      <c r="XDR31" s="40"/>
      <c r="XDS31" s="40"/>
      <c r="XDT31" s="40"/>
      <c r="XDU31" s="40"/>
      <c r="XDV31" s="40"/>
      <c r="XDW31" s="40"/>
      <c r="XDX31" s="40"/>
      <c r="XDY31" s="40"/>
      <c r="XDZ31" s="40"/>
      <c r="XEA31" s="40"/>
      <c r="XEB31" s="52"/>
      <c r="XEC31" s="41"/>
      <c r="XED31" s="128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pans="1:16384" x14ac:dyDescent="0.2">
      <c r="C32" s="253"/>
      <c r="D32" s="246"/>
      <c r="E32" s="284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</row>
    <row r="33" spans="1:35" ht="15" x14ac:dyDescent="0.35">
      <c r="B33" s="38" t="s">
        <v>80</v>
      </c>
      <c r="C33" s="256"/>
      <c r="D33" s="272" t="s">
        <v>127</v>
      </c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</row>
    <row r="34" spans="1:35" x14ac:dyDescent="0.2">
      <c r="B34" s="52" t="str">
        <f>B28</f>
        <v>MH Space Rent Tier 1</v>
      </c>
      <c r="C34" s="253"/>
      <c r="D34" s="273">
        <f>C14</f>
        <v>148</v>
      </c>
      <c r="E34" s="40">
        <f>E28*$D34</f>
        <v>59200</v>
      </c>
      <c r="F34" s="40">
        <f t="shared" ref="F34:G34" si="20">F28*$D34</f>
        <v>61568</v>
      </c>
      <c r="G34" s="40">
        <f t="shared" si="20"/>
        <v>64030.720000000001</v>
      </c>
      <c r="H34" s="40">
        <f t="shared" ref="H34:AI34" si="21">H28*$D34</f>
        <v>66591.948799999998</v>
      </c>
      <c r="I34" s="40">
        <f t="shared" si="21"/>
        <v>69255.626752000011</v>
      </c>
      <c r="J34" s="40">
        <f t="shared" si="21"/>
        <v>72025.851822080018</v>
      </c>
      <c r="K34" s="40">
        <f t="shared" si="21"/>
        <v>74906.885894963212</v>
      </c>
      <c r="L34" s="40">
        <f t="shared" si="21"/>
        <v>77903.161330761737</v>
      </c>
      <c r="M34" s="40">
        <f t="shared" si="21"/>
        <v>81019.287783992215</v>
      </c>
      <c r="N34" s="40">
        <f t="shared" si="21"/>
        <v>84260.059295351908</v>
      </c>
      <c r="O34" s="40">
        <f t="shared" si="21"/>
        <v>87630.46166716599</v>
      </c>
      <c r="P34" s="40">
        <f t="shared" si="21"/>
        <v>91135.680133852642</v>
      </c>
      <c r="Q34" s="40">
        <f t="shared" si="21"/>
        <v>94781.107339206748</v>
      </c>
      <c r="R34" s="40">
        <f t="shared" si="21"/>
        <v>98572.351632775026</v>
      </c>
      <c r="S34" s="40">
        <f t="shared" si="21"/>
        <v>102515.24569808602</v>
      </c>
      <c r="T34" s="40">
        <f t="shared" si="21"/>
        <v>106615.85552600947</v>
      </c>
      <c r="U34" s="40">
        <f t="shared" si="21"/>
        <v>110880.48974704985</v>
      </c>
      <c r="V34" s="40">
        <f t="shared" si="21"/>
        <v>115315.70933693186</v>
      </c>
      <c r="W34" s="40">
        <f t="shared" si="21"/>
        <v>119928.33771040913</v>
      </c>
      <c r="X34" s="40">
        <f t="shared" si="21"/>
        <v>124725.47121882552</v>
      </c>
      <c r="Y34" s="40">
        <f t="shared" si="21"/>
        <v>129714.49006757853</v>
      </c>
      <c r="Z34" s="40">
        <f t="shared" si="21"/>
        <v>134903.06967028166</v>
      </c>
      <c r="AA34" s="40">
        <f t="shared" si="21"/>
        <v>140299.19245709296</v>
      </c>
      <c r="AB34" s="40">
        <f t="shared" si="21"/>
        <v>145911.16015537668</v>
      </c>
      <c r="AC34" s="40">
        <f t="shared" si="21"/>
        <v>151747.60656159176</v>
      </c>
      <c r="AD34" s="40">
        <f t="shared" si="21"/>
        <v>157817.51082405544</v>
      </c>
      <c r="AE34" s="40">
        <f t="shared" si="21"/>
        <v>164130.21125701768</v>
      </c>
      <c r="AF34" s="40">
        <f t="shared" si="21"/>
        <v>170695.41970729837</v>
      </c>
      <c r="AG34" s="40">
        <f t="shared" si="21"/>
        <v>177523.23649559033</v>
      </c>
      <c r="AH34" s="40">
        <f t="shared" si="21"/>
        <v>184624.16595541395</v>
      </c>
      <c r="AI34" s="40">
        <f t="shared" si="21"/>
        <v>192009.13259363049</v>
      </c>
    </row>
    <row r="35" spans="1:35" x14ac:dyDescent="0.2">
      <c r="B35" s="52" t="str">
        <f t="shared" ref="B35:B36" si="22">B29</f>
        <v>RV Space Rent Permanent</v>
      </c>
      <c r="C35" s="253"/>
      <c r="D35" s="273"/>
      <c r="E35" s="40">
        <f>E29*$D$35</f>
        <v>0</v>
      </c>
      <c r="F35" s="40">
        <f t="shared" ref="F35:G35" si="23">F29*$D$35</f>
        <v>0</v>
      </c>
      <c r="G35" s="40">
        <f t="shared" si="23"/>
        <v>0</v>
      </c>
      <c r="H35" s="40">
        <f t="shared" ref="H35:AI35" si="24">H29*$D$35</f>
        <v>0</v>
      </c>
      <c r="I35" s="40">
        <f t="shared" si="24"/>
        <v>0</v>
      </c>
      <c r="J35" s="40">
        <f t="shared" si="24"/>
        <v>0</v>
      </c>
      <c r="K35" s="40">
        <f t="shared" si="24"/>
        <v>0</v>
      </c>
      <c r="L35" s="40">
        <f t="shared" si="24"/>
        <v>0</v>
      </c>
      <c r="M35" s="40">
        <f t="shared" si="24"/>
        <v>0</v>
      </c>
      <c r="N35" s="40">
        <f t="shared" si="24"/>
        <v>0</v>
      </c>
      <c r="O35" s="40">
        <f t="shared" si="24"/>
        <v>0</v>
      </c>
      <c r="P35" s="40">
        <f t="shared" si="24"/>
        <v>0</v>
      </c>
      <c r="Q35" s="40">
        <f t="shared" si="24"/>
        <v>0</v>
      </c>
      <c r="R35" s="40">
        <f t="shared" si="24"/>
        <v>0</v>
      </c>
      <c r="S35" s="40">
        <f t="shared" si="24"/>
        <v>0</v>
      </c>
      <c r="T35" s="40">
        <f t="shared" si="24"/>
        <v>0</v>
      </c>
      <c r="U35" s="40">
        <f t="shared" si="24"/>
        <v>0</v>
      </c>
      <c r="V35" s="40">
        <f t="shared" si="24"/>
        <v>0</v>
      </c>
      <c r="W35" s="40">
        <f t="shared" si="24"/>
        <v>0</v>
      </c>
      <c r="X35" s="40">
        <f t="shared" si="24"/>
        <v>0</v>
      </c>
      <c r="Y35" s="40">
        <f t="shared" si="24"/>
        <v>0</v>
      </c>
      <c r="Z35" s="40">
        <f t="shared" si="24"/>
        <v>0</v>
      </c>
      <c r="AA35" s="40">
        <f t="shared" si="24"/>
        <v>0</v>
      </c>
      <c r="AB35" s="40">
        <f t="shared" si="24"/>
        <v>0</v>
      </c>
      <c r="AC35" s="40">
        <f t="shared" si="24"/>
        <v>0</v>
      </c>
      <c r="AD35" s="40">
        <f t="shared" si="24"/>
        <v>0</v>
      </c>
      <c r="AE35" s="40">
        <f t="shared" si="24"/>
        <v>0</v>
      </c>
      <c r="AF35" s="40">
        <f t="shared" si="24"/>
        <v>0</v>
      </c>
      <c r="AG35" s="40">
        <f t="shared" si="24"/>
        <v>0</v>
      </c>
      <c r="AH35" s="40">
        <f t="shared" si="24"/>
        <v>0</v>
      </c>
      <c r="AI35" s="40">
        <f t="shared" si="24"/>
        <v>0</v>
      </c>
    </row>
    <row r="36" spans="1:35" x14ac:dyDescent="0.2">
      <c r="B36" s="52" t="str">
        <f t="shared" si="22"/>
        <v>RV Space Rent Temporary</v>
      </c>
      <c r="C36" s="253"/>
      <c r="D36" s="386"/>
      <c r="E36" s="387">
        <f>E30*$D$36</f>
        <v>0</v>
      </c>
      <c r="F36" s="387">
        <f t="shared" ref="F36:G36" si="25">F30*$D$36</f>
        <v>0</v>
      </c>
      <c r="G36" s="387">
        <f t="shared" si="25"/>
        <v>0</v>
      </c>
      <c r="H36" s="40">
        <f t="shared" ref="H36:AI36" si="26">H30*$D$36</f>
        <v>0</v>
      </c>
      <c r="I36" s="40">
        <f t="shared" si="26"/>
        <v>0</v>
      </c>
      <c r="J36" s="40">
        <f t="shared" si="26"/>
        <v>0</v>
      </c>
      <c r="K36" s="40">
        <f t="shared" si="26"/>
        <v>0</v>
      </c>
      <c r="L36" s="40">
        <f t="shared" si="26"/>
        <v>0</v>
      </c>
      <c r="M36" s="40">
        <f t="shared" si="26"/>
        <v>0</v>
      </c>
      <c r="N36" s="40">
        <f t="shared" si="26"/>
        <v>0</v>
      </c>
      <c r="O36" s="40">
        <f t="shared" si="26"/>
        <v>0</v>
      </c>
      <c r="P36" s="40">
        <f t="shared" si="26"/>
        <v>0</v>
      </c>
      <c r="Q36" s="40">
        <f t="shared" si="26"/>
        <v>0</v>
      </c>
      <c r="R36" s="40">
        <f t="shared" si="26"/>
        <v>0</v>
      </c>
      <c r="S36" s="40">
        <f t="shared" si="26"/>
        <v>0</v>
      </c>
      <c r="T36" s="40">
        <f t="shared" si="26"/>
        <v>0</v>
      </c>
      <c r="U36" s="40">
        <f t="shared" si="26"/>
        <v>0</v>
      </c>
      <c r="V36" s="40">
        <f t="shared" si="26"/>
        <v>0</v>
      </c>
      <c r="W36" s="40">
        <f t="shared" si="26"/>
        <v>0</v>
      </c>
      <c r="X36" s="40">
        <f t="shared" si="26"/>
        <v>0</v>
      </c>
      <c r="Y36" s="40">
        <f t="shared" si="26"/>
        <v>0</v>
      </c>
      <c r="Z36" s="40">
        <f t="shared" si="26"/>
        <v>0</v>
      </c>
      <c r="AA36" s="40">
        <f t="shared" si="26"/>
        <v>0</v>
      </c>
      <c r="AB36" s="40">
        <f t="shared" si="26"/>
        <v>0</v>
      </c>
      <c r="AC36" s="40">
        <f t="shared" si="26"/>
        <v>0</v>
      </c>
      <c r="AD36" s="40">
        <f t="shared" si="26"/>
        <v>0</v>
      </c>
      <c r="AE36" s="40">
        <f t="shared" si="26"/>
        <v>0</v>
      </c>
      <c r="AF36" s="40">
        <f t="shared" si="26"/>
        <v>0</v>
      </c>
      <c r="AG36" s="40">
        <f t="shared" si="26"/>
        <v>0</v>
      </c>
      <c r="AH36" s="40">
        <f t="shared" si="26"/>
        <v>0</v>
      </c>
      <c r="AI36" s="40">
        <f t="shared" si="26"/>
        <v>0</v>
      </c>
    </row>
    <row r="37" spans="1:35" x14ac:dyDescent="0.2">
      <c r="C37" s="253" t="s">
        <v>326</v>
      </c>
      <c r="D37" s="388">
        <f>E14</f>
        <v>128</v>
      </c>
      <c r="E37" s="389">
        <f>D37</f>
        <v>128</v>
      </c>
      <c r="F37" s="389">
        <f>MAX($D$38*$C$14,E37-$I$8)</f>
        <v>108</v>
      </c>
      <c r="G37" s="389">
        <f t="shared" ref="G37:AH37" si="27">MAX($D$38*$C$14,F37-$I$8)</f>
        <v>88</v>
      </c>
      <c r="H37" s="389">
        <f t="shared" si="27"/>
        <v>68</v>
      </c>
      <c r="I37" s="389">
        <f t="shared" si="27"/>
        <v>48</v>
      </c>
      <c r="J37" s="389">
        <f t="shared" si="27"/>
        <v>28</v>
      </c>
      <c r="K37" s="389">
        <f t="shared" si="27"/>
        <v>8</v>
      </c>
      <c r="L37" s="389">
        <f t="shared" si="27"/>
        <v>7.4</v>
      </c>
      <c r="M37" s="389">
        <f t="shared" si="27"/>
        <v>7.4</v>
      </c>
      <c r="N37" s="389">
        <f t="shared" si="27"/>
        <v>7.4</v>
      </c>
      <c r="O37" s="389">
        <f t="shared" si="27"/>
        <v>7.4</v>
      </c>
      <c r="P37" s="389">
        <f t="shared" si="27"/>
        <v>7.4</v>
      </c>
      <c r="Q37" s="389">
        <f t="shared" si="27"/>
        <v>7.4</v>
      </c>
      <c r="R37" s="389">
        <f t="shared" si="27"/>
        <v>7.4</v>
      </c>
      <c r="S37" s="389">
        <f t="shared" si="27"/>
        <v>7.4</v>
      </c>
      <c r="T37" s="389">
        <f t="shared" si="27"/>
        <v>7.4</v>
      </c>
      <c r="U37" s="389">
        <f t="shared" si="27"/>
        <v>7.4</v>
      </c>
      <c r="V37" s="389">
        <f t="shared" si="27"/>
        <v>7.4</v>
      </c>
      <c r="W37" s="389">
        <f t="shared" si="27"/>
        <v>7.4</v>
      </c>
      <c r="X37" s="389">
        <f t="shared" si="27"/>
        <v>7.4</v>
      </c>
      <c r="Y37" s="389">
        <f t="shared" si="27"/>
        <v>7.4</v>
      </c>
      <c r="Z37" s="389">
        <f t="shared" si="27"/>
        <v>7.4</v>
      </c>
      <c r="AA37" s="389">
        <f t="shared" si="27"/>
        <v>7.4</v>
      </c>
      <c r="AB37" s="389">
        <f t="shared" si="27"/>
        <v>7.4</v>
      </c>
      <c r="AC37" s="389">
        <f t="shared" si="27"/>
        <v>7.4</v>
      </c>
      <c r="AD37" s="389">
        <f t="shared" si="27"/>
        <v>7.4</v>
      </c>
      <c r="AE37" s="389">
        <f t="shared" si="27"/>
        <v>7.4</v>
      </c>
      <c r="AF37" s="389">
        <f t="shared" si="27"/>
        <v>7.4</v>
      </c>
      <c r="AG37" s="389">
        <f t="shared" si="27"/>
        <v>7.4</v>
      </c>
      <c r="AH37" s="389">
        <f t="shared" si="27"/>
        <v>7.4</v>
      </c>
      <c r="AI37" s="40"/>
    </row>
    <row r="38" spans="1:35" x14ac:dyDescent="0.2">
      <c r="B38" s="52" t="s">
        <v>327</v>
      </c>
      <c r="C38" s="257"/>
      <c r="D38" s="80">
        <v>0.05</v>
      </c>
      <c r="E38" s="40">
        <f>-E34*E37/$C$14</f>
        <v>-51200</v>
      </c>
      <c r="F38" s="40">
        <f t="shared" ref="F38:AH38" si="28">-F34*F37/$C$14</f>
        <v>-44928</v>
      </c>
      <c r="G38" s="40">
        <f t="shared" si="28"/>
        <v>-38072.32</v>
      </c>
      <c r="H38" s="40">
        <f t="shared" si="28"/>
        <v>-30596.300799999997</v>
      </c>
      <c r="I38" s="40">
        <f t="shared" si="28"/>
        <v>-22461.284352000002</v>
      </c>
      <c r="J38" s="40">
        <f t="shared" si="28"/>
        <v>-13626.512506880003</v>
      </c>
      <c r="K38" s="40">
        <f t="shared" si="28"/>
        <v>-4049.0208591872006</v>
      </c>
      <c r="L38" s="40">
        <f t="shared" si="28"/>
        <v>-3895.158066538087</v>
      </c>
      <c r="M38" s="40">
        <f t="shared" si="28"/>
        <v>-4050.9643891996111</v>
      </c>
      <c r="N38" s="40">
        <f t="shared" si="28"/>
        <v>-4213.0029647675956</v>
      </c>
      <c r="O38" s="40">
        <f t="shared" si="28"/>
        <v>-4381.5230833583</v>
      </c>
      <c r="P38" s="40">
        <f t="shared" si="28"/>
        <v>-4556.7840066926319</v>
      </c>
      <c r="Q38" s="40">
        <f t="shared" si="28"/>
        <v>-4739.0553669603378</v>
      </c>
      <c r="R38" s="40">
        <f t="shared" si="28"/>
        <v>-4928.6175816387513</v>
      </c>
      <c r="S38" s="40">
        <f t="shared" si="28"/>
        <v>-5125.7622849043009</v>
      </c>
      <c r="T38" s="40">
        <f t="shared" si="28"/>
        <v>-5330.7927763004736</v>
      </c>
      <c r="U38" s="40">
        <f t="shared" si="28"/>
        <v>-5544.0244873524925</v>
      </c>
      <c r="V38" s="40">
        <f t="shared" si="28"/>
        <v>-5765.7854668465934</v>
      </c>
      <c r="W38" s="40">
        <f t="shared" si="28"/>
        <v>-5996.4168855204571</v>
      </c>
      <c r="X38" s="40">
        <f t="shared" si="28"/>
        <v>-6236.2735609412766</v>
      </c>
      <c r="Y38" s="40">
        <f t="shared" si="28"/>
        <v>-6485.7245033789268</v>
      </c>
      <c r="Z38" s="40">
        <f t="shared" si="28"/>
        <v>-6745.1534835140828</v>
      </c>
      <c r="AA38" s="40">
        <f t="shared" si="28"/>
        <v>-7014.9596228546479</v>
      </c>
      <c r="AB38" s="40">
        <f t="shared" si="28"/>
        <v>-7295.5580077688355</v>
      </c>
      <c r="AC38" s="40">
        <f t="shared" si="28"/>
        <v>-7587.3803280795883</v>
      </c>
      <c r="AD38" s="40">
        <f t="shared" si="28"/>
        <v>-7890.8755412027731</v>
      </c>
      <c r="AE38" s="40">
        <f t="shared" si="28"/>
        <v>-8206.5105628508845</v>
      </c>
      <c r="AF38" s="40">
        <f t="shared" si="28"/>
        <v>-8534.7709853649194</v>
      </c>
      <c r="AG38" s="40">
        <f t="shared" si="28"/>
        <v>-8876.1618247795177</v>
      </c>
      <c r="AH38" s="40">
        <f t="shared" si="28"/>
        <v>-9231.2082977706978</v>
      </c>
      <c r="AI38" s="40">
        <f t="shared" ref="AI38" si="29">SUM(AI34)*-$D$38</f>
        <v>-9600.4566296815246</v>
      </c>
    </row>
    <row r="39" spans="1:35" x14ac:dyDescent="0.2">
      <c r="B39" s="52" t="s">
        <v>194</v>
      </c>
      <c r="C39" s="257"/>
      <c r="D39" s="80">
        <v>0.05</v>
      </c>
      <c r="E39" s="40">
        <f>$D$39*-E35</f>
        <v>0</v>
      </c>
      <c r="F39" s="40">
        <f t="shared" ref="F39:AI39" si="30">$D$39*-F35</f>
        <v>0</v>
      </c>
      <c r="G39" s="40">
        <f t="shared" si="30"/>
        <v>0</v>
      </c>
      <c r="H39" s="40">
        <f t="shared" si="30"/>
        <v>0</v>
      </c>
      <c r="I39" s="40">
        <f t="shared" si="30"/>
        <v>0</v>
      </c>
      <c r="J39" s="40">
        <f t="shared" si="30"/>
        <v>0</v>
      </c>
      <c r="K39" s="40">
        <f t="shared" si="30"/>
        <v>0</v>
      </c>
      <c r="L39" s="40">
        <f t="shared" si="30"/>
        <v>0</v>
      </c>
      <c r="M39" s="40">
        <f t="shared" si="30"/>
        <v>0</v>
      </c>
      <c r="N39" s="40">
        <f t="shared" si="30"/>
        <v>0</v>
      </c>
      <c r="O39" s="40">
        <f t="shared" si="30"/>
        <v>0</v>
      </c>
      <c r="P39" s="40">
        <f t="shared" si="30"/>
        <v>0</v>
      </c>
      <c r="Q39" s="40">
        <f t="shared" si="30"/>
        <v>0</v>
      </c>
      <c r="R39" s="40">
        <f t="shared" si="30"/>
        <v>0</v>
      </c>
      <c r="S39" s="40">
        <f t="shared" si="30"/>
        <v>0</v>
      </c>
      <c r="T39" s="40">
        <f t="shared" si="30"/>
        <v>0</v>
      </c>
      <c r="U39" s="40">
        <f t="shared" si="30"/>
        <v>0</v>
      </c>
      <c r="V39" s="40">
        <f t="shared" si="30"/>
        <v>0</v>
      </c>
      <c r="W39" s="40">
        <f t="shared" si="30"/>
        <v>0</v>
      </c>
      <c r="X39" s="40">
        <f t="shared" si="30"/>
        <v>0</v>
      </c>
      <c r="Y39" s="40">
        <f t="shared" si="30"/>
        <v>0</v>
      </c>
      <c r="Z39" s="40">
        <f t="shared" si="30"/>
        <v>0</v>
      </c>
      <c r="AA39" s="40">
        <f t="shared" si="30"/>
        <v>0</v>
      </c>
      <c r="AB39" s="40">
        <f t="shared" si="30"/>
        <v>0</v>
      </c>
      <c r="AC39" s="40">
        <f t="shared" si="30"/>
        <v>0</v>
      </c>
      <c r="AD39" s="40">
        <f t="shared" si="30"/>
        <v>0</v>
      </c>
      <c r="AE39" s="40">
        <f t="shared" si="30"/>
        <v>0</v>
      </c>
      <c r="AF39" s="40">
        <f t="shared" si="30"/>
        <v>0</v>
      </c>
      <c r="AG39" s="40">
        <f t="shared" si="30"/>
        <v>0</v>
      </c>
      <c r="AH39" s="40">
        <f t="shared" si="30"/>
        <v>0</v>
      </c>
      <c r="AI39" s="40">
        <f t="shared" si="30"/>
        <v>0</v>
      </c>
    </row>
    <row r="40" spans="1:35" x14ac:dyDescent="0.2">
      <c r="B40" s="52" t="s">
        <v>196</v>
      </c>
      <c r="C40" s="257"/>
      <c r="D40" s="80">
        <v>0.5</v>
      </c>
      <c r="E40" s="40">
        <f t="shared" ref="E40:AI40" si="31">$D$40*-E36</f>
        <v>0</v>
      </c>
      <c r="F40" s="40">
        <f t="shared" si="31"/>
        <v>0</v>
      </c>
      <c r="G40" s="40">
        <f t="shared" si="31"/>
        <v>0</v>
      </c>
      <c r="H40" s="40">
        <f t="shared" si="31"/>
        <v>0</v>
      </c>
      <c r="I40" s="40">
        <f t="shared" si="31"/>
        <v>0</v>
      </c>
      <c r="J40" s="40">
        <f t="shared" si="31"/>
        <v>0</v>
      </c>
      <c r="K40" s="40">
        <f t="shared" si="31"/>
        <v>0</v>
      </c>
      <c r="L40" s="40">
        <f t="shared" si="31"/>
        <v>0</v>
      </c>
      <c r="M40" s="40">
        <f t="shared" si="31"/>
        <v>0</v>
      </c>
      <c r="N40" s="40">
        <f t="shared" si="31"/>
        <v>0</v>
      </c>
      <c r="O40" s="40">
        <f t="shared" si="31"/>
        <v>0</v>
      </c>
      <c r="P40" s="40">
        <f t="shared" si="31"/>
        <v>0</v>
      </c>
      <c r="Q40" s="40">
        <f t="shared" si="31"/>
        <v>0</v>
      </c>
      <c r="R40" s="40">
        <f t="shared" si="31"/>
        <v>0</v>
      </c>
      <c r="S40" s="40">
        <f t="shared" si="31"/>
        <v>0</v>
      </c>
      <c r="T40" s="40">
        <f t="shared" si="31"/>
        <v>0</v>
      </c>
      <c r="U40" s="40">
        <f t="shared" si="31"/>
        <v>0</v>
      </c>
      <c r="V40" s="40">
        <f t="shared" si="31"/>
        <v>0</v>
      </c>
      <c r="W40" s="40">
        <f t="shared" si="31"/>
        <v>0</v>
      </c>
      <c r="X40" s="40">
        <f t="shared" si="31"/>
        <v>0</v>
      </c>
      <c r="Y40" s="40">
        <f t="shared" si="31"/>
        <v>0</v>
      </c>
      <c r="Z40" s="40">
        <f t="shared" si="31"/>
        <v>0</v>
      </c>
      <c r="AA40" s="40">
        <f t="shared" si="31"/>
        <v>0</v>
      </c>
      <c r="AB40" s="40">
        <f t="shared" si="31"/>
        <v>0</v>
      </c>
      <c r="AC40" s="40">
        <f t="shared" si="31"/>
        <v>0</v>
      </c>
      <c r="AD40" s="40">
        <f t="shared" si="31"/>
        <v>0</v>
      </c>
      <c r="AE40" s="40">
        <f t="shared" si="31"/>
        <v>0</v>
      </c>
      <c r="AF40" s="40">
        <f t="shared" si="31"/>
        <v>0</v>
      </c>
      <c r="AG40" s="40">
        <f t="shared" si="31"/>
        <v>0</v>
      </c>
      <c r="AH40" s="40">
        <f t="shared" si="31"/>
        <v>0</v>
      </c>
      <c r="AI40" s="40">
        <f t="shared" si="31"/>
        <v>0</v>
      </c>
    </row>
    <row r="41" spans="1:35" ht="13.5" thickBot="1" x14ac:dyDescent="0.25">
      <c r="A41" s="37">
        <v>4101</v>
      </c>
      <c r="B41" s="64" t="s">
        <v>78</v>
      </c>
      <c r="C41" s="258">
        <v>352578</v>
      </c>
      <c r="D41" s="260">
        <f>E41*12</f>
        <v>96000</v>
      </c>
      <c r="E41" s="259">
        <f t="shared" ref="E41:AI41" si="32">SUM(E34:E36)+SUM(E38:E40)</f>
        <v>8000</v>
      </c>
      <c r="F41" s="259">
        <f t="shared" si="32"/>
        <v>16640</v>
      </c>
      <c r="G41" s="259">
        <f t="shared" si="32"/>
        <v>25958.400000000001</v>
      </c>
      <c r="H41" s="259">
        <f t="shared" si="32"/>
        <v>35995.648000000001</v>
      </c>
      <c r="I41" s="259">
        <f t="shared" si="32"/>
        <v>46794.342400000009</v>
      </c>
      <c r="J41" s="259">
        <f t="shared" si="32"/>
        <v>58399.339315200014</v>
      </c>
      <c r="K41" s="259">
        <f t="shared" si="32"/>
        <v>70857.865035776005</v>
      </c>
      <c r="L41" s="259">
        <f t="shared" si="32"/>
        <v>74008.003264223647</v>
      </c>
      <c r="M41" s="259">
        <f t="shared" si="32"/>
        <v>76968.323394792606</v>
      </c>
      <c r="N41" s="259">
        <f t="shared" si="32"/>
        <v>80047.05633058431</v>
      </c>
      <c r="O41" s="259">
        <f t="shared" si="32"/>
        <v>83248.938583807685</v>
      </c>
      <c r="P41" s="259">
        <f t="shared" si="32"/>
        <v>86578.896127160013</v>
      </c>
      <c r="Q41" s="259">
        <f t="shared" si="32"/>
        <v>90042.051972246409</v>
      </c>
      <c r="R41" s="259">
        <f t="shared" si="32"/>
        <v>93643.734051136271</v>
      </c>
      <c r="S41" s="259">
        <f t="shared" si="32"/>
        <v>97389.483413181719</v>
      </c>
      <c r="T41" s="259">
        <f t="shared" si="32"/>
        <v>101285.062749709</v>
      </c>
      <c r="U41" s="259">
        <f t="shared" si="32"/>
        <v>105336.46525969736</v>
      </c>
      <c r="V41" s="259">
        <f t="shared" si="32"/>
        <v>109549.92387008527</v>
      </c>
      <c r="W41" s="259">
        <f t="shared" si="32"/>
        <v>113931.92082488867</v>
      </c>
      <c r="X41" s="259">
        <f t="shared" si="32"/>
        <v>118489.19765788424</v>
      </c>
      <c r="Y41" s="259">
        <f t="shared" si="32"/>
        <v>123228.76556419961</v>
      </c>
      <c r="Z41" s="259">
        <f t="shared" si="32"/>
        <v>128157.91618676759</v>
      </c>
      <c r="AA41" s="259">
        <f t="shared" si="32"/>
        <v>133284.2328342383</v>
      </c>
      <c r="AB41" s="259">
        <f t="shared" si="32"/>
        <v>138615.60214760783</v>
      </c>
      <c r="AC41" s="259">
        <f t="shared" si="32"/>
        <v>144160.22623351216</v>
      </c>
      <c r="AD41" s="259">
        <f t="shared" si="32"/>
        <v>149926.63528285266</v>
      </c>
      <c r="AE41" s="259">
        <f t="shared" si="32"/>
        <v>155923.70069416679</v>
      </c>
      <c r="AF41" s="259">
        <f t="shared" si="32"/>
        <v>162160.64872193345</v>
      </c>
      <c r="AG41" s="259">
        <f t="shared" si="32"/>
        <v>168647.07467081081</v>
      </c>
      <c r="AH41" s="259">
        <f t="shared" si="32"/>
        <v>175392.95765764324</v>
      </c>
      <c r="AI41" s="259">
        <f t="shared" si="32"/>
        <v>182408.67596394898</v>
      </c>
    </row>
    <row r="42" spans="1:35" ht="13.5" thickTop="1" x14ac:dyDescent="0.2">
      <c r="B42" s="45"/>
      <c r="C42" s="66"/>
      <c r="D42" s="69"/>
      <c r="E42" s="137"/>
      <c r="F42" s="137"/>
      <c r="G42" s="137"/>
    </row>
    <row r="43" spans="1:35" ht="15" x14ac:dyDescent="0.35">
      <c r="B43" s="38" t="s">
        <v>79</v>
      </c>
      <c r="C43" s="72" t="s">
        <v>83</v>
      </c>
      <c r="D43" s="71" t="s">
        <v>83</v>
      </c>
      <c r="E43" s="45"/>
    </row>
    <row r="44" spans="1:35" x14ac:dyDescent="0.2">
      <c r="A44" s="39">
        <v>4403</v>
      </c>
      <c r="B44" s="52" t="s">
        <v>12</v>
      </c>
      <c r="C44" s="253">
        <v>0</v>
      </c>
      <c r="D44" s="80">
        <v>0.02</v>
      </c>
      <c r="E44" s="40">
        <f>C44/12</f>
        <v>0</v>
      </c>
      <c r="F44" s="40">
        <f>E44*(1+$D44)</f>
        <v>0</v>
      </c>
      <c r="G44" s="40">
        <f t="shared" ref="G44:AI49" si="33">F44*(1+$D44)</f>
        <v>0</v>
      </c>
      <c r="H44" s="40">
        <f t="shared" si="33"/>
        <v>0</v>
      </c>
      <c r="I44" s="40">
        <f t="shared" si="33"/>
        <v>0</v>
      </c>
      <c r="J44" s="40">
        <f t="shared" si="33"/>
        <v>0</v>
      </c>
      <c r="K44" s="40">
        <f t="shared" si="33"/>
        <v>0</v>
      </c>
      <c r="L44" s="40">
        <f t="shared" si="33"/>
        <v>0</v>
      </c>
      <c r="M44" s="40">
        <f t="shared" si="33"/>
        <v>0</v>
      </c>
      <c r="N44" s="40">
        <f t="shared" si="33"/>
        <v>0</v>
      </c>
      <c r="O44" s="40">
        <f t="shared" si="33"/>
        <v>0</v>
      </c>
      <c r="P44" s="40">
        <f t="shared" si="33"/>
        <v>0</v>
      </c>
      <c r="Q44" s="40">
        <f t="shared" si="33"/>
        <v>0</v>
      </c>
      <c r="R44" s="40">
        <f t="shared" si="33"/>
        <v>0</v>
      </c>
      <c r="S44" s="40">
        <f t="shared" si="33"/>
        <v>0</v>
      </c>
      <c r="T44" s="40">
        <f t="shared" si="33"/>
        <v>0</v>
      </c>
      <c r="U44" s="40">
        <f t="shared" si="33"/>
        <v>0</v>
      </c>
      <c r="V44" s="40">
        <f t="shared" si="33"/>
        <v>0</v>
      </c>
      <c r="W44" s="40">
        <f t="shared" si="33"/>
        <v>0</v>
      </c>
      <c r="X44" s="40">
        <f t="shared" si="33"/>
        <v>0</v>
      </c>
      <c r="Y44" s="40">
        <f t="shared" si="33"/>
        <v>0</v>
      </c>
      <c r="Z44" s="40">
        <f t="shared" si="33"/>
        <v>0</v>
      </c>
      <c r="AA44" s="40">
        <f t="shared" si="33"/>
        <v>0</v>
      </c>
      <c r="AB44" s="40">
        <f t="shared" si="33"/>
        <v>0</v>
      </c>
      <c r="AC44" s="40">
        <f t="shared" si="33"/>
        <v>0</v>
      </c>
      <c r="AD44" s="40">
        <f t="shared" si="33"/>
        <v>0</v>
      </c>
      <c r="AE44" s="40">
        <f t="shared" si="33"/>
        <v>0</v>
      </c>
      <c r="AF44" s="40">
        <f t="shared" si="33"/>
        <v>0</v>
      </c>
      <c r="AG44" s="40">
        <f t="shared" si="33"/>
        <v>0</v>
      </c>
      <c r="AH44" s="40">
        <f t="shared" si="33"/>
        <v>0</v>
      </c>
      <c r="AI44" s="40">
        <f t="shared" si="33"/>
        <v>0</v>
      </c>
    </row>
    <row r="45" spans="1:35" x14ac:dyDescent="0.2">
      <c r="A45" s="39">
        <v>4401</v>
      </c>
      <c r="B45" s="52" t="s">
        <v>203</v>
      </c>
      <c r="C45" s="253"/>
      <c r="D45" s="80">
        <v>0.02</v>
      </c>
      <c r="E45" s="40">
        <f>C45/12</f>
        <v>0</v>
      </c>
      <c r="F45" s="40">
        <f t="shared" ref="F45:U49" si="34">E45*(1+$D45)</f>
        <v>0</v>
      </c>
      <c r="G45" s="40">
        <f t="shared" si="34"/>
        <v>0</v>
      </c>
      <c r="H45" s="40">
        <f t="shared" si="34"/>
        <v>0</v>
      </c>
      <c r="I45" s="40">
        <f t="shared" si="34"/>
        <v>0</v>
      </c>
      <c r="J45" s="40">
        <f t="shared" si="34"/>
        <v>0</v>
      </c>
      <c r="K45" s="40">
        <f t="shared" si="34"/>
        <v>0</v>
      </c>
      <c r="L45" s="40">
        <f t="shared" si="34"/>
        <v>0</v>
      </c>
      <c r="M45" s="40">
        <f t="shared" si="34"/>
        <v>0</v>
      </c>
      <c r="N45" s="40">
        <f t="shared" si="34"/>
        <v>0</v>
      </c>
      <c r="O45" s="40">
        <f t="shared" si="34"/>
        <v>0</v>
      </c>
      <c r="P45" s="40">
        <f t="shared" si="34"/>
        <v>0</v>
      </c>
      <c r="Q45" s="40">
        <f t="shared" si="34"/>
        <v>0</v>
      </c>
      <c r="R45" s="40">
        <f t="shared" si="34"/>
        <v>0</v>
      </c>
      <c r="S45" s="40">
        <f t="shared" si="34"/>
        <v>0</v>
      </c>
      <c r="T45" s="40">
        <f t="shared" si="34"/>
        <v>0</v>
      </c>
      <c r="U45" s="40">
        <f t="shared" si="34"/>
        <v>0</v>
      </c>
      <c r="V45" s="40">
        <f t="shared" si="33"/>
        <v>0</v>
      </c>
      <c r="W45" s="40">
        <f t="shared" si="33"/>
        <v>0</v>
      </c>
      <c r="X45" s="40">
        <f t="shared" si="33"/>
        <v>0</v>
      </c>
      <c r="Y45" s="40">
        <f t="shared" si="33"/>
        <v>0</v>
      </c>
      <c r="Z45" s="40">
        <f t="shared" si="33"/>
        <v>0</v>
      </c>
      <c r="AA45" s="40">
        <f t="shared" si="33"/>
        <v>0</v>
      </c>
      <c r="AB45" s="40">
        <f t="shared" si="33"/>
        <v>0</v>
      </c>
      <c r="AC45" s="40">
        <f t="shared" si="33"/>
        <v>0</v>
      </c>
      <c r="AD45" s="40">
        <f t="shared" si="33"/>
        <v>0</v>
      </c>
      <c r="AE45" s="40">
        <f t="shared" si="33"/>
        <v>0</v>
      </c>
      <c r="AF45" s="40">
        <f t="shared" si="33"/>
        <v>0</v>
      </c>
      <c r="AG45" s="40">
        <f t="shared" si="33"/>
        <v>0</v>
      </c>
      <c r="AH45" s="40">
        <f t="shared" si="33"/>
        <v>0</v>
      </c>
      <c r="AI45" s="40">
        <f t="shared" si="33"/>
        <v>0</v>
      </c>
    </row>
    <row r="46" spans="1:35" x14ac:dyDescent="0.2">
      <c r="A46" s="39">
        <v>4404</v>
      </c>
      <c r="B46" s="52" t="s">
        <v>10</v>
      </c>
      <c r="C46" s="253">
        <v>0</v>
      </c>
      <c r="D46" s="80">
        <v>0.02</v>
      </c>
      <c r="E46" s="40">
        <f ca="1">+E61*95%</f>
        <v>0</v>
      </c>
      <c r="F46" s="40">
        <f>10*($C$12-F37)</f>
        <v>400</v>
      </c>
      <c r="G46" s="40">
        <f t="shared" ref="G46:AI46" si="35">F46*(1+$D46)</f>
        <v>408</v>
      </c>
      <c r="H46" s="40">
        <f t="shared" si="35"/>
        <v>416.16</v>
      </c>
      <c r="I46" s="40">
        <f t="shared" si="35"/>
        <v>424.48320000000001</v>
      </c>
      <c r="J46" s="40">
        <f t="shared" si="35"/>
        <v>432.97286400000002</v>
      </c>
      <c r="K46" s="40">
        <f t="shared" si="35"/>
        <v>441.63232128000004</v>
      </c>
      <c r="L46" s="40">
        <f t="shared" si="35"/>
        <v>450.46496770560003</v>
      </c>
      <c r="M46" s="40">
        <f t="shared" si="35"/>
        <v>459.47426705971202</v>
      </c>
      <c r="N46" s="40">
        <f t="shared" si="35"/>
        <v>468.66375240090628</v>
      </c>
      <c r="O46" s="40">
        <f t="shared" si="35"/>
        <v>478.03702744892439</v>
      </c>
      <c r="P46" s="40">
        <f t="shared" si="35"/>
        <v>487.59776799790291</v>
      </c>
      <c r="Q46" s="40">
        <f t="shared" si="35"/>
        <v>497.34972335786097</v>
      </c>
      <c r="R46" s="40">
        <f t="shared" si="35"/>
        <v>507.29671782501822</v>
      </c>
      <c r="S46" s="40">
        <f t="shared" si="35"/>
        <v>517.44265218151861</v>
      </c>
      <c r="T46" s="40">
        <f t="shared" si="35"/>
        <v>527.79150522514897</v>
      </c>
      <c r="U46" s="40">
        <f t="shared" si="35"/>
        <v>538.34733532965197</v>
      </c>
      <c r="V46" s="40">
        <f t="shared" si="35"/>
        <v>549.11428203624507</v>
      </c>
      <c r="W46" s="40">
        <f t="shared" si="35"/>
        <v>560.09656767697004</v>
      </c>
      <c r="X46" s="40">
        <f t="shared" si="35"/>
        <v>571.29849903050945</v>
      </c>
      <c r="Y46" s="40">
        <f t="shared" si="35"/>
        <v>582.7244690111196</v>
      </c>
      <c r="Z46" s="40">
        <f t="shared" si="35"/>
        <v>594.37895839134205</v>
      </c>
      <c r="AA46" s="40">
        <f t="shared" si="35"/>
        <v>606.26653755916891</v>
      </c>
      <c r="AB46" s="40">
        <f t="shared" si="35"/>
        <v>618.39186831035227</v>
      </c>
      <c r="AC46" s="40">
        <f t="shared" si="35"/>
        <v>630.75970567655929</v>
      </c>
      <c r="AD46" s="40">
        <f t="shared" si="35"/>
        <v>643.37489979009047</v>
      </c>
      <c r="AE46" s="40">
        <f t="shared" si="35"/>
        <v>656.24239778589231</v>
      </c>
      <c r="AF46" s="40">
        <f t="shared" si="35"/>
        <v>669.36724574161019</v>
      </c>
      <c r="AG46" s="40">
        <f t="shared" si="35"/>
        <v>682.75459065644236</v>
      </c>
      <c r="AH46" s="40">
        <f t="shared" si="35"/>
        <v>696.40968246957118</v>
      </c>
      <c r="AI46" s="40">
        <f t="shared" si="35"/>
        <v>710.33787611896264</v>
      </c>
    </row>
    <row r="47" spans="1:35" x14ac:dyDescent="0.2">
      <c r="A47" s="39">
        <v>4405</v>
      </c>
      <c r="B47" s="52" t="s">
        <v>200</v>
      </c>
      <c r="C47" s="253">
        <v>0</v>
      </c>
      <c r="D47" s="80">
        <v>0.02</v>
      </c>
      <c r="E47" s="40">
        <f ca="1">+E62*0.95</f>
        <v>0</v>
      </c>
      <c r="F47" s="40">
        <f t="shared" ref="F47:AI47" ca="1" si="36">E47*(1+$D47)</f>
        <v>0</v>
      </c>
      <c r="G47" s="40">
        <f t="shared" ca="1" si="36"/>
        <v>0</v>
      </c>
      <c r="H47" s="40">
        <f t="shared" ca="1" si="36"/>
        <v>0</v>
      </c>
      <c r="I47" s="40">
        <f t="shared" ca="1" si="36"/>
        <v>0</v>
      </c>
      <c r="J47" s="40">
        <f t="shared" ca="1" si="36"/>
        <v>0</v>
      </c>
      <c r="K47" s="40">
        <f t="shared" ca="1" si="36"/>
        <v>0</v>
      </c>
      <c r="L47" s="40">
        <f t="shared" ca="1" si="36"/>
        <v>0</v>
      </c>
      <c r="M47" s="40">
        <f t="shared" ca="1" si="36"/>
        <v>0</v>
      </c>
      <c r="N47" s="40">
        <f t="shared" ca="1" si="36"/>
        <v>0</v>
      </c>
      <c r="O47" s="40">
        <f t="shared" ca="1" si="36"/>
        <v>0</v>
      </c>
      <c r="P47" s="40">
        <f t="shared" ca="1" si="36"/>
        <v>0</v>
      </c>
      <c r="Q47" s="40">
        <f t="shared" ca="1" si="36"/>
        <v>0</v>
      </c>
      <c r="R47" s="40">
        <f t="shared" ca="1" si="36"/>
        <v>0</v>
      </c>
      <c r="S47" s="40">
        <f t="shared" ca="1" si="36"/>
        <v>0</v>
      </c>
      <c r="T47" s="40">
        <f t="shared" ca="1" si="36"/>
        <v>0</v>
      </c>
      <c r="U47" s="40">
        <f t="shared" ca="1" si="36"/>
        <v>0</v>
      </c>
      <c r="V47" s="40">
        <f t="shared" ca="1" si="36"/>
        <v>0</v>
      </c>
      <c r="W47" s="40">
        <f t="shared" ca="1" si="36"/>
        <v>0</v>
      </c>
      <c r="X47" s="40">
        <f t="shared" ca="1" si="36"/>
        <v>0</v>
      </c>
      <c r="Y47" s="40">
        <f t="shared" ca="1" si="36"/>
        <v>0</v>
      </c>
      <c r="Z47" s="40">
        <f t="shared" ca="1" si="36"/>
        <v>0</v>
      </c>
      <c r="AA47" s="40">
        <f t="shared" ca="1" si="36"/>
        <v>0</v>
      </c>
      <c r="AB47" s="40">
        <f t="shared" ca="1" si="36"/>
        <v>0</v>
      </c>
      <c r="AC47" s="40">
        <f t="shared" ca="1" si="36"/>
        <v>0</v>
      </c>
      <c r="AD47" s="40">
        <f t="shared" ca="1" si="36"/>
        <v>0</v>
      </c>
      <c r="AE47" s="40">
        <f t="shared" ca="1" si="36"/>
        <v>0</v>
      </c>
      <c r="AF47" s="40">
        <f t="shared" ca="1" si="36"/>
        <v>0</v>
      </c>
      <c r="AG47" s="40">
        <f t="shared" ca="1" si="36"/>
        <v>0</v>
      </c>
      <c r="AH47" s="40">
        <f t="shared" ca="1" si="36"/>
        <v>0</v>
      </c>
      <c r="AI47" s="40">
        <f t="shared" ca="1" si="36"/>
        <v>0</v>
      </c>
    </row>
    <row r="48" spans="1:35" x14ac:dyDescent="0.2">
      <c r="A48" s="39">
        <v>4402</v>
      </c>
      <c r="B48" s="52" t="s">
        <v>201</v>
      </c>
      <c r="C48" s="253">
        <v>0</v>
      </c>
      <c r="D48" s="80">
        <v>0.02</v>
      </c>
      <c r="E48" s="40">
        <f>+E63*0.95</f>
        <v>38000</v>
      </c>
      <c r="F48" s="40">
        <f t="shared" ref="F48:AI48" si="37">E48*(1+$D48)</f>
        <v>38760</v>
      </c>
      <c r="G48" s="40">
        <f t="shared" si="37"/>
        <v>39535.199999999997</v>
      </c>
      <c r="H48" s="40">
        <f t="shared" si="37"/>
        <v>40325.903999999995</v>
      </c>
      <c r="I48" s="40">
        <f t="shared" si="37"/>
        <v>41132.422079999997</v>
      </c>
      <c r="J48" s="40">
        <f t="shared" si="37"/>
        <v>41955.070521599999</v>
      </c>
      <c r="K48" s="40">
        <f t="shared" si="37"/>
        <v>42794.171932031997</v>
      </c>
      <c r="L48" s="40">
        <f t="shared" si="37"/>
        <v>43650.055370672635</v>
      </c>
      <c r="M48" s="40">
        <f t="shared" si="37"/>
        <v>44523.056478086088</v>
      </c>
      <c r="N48" s="40">
        <f t="shared" si="37"/>
        <v>45413.517607647809</v>
      </c>
      <c r="O48" s="40">
        <f t="shared" si="37"/>
        <v>46321.787959800764</v>
      </c>
      <c r="P48" s="40">
        <f t="shared" si="37"/>
        <v>47248.223718996778</v>
      </c>
      <c r="Q48" s="40">
        <f t="shared" si="37"/>
        <v>48193.188193376714</v>
      </c>
      <c r="R48" s="40">
        <f t="shared" si="37"/>
        <v>49157.05195724425</v>
      </c>
      <c r="S48" s="40">
        <f t="shared" si="37"/>
        <v>50140.192996389138</v>
      </c>
      <c r="T48" s="40">
        <f t="shared" si="37"/>
        <v>51142.996856316924</v>
      </c>
      <c r="U48" s="40">
        <f t="shared" si="37"/>
        <v>52165.856793443265</v>
      </c>
      <c r="V48" s="40">
        <f t="shared" si="37"/>
        <v>53209.173929312128</v>
      </c>
      <c r="W48" s="40">
        <f t="shared" si="37"/>
        <v>54273.357407898373</v>
      </c>
      <c r="X48" s="40">
        <f t="shared" si="37"/>
        <v>55358.824556056345</v>
      </c>
      <c r="Y48" s="40">
        <f t="shared" si="37"/>
        <v>56466.001047177473</v>
      </c>
      <c r="Z48" s="40">
        <f t="shared" si="37"/>
        <v>57595.321068121026</v>
      </c>
      <c r="AA48" s="40">
        <f t="shared" si="37"/>
        <v>58747.227489483448</v>
      </c>
      <c r="AB48" s="40">
        <f t="shared" si="37"/>
        <v>59922.172039273115</v>
      </c>
      <c r="AC48" s="40">
        <f t="shared" si="37"/>
        <v>61120.615480058579</v>
      </c>
      <c r="AD48" s="40">
        <f t="shared" si="37"/>
        <v>62343.027789659754</v>
      </c>
      <c r="AE48" s="40">
        <f t="shared" si="37"/>
        <v>63589.88834545295</v>
      </c>
      <c r="AF48" s="40">
        <f t="shared" si="37"/>
        <v>64861.686112362011</v>
      </c>
      <c r="AG48" s="40">
        <f t="shared" si="37"/>
        <v>66158.919834609245</v>
      </c>
      <c r="AH48" s="40">
        <f t="shared" si="37"/>
        <v>67482.098231301425</v>
      </c>
      <c r="AI48" s="40">
        <f t="shared" si="37"/>
        <v>68831.740195927458</v>
      </c>
    </row>
    <row r="49" spans="1:41" x14ac:dyDescent="0.2">
      <c r="A49" s="39">
        <v>4998</v>
      </c>
      <c r="B49" s="52" t="s">
        <v>199</v>
      </c>
      <c r="C49" s="261"/>
      <c r="D49" s="132">
        <v>0.02</v>
      </c>
      <c r="E49" s="40">
        <v>0</v>
      </c>
      <c r="F49" s="40">
        <f t="shared" si="34"/>
        <v>0</v>
      </c>
      <c r="G49" s="40">
        <f t="shared" si="33"/>
        <v>0</v>
      </c>
      <c r="H49" s="40">
        <f t="shared" si="33"/>
        <v>0</v>
      </c>
      <c r="I49" s="40">
        <f t="shared" si="33"/>
        <v>0</v>
      </c>
      <c r="J49" s="40">
        <f t="shared" si="33"/>
        <v>0</v>
      </c>
      <c r="K49" s="40">
        <f t="shared" si="33"/>
        <v>0</v>
      </c>
      <c r="L49" s="40">
        <f t="shared" si="33"/>
        <v>0</v>
      </c>
      <c r="M49" s="40">
        <f t="shared" si="33"/>
        <v>0</v>
      </c>
      <c r="N49" s="40">
        <f t="shared" si="33"/>
        <v>0</v>
      </c>
      <c r="O49" s="40">
        <f t="shared" si="33"/>
        <v>0</v>
      </c>
      <c r="P49" s="40">
        <f t="shared" si="33"/>
        <v>0</v>
      </c>
      <c r="Q49" s="40">
        <f t="shared" si="33"/>
        <v>0</v>
      </c>
      <c r="R49" s="40">
        <f t="shared" si="33"/>
        <v>0</v>
      </c>
      <c r="S49" s="40">
        <f t="shared" si="33"/>
        <v>0</v>
      </c>
      <c r="T49" s="40">
        <f t="shared" si="33"/>
        <v>0</v>
      </c>
      <c r="U49" s="40">
        <f t="shared" si="33"/>
        <v>0</v>
      </c>
      <c r="V49" s="40">
        <f t="shared" si="33"/>
        <v>0</v>
      </c>
      <c r="W49" s="40">
        <f t="shared" si="33"/>
        <v>0</v>
      </c>
      <c r="X49" s="40">
        <f t="shared" si="33"/>
        <v>0</v>
      </c>
      <c r="Y49" s="40">
        <f t="shared" si="33"/>
        <v>0</v>
      </c>
      <c r="Z49" s="40">
        <f t="shared" si="33"/>
        <v>0</v>
      </c>
      <c r="AA49" s="40">
        <f t="shared" si="33"/>
        <v>0</v>
      </c>
      <c r="AB49" s="40">
        <f t="shared" si="33"/>
        <v>0</v>
      </c>
      <c r="AC49" s="40">
        <f t="shared" si="33"/>
        <v>0</v>
      </c>
      <c r="AD49" s="40">
        <f t="shared" si="33"/>
        <v>0</v>
      </c>
      <c r="AE49" s="40">
        <f t="shared" si="33"/>
        <v>0</v>
      </c>
      <c r="AF49" s="40">
        <f t="shared" si="33"/>
        <v>0</v>
      </c>
      <c r="AG49" s="40">
        <f t="shared" si="33"/>
        <v>0</v>
      </c>
      <c r="AH49" s="40">
        <f t="shared" si="33"/>
        <v>0</v>
      </c>
      <c r="AI49" s="40">
        <f t="shared" si="33"/>
        <v>0</v>
      </c>
    </row>
    <row r="50" spans="1:41" x14ac:dyDescent="0.2">
      <c r="B50" s="463" t="s">
        <v>81</v>
      </c>
      <c r="C50" s="262">
        <f>SUM(C44:C49)</f>
        <v>0</v>
      </c>
      <c r="D50" s="263">
        <f ca="1">E50*12</f>
        <v>456000</v>
      </c>
      <c r="E50" s="264">
        <f t="shared" ref="E50:AI50" ca="1" si="38">SUM(E44:E49)</f>
        <v>38000</v>
      </c>
      <c r="F50" s="264">
        <f t="shared" ca="1" si="38"/>
        <v>39160</v>
      </c>
      <c r="G50" s="264">
        <f t="shared" ca="1" si="38"/>
        <v>39943.199999999997</v>
      </c>
      <c r="H50" s="264">
        <f t="shared" ca="1" si="38"/>
        <v>40742.063999999998</v>
      </c>
      <c r="I50" s="264">
        <f t="shared" ca="1" si="38"/>
        <v>41556.905279999999</v>
      </c>
      <c r="J50" s="264">
        <f t="shared" ca="1" si="38"/>
        <v>42388.043385600002</v>
      </c>
      <c r="K50" s="264">
        <f t="shared" ca="1" si="38"/>
        <v>43235.804253311995</v>
      </c>
      <c r="L50" s="264">
        <f t="shared" ca="1" si="38"/>
        <v>44100.520338378235</v>
      </c>
      <c r="M50" s="264">
        <f t="shared" ca="1" si="38"/>
        <v>44982.530745145799</v>
      </c>
      <c r="N50" s="264">
        <f t="shared" ca="1" si="38"/>
        <v>45882.181360048715</v>
      </c>
      <c r="O50" s="264">
        <f t="shared" ca="1" si="38"/>
        <v>46799.824987249689</v>
      </c>
      <c r="P50" s="264">
        <f t="shared" ca="1" si="38"/>
        <v>47735.821486994682</v>
      </c>
      <c r="Q50" s="264">
        <f t="shared" ca="1" si="38"/>
        <v>48690.537916734575</v>
      </c>
      <c r="R50" s="264">
        <f t="shared" ca="1" si="38"/>
        <v>49664.348675069268</v>
      </c>
      <c r="S50" s="264">
        <f t="shared" ca="1" si="38"/>
        <v>50657.635648570656</v>
      </c>
      <c r="T50" s="264">
        <f t="shared" ca="1" si="38"/>
        <v>51670.788361542072</v>
      </c>
      <c r="U50" s="264">
        <f t="shared" ca="1" si="38"/>
        <v>52704.204128772915</v>
      </c>
      <c r="V50" s="264">
        <f t="shared" ca="1" si="38"/>
        <v>53758.288211348372</v>
      </c>
      <c r="W50" s="264">
        <f t="shared" ca="1" si="38"/>
        <v>54833.453975575343</v>
      </c>
      <c r="X50" s="264">
        <f t="shared" ca="1" si="38"/>
        <v>55930.123055086857</v>
      </c>
      <c r="Y50" s="264">
        <f t="shared" ca="1" si="38"/>
        <v>57048.725516188591</v>
      </c>
      <c r="Z50" s="264">
        <f t="shared" ca="1" si="38"/>
        <v>58189.700026512364</v>
      </c>
      <c r="AA50" s="264">
        <f t="shared" ca="1" si="38"/>
        <v>59353.494027042616</v>
      </c>
      <c r="AB50" s="264">
        <f t="shared" ca="1" si="38"/>
        <v>60540.56390758347</v>
      </c>
      <c r="AC50" s="264">
        <f t="shared" ca="1" si="38"/>
        <v>61751.375185735138</v>
      </c>
      <c r="AD50" s="264">
        <f t="shared" ca="1" si="38"/>
        <v>62986.402689449846</v>
      </c>
      <c r="AE50" s="264">
        <f t="shared" ca="1" si="38"/>
        <v>64246.130743238842</v>
      </c>
      <c r="AF50" s="264">
        <f t="shared" ca="1" si="38"/>
        <v>65531.053358103622</v>
      </c>
      <c r="AG50" s="264">
        <f t="shared" ca="1" si="38"/>
        <v>66841.674425265694</v>
      </c>
      <c r="AH50" s="264">
        <f t="shared" ca="1" si="38"/>
        <v>68178.507913770998</v>
      </c>
      <c r="AI50" s="264">
        <f t="shared" ca="1" si="38"/>
        <v>69542.078072046424</v>
      </c>
    </row>
    <row r="51" spans="1:41" x14ac:dyDescent="0.2">
      <c r="A51" s="39">
        <v>4134</v>
      </c>
      <c r="B51" s="60" t="s">
        <v>14</v>
      </c>
      <c r="C51" s="253">
        <v>0</v>
      </c>
      <c r="D51" s="69">
        <f>E51*12</f>
        <v>-4800</v>
      </c>
      <c r="E51" s="40">
        <f>-(E28)</f>
        <v>-400</v>
      </c>
      <c r="F51" s="40">
        <f t="shared" ref="F51:AI51" si="39">-(F28+150)</f>
        <v>-566</v>
      </c>
      <c r="G51" s="40">
        <f t="shared" si="39"/>
        <v>-582.64</v>
      </c>
      <c r="H51" s="40">
        <f t="shared" si="39"/>
        <v>-599.94560000000001</v>
      </c>
      <c r="I51" s="40">
        <f t="shared" si="39"/>
        <v>-617.94342400000005</v>
      </c>
      <c r="J51" s="40">
        <f t="shared" si="39"/>
        <v>-636.66116096000007</v>
      </c>
      <c r="K51" s="40">
        <f t="shared" si="39"/>
        <v>-656.12760739840007</v>
      </c>
      <c r="L51" s="40">
        <f t="shared" si="39"/>
        <v>-676.37271169433609</v>
      </c>
      <c r="M51" s="40">
        <f t="shared" si="39"/>
        <v>-697.42762016210952</v>
      </c>
      <c r="N51" s="40">
        <f t="shared" si="39"/>
        <v>-719.32472496859396</v>
      </c>
      <c r="O51" s="40">
        <f t="shared" si="39"/>
        <v>-742.09771396733777</v>
      </c>
      <c r="P51" s="40">
        <f t="shared" si="39"/>
        <v>-765.78162252603136</v>
      </c>
      <c r="Q51" s="40">
        <f t="shared" si="39"/>
        <v>-790.41288742707263</v>
      </c>
      <c r="R51" s="40">
        <f t="shared" si="39"/>
        <v>-816.02940292415553</v>
      </c>
      <c r="S51" s="40">
        <f t="shared" si="39"/>
        <v>-842.67057904112175</v>
      </c>
      <c r="T51" s="40">
        <f t="shared" si="39"/>
        <v>-870.37740220276669</v>
      </c>
      <c r="U51" s="40">
        <f t="shared" si="39"/>
        <v>-899.19249829087744</v>
      </c>
      <c r="V51" s="40">
        <f t="shared" si="39"/>
        <v>-929.16019822251258</v>
      </c>
      <c r="W51" s="40">
        <f t="shared" si="39"/>
        <v>-960.3266061514131</v>
      </c>
      <c r="X51" s="40">
        <f t="shared" si="39"/>
        <v>-992.73967039746969</v>
      </c>
      <c r="Y51" s="40">
        <f t="shared" si="39"/>
        <v>-1026.4492572133686</v>
      </c>
      <c r="Z51" s="40">
        <f t="shared" si="39"/>
        <v>-1061.5072275019033</v>
      </c>
      <c r="AA51" s="40">
        <f t="shared" si="39"/>
        <v>-1097.9675166019792</v>
      </c>
      <c r="AB51" s="40">
        <f t="shared" si="39"/>
        <v>-1135.8862172660586</v>
      </c>
      <c r="AC51" s="40">
        <f t="shared" si="39"/>
        <v>-1175.3216659567011</v>
      </c>
      <c r="AD51" s="40">
        <f t="shared" si="39"/>
        <v>-1216.3345325949692</v>
      </c>
      <c r="AE51" s="40">
        <f t="shared" si="39"/>
        <v>-1258.9879138987681</v>
      </c>
      <c r="AF51" s="40">
        <f t="shared" si="39"/>
        <v>-1303.3474304547187</v>
      </c>
      <c r="AG51" s="40">
        <f t="shared" si="39"/>
        <v>-1349.4813276729076</v>
      </c>
      <c r="AH51" s="40">
        <f t="shared" si="39"/>
        <v>-1397.4605807798239</v>
      </c>
      <c r="AI51" s="40">
        <f t="shared" si="39"/>
        <v>-1447.3590040110169</v>
      </c>
    </row>
    <row r="52" spans="1:41" x14ac:dyDescent="0.2">
      <c r="C52" s="253">
        <f>C50+C41</f>
        <v>352578</v>
      </c>
      <c r="D52" s="265">
        <f ca="1">E53*12</f>
        <v>547200</v>
      </c>
      <c r="E52" s="266">
        <f t="shared" ref="E52:J52" ca="1" si="40">E53*12</f>
        <v>547200</v>
      </c>
      <c r="F52" s="266">
        <f t="shared" ca="1" si="40"/>
        <v>662808</v>
      </c>
      <c r="G52" s="266">
        <f t="shared" ca="1" si="40"/>
        <v>783827.52</v>
      </c>
      <c r="H52" s="266">
        <f t="shared" ca="1" si="40"/>
        <v>913653.19679999992</v>
      </c>
      <c r="I52" s="266">
        <f t="shared" ca="1" si="40"/>
        <v>1052799.6510720002</v>
      </c>
      <c r="J52" s="266">
        <f t="shared" ca="1" si="40"/>
        <v>1201808.6584780803</v>
      </c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</row>
    <row r="53" spans="1:41" ht="13.5" thickBot="1" x14ac:dyDescent="0.25">
      <c r="B53" s="63" t="s">
        <v>116</v>
      </c>
      <c r="C53" s="474">
        <f>C52/12</f>
        <v>29381.5</v>
      </c>
      <c r="D53" s="260">
        <f ca="1">D52/12</f>
        <v>45600</v>
      </c>
      <c r="E53" s="259">
        <f t="shared" ref="E53:AI53" ca="1" si="41">E41+SUM(E50:E51)</f>
        <v>45600</v>
      </c>
      <c r="F53" s="259">
        <f t="shared" ca="1" si="41"/>
        <v>55234</v>
      </c>
      <c r="G53" s="259">
        <f t="shared" ca="1" si="41"/>
        <v>65318.96</v>
      </c>
      <c r="H53" s="259">
        <f t="shared" ca="1" si="41"/>
        <v>76137.766399999993</v>
      </c>
      <c r="I53" s="259">
        <f t="shared" ca="1" si="41"/>
        <v>87733.304256000003</v>
      </c>
      <c r="J53" s="259">
        <f t="shared" ca="1" si="41"/>
        <v>100150.72153984001</v>
      </c>
      <c r="K53" s="259">
        <f t="shared" ca="1" si="41"/>
        <v>113437.5416816896</v>
      </c>
      <c r="L53" s="259">
        <f t="shared" ca="1" si="41"/>
        <v>117432.15089090755</v>
      </c>
      <c r="M53" s="259">
        <f t="shared" ca="1" si="41"/>
        <v>121253.42651977629</v>
      </c>
      <c r="N53" s="259">
        <f t="shared" ca="1" si="41"/>
        <v>125209.91296566444</v>
      </c>
      <c r="O53" s="259">
        <f t="shared" ca="1" si="41"/>
        <v>129306.66585709003</v>
      </c>
      <c r="P53" s="259">
        <f t="shared" ca="1" si="41"/>
        <v>133548.93599162868</v>
      </c>
      <c r="Q53" s="259">
        <f t="shared" ca="1" si="41"/>
        <v>137942.17700155391</v>
      </c>
      <c r="R53" s="259">
        <f t="shared" ca="1" si="41"/>
        <v>142492.05332328138</v>
      </c>
      <c r="S53" s="259">
        <f t="shared" ca="1" si="41"/>
        <v>147204.44848271125</v>
      </c>
      <c r="T53" s="259">
        <f t="shared" ca="1" si="41"/>
        <v>152085.4737090483</v>
      </c>
      <c r="U53" s="259">
        <f t="shared" ca="1" si="41"/>
        <v>157141.47689017939</v>
      </c>
      <c r="V53" s="259">
        <f t="shared" ca="1" si="41"/>
        <v>162379.05188321113</v>
      </c>
      <c r="W53" s="259">
        <f t="shared" ca="1" si="41"/>
        <v>167805.04819431261</v>
      </c>
      <c r="X53" s="259">
        <f t="shared" ca="1" si="41"/>
        <v>173426.58104257364</v>
      </c>
      <c r="Y53" s="259">
        <f t="shared" ca="1" si="41"/>
        <v>179251.04182317483</v>
      </c>
      <c r="Z53" s="259">
        <f t="shared" ca="1" si="41"/>
        <v>185286.10898577806</v>
      </c>
      <c r="AA53" s="259">
        <f t="shared" ca="1" si="41"/>
        <v>191539.75934467893</v>
      </c>
      <c r="AB53" s="259">
        <f t="shared" ca="1" si="41"/>
        <v>198020.27983792525</v>
      </c>
      <c r="AC53" s="259">
        <f t="shared" ca="1" si="41"/>
        <v>204736.27975329058</v>
      </c>
      <c r="AD53" s="259">
        <f t="shared" ca="1" si="41"/>
        <v>211696.70343970752</v>
      </c>
      <c r="AE53" s="259">
        <f t="shared" ca="1" si="41"/>
        <v>218910.84352350686</v>
      </c>
      <c r="AF53" s="259">
        <f t="shared" ca="1" si="41"/>
        <v>226388.35464958235</v>
      </c>
      <c r="AG53" s="259">
        <f t="shared" ca="1" si="41"/>
        <v>234139.26776840357</v>
      </c>
      <c r="AH53" s="259">
        <f t="shared" ca="1" si="41"/>
        <v>242174.00499063442</v>
      </c>
      <c r="AI53" s="267">
        <f t="shared" ca="1" si="41"/>
        <v>250503.39503198437</v>
      </c>
    </row>
    <row r="54" spans="1:41" ht="13.5" thickTop="1" x14ac:dyDescent="0.2">
      <c r="B54" s="43"/>
      <c r="C54" s="67"/>
      <c r="D54" s="44"/>
      <c r="E54" s="45"/>
      <c r="F54" s="45"/>
    </row>
    <row r="55" spans="1:41" ht="15" x14ac:dyDescent="0.35">
      <c r="B55" s="38" t="s">
        <v>82</v>
      </c>
      <c r="C55" s="464" t="str">
        <f>M4</f>
        <v>2017</v>
      </c>
      <c r="D55" s="71" t="s">
        <v>83</v>
      </c>
    </row>
    <row r="56" spans="1:41" x14ac:dyDescent="0.2">
      <c r="A56" s="39">
        <v>5701</v>
      </c>
      <c r="B56" s="465" t="s">
        <v>305</v>
      </c>
      <c r="C56" s="254">
        <f ca="1">OFFSET('IE Data Entry'!E30,0,'IE Data Entry'!$O$3)</f>
        <v>34726</v>
      </c>
      <c r="D56" s="40">
        <v>30000</v>
      </c>
      <c r="E56" s="466">
        <f t="shared" ref="E56:E65" si="42">D56/12</f>
        <v>2500</v>
      </c>
      <c r="F56" s="40">
        <f t="shared" ref="F56:AI56" si="43">E56*(1+OpexInflation)</f>
        <v>2550</v>
      </c>
      <c r="G56" s="40">
        <f t="shared" si="43"/>
        <v>2601</v>
      </c>
      <c r="H56" s="40">
        <f t="shared" si="43"/>
        <v>2653.02</v>
      </c>
      <c r="I56" s="40">
        <f t="shared" si="43"/>
        <v>2706.0803999999998</v>
      </c>
      <c r="J56" s="40">
        <f t="shared" si="43"/>
        <v>2760.2020079999998</v>
      </c>
      <c r="K56" s="40">
        <f t="shared" si="43"/>
        <v>2815.40604816</v>
      </c>
      <c r="L56" s="40">
        <f t="shared" si="43"/>
        <v>2871.7141691232</v>
      </c>
      <c r="M56" s="40">
        <f t="shared" si="43"/>
        <v>2929.148452505664</v>
      </c>
      <c r="N56" s="40">
        <f t="shared" si="43"/>
        <v>2987.7314215557772</v>
      </c>
      <c r="O56" s="40">
        <f t="shared" si="43"/>
        <v>3047.4860499868928</v>
      </c>
      <c r="P56" s="40">
        <f t="shared" si="43"/>
        <v>3108.4357709866308</v>
      </c>
      <c r="Q56" s="40">
        <f t="shared" si="43"/>
        <v>3170.6044864063633</v>
      </c>
      <c r="R56" s="40">
        <f t="shared" si="43"/>
        <v>3234.0165761344906</v>
      </c>
      <c r="S56" s="40">
        <f t="shared" si="43"/>
        <v>3298.6969076571804</v>
      </c>
      <c r="T56" s="40">
        <f t="shared" si="43"/>
        <v>3364.670845810324</v>
      </c>
      <c r="U56" s="40">
        <f t="shared" si="43"/>
        <v>3431.9642627265307</v>
      </c>
      <c r="V56" s="40">
        <f t="shared" si="43"/>
        <v>3500.6035479810612</v>
      </c>
      <c r="W56" s="40">
        <f t="shared" si="43"/>
        <v>3570.6156189406825</v>
      </c>
      <c r="X56" s="40">
        <f t="shared" si="43"/>
        <v>3642.027931319496</v>
      </c>
      <c r="Y56" s="40">
        <f t="shared" si="43"/>
        <v>3714.8684899458858</v>
      </c>
      <c r="Z56" s="40">
        <f t="shared" si="43"/>
        <v>3789.1658597448036</v>
      </c>
      <c r="AA56" s="40">
        <f t="shared" si="43"/>
        <v>3864.9491769396996</v>
      </c>
      <c r="AB56" s="40">
        <f t="shared" si="43"/>
        <v>3942.2481604784934</v>
      </c>
      <c r="AC56" s="40">
        <f t="shared" si="43"/>
        <v>4021.0931236880633</v>
      </c>
      <c r="AD56" s="40">
        <f t="shared" si="43"/>
        <v>4101.5149861618247</v>
      </c>
      <c r="AE56" s="40">
        <f t="shared" si="43"/>
        <v>4183.5452858850613</v>
      </c>
      <c r="AF56" s="40">
        <f t="shared" si="43"/>
        <v>4267.2161916027626</v>
      </c>
      <c r="AG56" s="40">
        <f t="shared" si="43"/>
        <v>4352.5605154348177</v>
      </c>
      <c r="AH56" s="40">
        <f t="shared" si="43"/>
        <v>4439.6117257435144</v>
      </c>
      <c r="AI56" s="40">
        <f t="shared" si="43"/>
        <v>4528.4039602583844</v>
      </c>
      <c r="AJ56" s="40"/>
      <c r="AK56" s="40"/>
      <c r="AL56" s="40"/>
      <c r="AM56" s="40"/>
      <c r="AN56" s="40"/>
      <c r="AO56" s="40"/>
    </row>
    <row r="57" spans="1:41" x14ac:dyDescent="0.2">
      <c r="A57" s="39">
        <v>5305</v>
      </c>
      <c r="B57" s="52" t="s">
        <v>148</v>
      </c>
      <c r="C57" s="254">
        <f ca="1">OFFSET('IE Data Entry'!E31,0,'IE Data Entry'!$O$3)</f>
        <v>654</v>
      </c>
      <c r="D57" s="40">
        <f>D56*0.17</f>
        <v>5100</v>
      </c>
      <c r="E57" s="466">
        <f t="shared" si="42"/>
        <v>425</v>
      </c>
      <c r="F57" s="40">
        <f t="shared" ref="F57:AI57" si="44">E57*(1+OpexInflation)</f>
        <v>433.5</v>
      </c>
      <c r="G57" s="40">
        <f t="shared" si="44"/>
        <v>442.17</v>
      </c>
      <c r="H57" s="40">
        <f t="shared" si="44"/>
        <v>451.01340000000005</v>
      </c>
      <c r="I57" s="40">
        <f t="shared" si="44"/>
        <v>460.03366800000003</v>
      </c>
      <c r="J57" s="40">
        <f t="shared" si="44"/>
        <v>469.23434136000003</v>
      </c>
      <c r="K57" s="40">
        <f t="shared" si="44"/>
        <v>478.61902818720006</v>
      </c>
      <c r="L57" s="40">
        <f t="shared" si="44"/>
        <v>488.19140875094405</v>
      </c>
      <c r="M57" s="40">
        <f t="shared" si="44"/>
        <v>497.95523692596294</v>
      </c>
      <c r="N57" s="40">
        <f t="shared" si="44"/>
        <v>507.91434166448221</v>
      </c>
      <c r="O57" s="40">
        <f t="shared" si="44"/>
        <v>518.07262849777192</v>
      </c>
      <c r="P57" s="40">
        <f t="shared" si="44"/>
        <v>528.43408106772733</v>
      </c>
      <c r="Q57" s="40">
        <f t="shared" si="44"/>
        <v>539.00276268908192</v>
      </c>
      <c r="R57" s="40">
        <f t="shared" si="44"/>
        <v>549.78281794286352</v>
      </c>
      <c r="S57" s="40">
        <f t="shared" si="44"/>
        <v>560.77847430172085</v>
      </c>
      <c r="T57" s="40">
        <f t="shared" si="44"/>
        <v>571.99404378775523</v>
      </c>
      <c r="U57" s="40">
        <f t="shared" si="44"/>
        <v>583.43392466351031</v>
      </c>
      <c r="V57" s="40">
        <f t="shared" si="44"/>
        <v>595.10260315678056</v>
      </c>
      <c r="W57" s="40">
        <f t="shared" si="44"/>
        <v>607.00465521991623</v>
      </c>
      <c r="X57" s="40">
        <f t="shared" si="44"/>
        <v>619.14474832431461</v>
      </c>
      <c r="Y57" s="40">
        <f t="shared" si="44"/>
        <v>631.52764329080094</v>
      </c>
      <c r="Z57" s="40">
        <f t="shared" si="44"/>
        <v>644.15819615661701</v>
      </c>
      <c r="AA57" s="40">
        <f t="shared" si="44"/>
        <v>657.04136007974932</v>
      </c>
      <c r="AB57" s="40">
        <f t="shared" si="44"/>
        <v>670.18218728134434</v>
      </c>
      <c r="AC57" s="40">
        <f t="shared" si="44"/>
        <v>683.58583102697128</v>
      </c>
      <c r="AD57" s="40">
        <f t="shared" si="44"/>
        <v>697.25754764751071</v>
      </c>
      <c r="AE57" s="40">
        <f t="shared" si="44"/>
        <v>711.20269860046096</v>
      </c>
      <c r="AF57" s="40">
        <f t="shared" si="44"/>
        <v>725.42675257247015</v>
      </c>
      <c r="AG57" s="40">
        <f t="shared" si="44"/>
        <v>739.93528762391952</v>
      </c>
      <c r="AH57" s="40">
        <f t="shared" si="44"/>
        <v>754.73399337639796</v>
      </c>
      <c r="AI57" s="40">
        <f t="shared" si="44"/>
        <v>769.82867324392589</v>
      </c>
      <c r="AJ57" s="40"/>
      <c r="AK57" s="40"/>
      <c r="AL57" s="40"/>
      <c r="AM57" s="40"/>
      <c r="AN57" s="40"/>
      <c r="AO57" s="40"/>
    </row>
    <row r="58" spans="1:41" x14ac:dyDescent="0.2">
      <c r="A58" s="39">
        <v>5306</v>
      </c>
      <c r="B58" s="52" t="s">
        <v>147</v>
      </c>
      <c r="C58" s="254">
        <f ca="1">OFFSET('IE Data Entry'!E32,0,'IE Data Entry'!$O$3)</f>
        <v>0</v>
      </c>
      <c r="D58" s="40">
        <v>1000</v>
      </c>
      <c r="E58" s="466">
        <f t="shared" si="42"/>
        <v>83.333333333333329</v>
      </c>
      <c r="F58" s="40">
        <f t="shared" ref="F58:AI58" si="45">E58*(1+OpexInflation)</f>
        <v>85</v>
      </c>
      <c r="G58" s="40">
        <f t="shared" si="45"/>
        <v>86.7</v>
      </c>
      <c r="H58" s="40">
        <f t="shared" si="45"/>
        <v>88.433999999999997</v>
      </c>
      <c r="I58" s="40">
        <f t="shared" si="45"/>
        <v>90.202680000000001</v>
      </c>
      <c r="J58" s="40">
        <f t="shared" si="45"/>
        <v>92.006733600000004</v>
      </c>
      <c r="K58" s="40">
        <f t="shared" si="45"/>
        <v>93.846868272000009</v>
      </c>
      <c r="L58" s="40">
        <f t="shared" si="45"/>
        <v>95.723805637440009</v>
      </c>
      <c r="M58" s="40">
        <f t="shared" si="45"/>
        <v>97.63828175018881</v>
      </c>
      <c r="N58" s="40">
        <f t="shared" si="45"/>
        <v>99.591047385192581</v>
      </c>
      <c r="O58" s="40">
        <f t="shared" si="45"/>
        <v>101.58286833289644</v>
      </c>
      <c r="P58" s="40">
        <f t="shared" si="45"/>
        <v>103.61452569955436</v>
      </c>
      <c r="Q58" s="40">
        <f t="shared" si="45"/>
        <v>105.68681621354546</v>
      </c>
      <c r="R58" s="40">
        <f t="shared" si="45"/>
        <v>107.80055253781637</v>
      </c>
      <c r="S58" s="40">
        <f t="shared" si="45"/>
        <v>109.95656358857271</v>
      </c>
      <c r="T58" s="40">
        <f t="shared" si="45"/>
        <v>112.15569486034416</v>
      </c>
      <c r="U58" s="40">
        <f t="shared" si="45"/>
        <v>114.39880875755104</v>
      </c>
      <c r="V58" s="40">
        <f t="shared" si="45"/>
        <v>116.68678493270205</v>
      </c>
      <c r="W58" s="40">
        <f t="shared" si="45"/>
        <v>119.02052063135609</v>
      </c>
      <c r="X58" s="40">
        <f t="shared" si="45"/>
        <v>121.40093104398322</v>
      </c>
      <c r="Y58" s="40">
        <f t="shared" si="45"/>
        <v>123.82894966486289</v>
      </c>
      <c r="Z58" s="40">
        <f t="shared" si="45"/>
        <v>126.30552865816016</v>
      </c>
      <c r="AA58" s="40">
        <f t="shared" si="45"/>
        <v>128.83163923132335</v>
      </c>
      <c r="AB58" s="40">
        <f t="shared" si="45"/>
        <v>131.40827201594982</v>
      </c>
      <c r="AC58" s="40">
        <f t="shared" si="45"/>
        <v>134.03643745626883</v>
      </c>
      <c r="AD58" s="40">
        <f t="shared" si="45"/>
        <v>136.71716620539422</v>
      </c>
      <c r="AE58" s="40">
        <f t="shared" si="45"/>
        <v>139.45150952950212</v>
      </c>
      <c r="AF58" s="40">
        <f t="shared" si="45"/>
        <v>142.24053972009216</v>
      </c>
      <c r="AG58" s="40">
        <f t="shared" si="45"/>
        <v>145.085350514494</v>
      </c>
      <c r="AH58" s="40">
        <f t="shared" si="45"/>
        <v>147.98705752478386</v>
      </c>
      <c r="AI58" s="40">
        <f t="shared" si="45"/>
        <v>150.94679867527955</v>
      </c>
      <c r="AJ58" s="40"/>
      <c r="AK58" s="40"/>
      <c r="AL58" s="40"/>
      <c r="AM58" s="40"/>
      <c r="AN58" s="40"/>
      <c r="AO58" s="40"/>
    </row>
    <row r="59" spans="1:41" x14ac:dyDescent="0.2">
      <c r="A59" s="39">
        <v>5404</v>
      </c>
      <c r="B59" s="52" t="s">
        <v>12</v>
      </c>
      <c r="C59" s="254">
        <f ca="1">OFFSET('IE Data Entry'!E33,0,'IE Data Entry'!$O$3)</f>
        <v>3089</v>
      </c>
      <c r="D59" s="40">
        <f ca="1">C59*1.02</f>
        <v>3150.78</v>
      </c>
      <c r="E59" s="466">
        <f ca="1">D59/12</f>
        <v>262.565</v>
      </c>
      <c r="F59" s="40">
        <f t="shared" ref="F59:AI59" ca="1" si="46">E59*(1+OpexInflation)</f>
        <v>267.81630000000001</v>
      </c>
      <c r="G59" s="40">
        <f t="shared" ca="1" si="46"/>
        <v>273.17262600000004</v>
      </c>
      <c r="H59" s="40">
        <f t="shared" ca="1" si="46"/>
        <v>278.63607852000007</v>
      </c>
      <c r="I59" s="40">
        <f t="shared" ca="1" si="46"/>
        <v>284.20880009040008</v>
      </c>
      <c r="J59" s="40">
        <f t="shared" ca="1" si="46"/>
        <v>289.89297609220807</v>
      </c>
      <c r="K59" s="40">
        <f t="shared" ca="1" si="46"/>
        <v>295.69083561405222</v>
      </c>
      <c r="L59" s="40">
        <f t="shared" ca="1" si="46"/>
        <v>301.60465232633328</v>
      </c>
      <c r="M59" s="40">
        <f t="shared" ca="1" si="46"/>
        <v>307.63674537285993</v>
      </c>
      <c r="N59" s="40">
        <f t="shared" ca="1" si="46"/>
        <v>313.78948028031715</v>
      </c>
      <c r="O59" s="40">
        <f t="shared" ca="1" si="46"/>
        <v>320.0652698859235</v>
      </c>
      <c r="P59" s="40">
        <f t="shared" ca="1" si="46"/>
        <v>326.46657528364199</v>
      </c>
      <c r="Q59" s="40">
        <f t="shared" ca="1" si="46"/>
        <v>332.99590678931486</v>
      </c>
      <c r="R59" s="40">
        <f t="shared" ca="1" si="46"/>
        <v>339.65582492510117</v>
      </c>
      <c r="S59" s="40">
        <f t="shared" ca="1" si="46"/>
        <v>346.44894142360317</v>
      </c>
      <c r="T59" s="40">
        <f t="shared" ca="1" si="46"/>
        <v>353.37792025207523</v>
      </c>
      <c r="U59" s="40">
        <f t="shared" ca="1" si="46"/>
        <v>360.44547865711672</v>
      </c>
      <c r="V59" s="40">
        <f t="shared" ca="1" si="46"/>
        <v>367.65438823025909</v>
      </c>
      <c r="W59" s="40">
        <f t="shared" ca="1" si="46"/>
        <v>375.00747599486425</v>
      </c>
      <c r="X59" s="40">
        <f t="shared" ca="1" si="46"/>
        <v>382.50762551476151</v>
      </c>
      <c r="Y59" s="40">
        <f t="shared" ca="1" si="46"/>
        <v>390.15777802505676</v>
      </c>
      <c r="Z59" s="40">
        <f t="shared" ca="1" si="46"/>
        <v>397.96093358555788</v>
      </c>
      <c r="AA59" s="40">
        <f t="shared" ca="1" si="46"/>
        <v>405.92015225726902</v>
      </c>
      <c r="AB59" s="40">
        <f t="shared" ca="1" si="46"/>
        <v>414.03855530241441</v>
      </c>
      <c r="AC59" s="40">
        <f t="shared" ca="1" si="46"/>
        <v>422.3193264084627</v>
      </c>
      <c r="AD59" s="40">
        <f t="shared" ca="1" si="46"/>
        <v>430.76571293663199</v>
      </c>
      <c r="AE59" s="40">
        <f t="shared" ca="1" si="46"/>
        <v>439.38102719536465</v>
      </c>
      <c r="AF59" s="40">
        <f t="shared" ca="1" si="46"/>
        <v>448.16864773927193</v>
      </c>
      <c r="AG59" s="40">
        <f t="shared" ca="1" si="46"/>
        <v>457.13202069405736</v>
      </c>
      <c r="AH59" s="40">
        <f t="shared" ca="1" si="46"/>
        <v>466.27466110793853</v>
      </c>
      <c r="AI59" s="40">
        <f t="shared" ca="1" si="46"/>
        <v>475.60015433009733</v>
      </c>
      <c r="AJ59" s="40"/>
      <c r="AK59" s="40"/>
      <c r="AL59" s="40"/>
      <c r="AM59" s="40"/>
      <c r="AN59" s="40"/>
      <c r="AO59" s="40"/>
    </row>
    <row r="60" spans="1:41" x14ac:dyDescent="0.2">
      <c r="A60" s="39">
        <v>5401</v>
      </c>
      <c r="B60" s="52" t="s">
        <v>207</v>
      </c>
      <c r="C60" s="254">
        <f ca="1">OFFSET('IE Data Entry'!E34,0,'IE Data Entry'!$O$3)</f>
        <v>926</v>
      </c>
      <c r="D60" s="40">
        <f ca="1">C60*1.02</f>
        <v>944.52</v>
      </c>
      <c r="E60" s="466">
        <f ca="1">D60/12</f>
        <v>78.709999999999994</v>
      </c>
      <c r="F60" s="40">
        <f t="shared" ref="F60:AI60" ca="1" si="47">E60*(1+OpexInflation)</f>
        <v>80.284199999999998</v>
      </c>
      <c r="G60" s="40">
        <f t="shared" ca="1" si="47"/>
        <v>81.889883999999995</v>
      </c>
      <c r="H60" s="40">
        <f t="shared" ca="1" si="47"/>
        <v>83.527681680000001</v>
      </c>
      <c r="I60" s="40">
        <f t="shared" ca="1" si="47"/>
        <v>85.198235313600009</v>
      </c>
      <c r="J60" s="40">
        <f t="shared" ca="1" si="47"/>
        <v>86.902200019872012</v>
      </c>
      <c r="K60" s="40">
        <f t="shared" ca="1" si="47"/>
        <v>88.640244020269449</v>
      </c>
      <c r="L60" s="40">
        <f t="shared" ca="1" si="47"/>
        <v>90.413048900674838</v>
      </c>
      <c r="M60" s="40">
        <f t="shared" ca="1" si="47"/>
        <v>92.221309878688331</v>
      </c>
      <c r="N60" s="40">
        <f t="shared" ca="1" si="47"/>
        <v>94.065736076262098</v>
      </c>
      <c r="O60" s="40">
        <f t="shared" ca="1" si="47"/>
        <v>95.947050797787341</v>
      </c>
      <c r="P60" s="40">
        <f t="shared" ca="1" si="47"/>
        <v>97.865991813743094</v>
      </c>
      <c r="Q60" s="40">
        <f t="shared" ca="1" si="47"/>
        <v>99.823311650017956</v>
      </c>
      <c r="R60" s="40">
        <f t="shared" ca="1" si="47"/>
        <v>101.81977788301832</v>
      </c>
      <c r="S60" s="40">
        <f t="shared" ca="1" si="47"/>
        <v>103.85617344067869</v>
      </c>
      <c r="T60" s="40">
        <f t="shared" ca="1" si="47"/>
        <v>105.93329690949227</v>
      </c>
      <c r="U60" s="40">
        <f t="shared" ca="1" si="47"/>
        <v>108.05196284768212</v>
      </c>
      <c r="V60" s="40">
        <f t="shared" ca="1" si="47"/>
        <v>110.21300210463576</v>
      </c>
      <c r="W60" s="40">
        <f t="shared" ca="1" si="47"/>
        <v>112.41726214672848</v>
      </c>
      <c r="X60" s="40">
        <f t="shared" ca="1" si="47"/>
        <v>114.66560738966305</v>
      </c>
      <c r="Y60" s="40">
        <f t="shared" ca="1" si="47"/>
        <v>116.95891953745631</v>
      </c>
      <c r="Z60" s="40">
        <f t="shared" ca="1" si="47"/>
        <v>119.29809792820544</v>
      </c>
      <c r="AA60" s="40">
        <f t="shared" ca="1" si="47"/>
        <v>121.68405988676955</v>
      </c>
      <c r="AB60" s="40">
        <f t="shared" ca="1" si="47"/>
        <v>124.11774108450494</v>
      </c>
      <c r="AC60" s="40">
        <f t="shared" ca="1" si="47"/>
        <v>126.60009590619504</v>
      </c>
      <c r="AD60" s="40">
        <f t="shared" ca="1" si="47"/>
        <v>129.13209782431895</v>
      </c>
      <c r="AE60" s="40">
        <f t="shared" ca="1" si="47"/>
        <v>131.71473978080533</v>
      </c>
      <c r="AF60" s="40">
        <f t="shared" ca="1" si="47"/>
        <v>134.34903457642145</v>
      </c>
      <c r="AG60" s="40">
        <f t="shared" ca="1" si="47"/>
        <v>137.03601526794986</v>
      </c>
      <c r="AH60" s="40">
        <f t="shared" ca="1" si="47"/>
        <v>139.77673557330886</v>
      </c>
      <c r="AI60" s="40">
        <f t="shared" ca="1" si="47"/>
        <v>142.57227028477504</v>
      </c>
      <c r="AJ60" s="40"/>
      <c r="AK60" s="40"/>
      <c r="AL60" s="40"/>
      <c r="AM60" s="40"/>
      <c r="AN60" s="40"/>
      <c r="AO60" s="40"/>
    </row>
    <row r="61" spans="1:41" x14ac:dyDescent="0.2">
      <c r="A61" s="39">
        <v>5405</v>
      </c>
      <c r="B61" s="52" t="s">
        <v>10</v>
      </c>
      <c r="C61" s="254">
        <f ca="1">OFFSET('IE Data Entry'!E35,0,'IE Data Entry'!$O$3)</f>
        <v>0</v>
      </c>
      <c r="D61" s="40">
        <f ca="1">C61*1.02</f>
        <v>0</v>
      </c>
      <c r="E61" s="466">
        <f ca="1">D61/12</f>
        <v>0</v>
      </c>
      <c r="F61" s="40">
        <f t="shared" ref="F61:AI61" ca="1" si="48">E61*(1+OpexInflation)</f>
        <v>0</v>
      </c>
      <c r="G61" s="40">
        <f t="shared" ca="1" si="48"/>
        <v>0</v>
      </c>
      <c r="H61" s="40">
        <f t="shared" ca="1" si="48"/>
        <v>0</v>
      </c>
      <c r="I61" s="40">
        <f t="shared" ca="1" si="48"/>
        <v>0</v>
      </c>
      <c r="J61" s="40">
        <f t="shared" ca="1" si="48"/>
        <v>0</v>
      </c>
      <c r="K61" s="40">
        <f t="shared" ca="1" si="48"/>
        <v>0</v>
      </c>
      <c r="L61" s="40">
        <f t="shared" ca="1" si="48"/>
        <v>0</v>
      </c>
      <c r="M61" s="40">
        <f t="shared" ca="1" si="48"/>
        <v>0</v>
      </c>
      <c r="N61" s="40">
        <f t="shared" ca="1" si="48"/>
        <v>0</v>
      </c>
      <c r="O61" s="40">
        <f t="shared" ca="1" si="48"/>
        <v>0</v>
      </c>
      <c r="P61" s="40">
        <f t="shared" ca="1" si="48"/>
        <v>0</v>
      </c>
      <c r="Q61" s="40">
        <f t="shared" ca="1" si="48"/>
        <v>0</v>
      </c>
      <c r="R61" s="40">
        <f t="shared" ca="1" si="48"/>
        <v>0</v>
      </c>
      <c r="S61" s="40">
        <f t="shared" ca="1" si="48"/>
        <v>0</v>
      </c>
      <c r="T61" s="40">
        <f t="shared" ca="1" si="48"/>
        <v>0</v>
      </c>
      <c r="U61" s="40">
        <f t="shared" ca="1" si="48"/>
        <v>0</v>
      </c>
      <c r="V61" s="40">
        <f t="shared" ca="1" si="48"/>
        <v>0</v>
      </c>
      <c r="W61" s="40">
        <f t="shared" ca="1" si="48"/>
        <v>0</v>
      </c>
      <c r="X61" s="40">
        <f t="shared" ca="1" si="48"/>
        <v>0</v>
      </c>
      <c r="Y61" s="40">
        <f t="shared" ca="1" si="48"/>
        <v>0</v>
      </c>
      <c r="Z61" s="40">
        <f t="shared" ca="1" si="48"/>
        <v>0</v>
      </c>
      <c r="AA61" s="40">
        <f t="shared" ca="1" si="48"/>
        <v>0</v>
      </c>
      <c r="AB61" s="40">
        <f t="shared" ca="1" si="48"/>
        <v>0</v>
      </c>
      <c r="AC61" s="40">
        <f t="shared" ca="1" si="48"/>
        <v>0</v>
      </c>
      <c r="AD61" s="40">
        <f t="shared" ca="1" si="48"/>
        <v>0</v>
      </c>
      <c r="AE61" s="40">
        <f t="shared" ca="1" si="48"/>
        <v>0</v>
      </c>
      <c r="AF61" s="40">
        <f t="shared" ca="1" si="48"/>
        <v>0</v>
      </c>
      <c r="AG61" s="40">
        <f t="shared" ca="1" si="48"/>
        <v>0</v>
      </c>
      <c r="AH61" s="40">
        <f t="shared" ca="1" si="48"/>
        <v>0</v>
      </c>
      <c r="AI61" s="40">
        <f t="shared" ca="1" si="48"/>
        <v>0</v>
      </c>
      <c r="AJ61" s="40"/>
      <c r="AK61" s="40"/>
      <c r="AL61" s="40"/>
      <c r="AM61" s="40"/>
      <c r="AN61" s="40"/>
      <c r="AO61" s="40"/>
    </row>
    <row r="62" spans="1:41" x14ac:dyDescent="0.2">
      <c r="A62" s="39">
        <v>5403</v>
      </c>
      <c r="B62" s="52" t="s">
        <v>145</v>
      </c>
      <c r="C62" s="254">
        <f ca="1">OFFSET('IE Data Entry'!E36,0,'IE Data Entry'!$O$3)</f>
        <v>0</v>
      </c>
      <c r="D62" s="40">
        <f ca="1">C62*1.02</f>
        <v>0</v>
      </c>
      <c r="E62" s="466">
        <f ca="1">D62/12</f>
        <v>0</v>
      </c>
      <c r="F62" s="40">
        <f t="shared" ref="F62:AI62" ca="1" si="49">E62*(1+SewerInflation)</f>
        <v>0</v>
      </c>
      <c r="G62" s="40">
        <f t="shared" ca="1" si="49"/>
        <v>0</v>
      </c>
      <c r="H62" s="40">
        <f t="shared" ca="1" si="49"/>
        <v>0</v>
      </c>
      <c r="I62" s="40">
        <f t="shared" ca="1" si="49"/>
        <v>0</v>
      </c>
      <c r="J62" s="40">
        <f t="shared" ca="1" si="49"/>
        <v>0</v>
      </c>
      <c r="K62" s="40">
        <f t="shared" ca="1" si="49"/>
        <v>0</v>
      </c>
      <c r="L62" s="40">
        <f t="shared" ca="1" si="49"/>
        <v>0</v>
      </c>
      <c r="M62" s="40">
        <f t="shared" ca="1" si="49"/>
        <v>0</v>
      </c>
      <c r="N62" s="40">
        <f t="shared" ca="1" si="49"/>
        <v>0</v>
      </c>
      <c r="O62" s="40">
        <f t="shared" ca="1" si="49"/>
        <v>0</v>
      </c>
      <c r="P62" s="40">
        <f t="shared" ca="1" si="49"/>
        <v>0</v>
      </c>
      <c r="Q62" s="40">
        <f t="shared" ca="1" si="49"/>
        <v>0</v>
      </c>
      <c r="R62" s="40">
        <f t="shared" ca="1" si="49"/>
        <v>0</v>
      </c>
      <c r="S62" s="40">
        <f t="shared" ca="1" si="49"/>
        <v>0</v>
      </c>
      <c r="T62" s="40">
        <f t="shared" ca="1" si="49"/>
        <v>0</v>
      </c>
      <c r="U62" s="40">
        <f t="shared" ca="1" si="49"/>
        <v>0</v>
      </c>
      <c r="V62" s="40">
        <f t="shared" ca="1" si="49"/>
        <v>0</v>
      </c>
      <c r="W62" s="40">
        <f t="shared" ca="1" si="49"/>
        <v>0</v>
      </c>
      <c r="X62" s="40">
        <f t="shared" ca="1" si="49"/>
        <v>0</v>
      </c>
      <c r="Y62" s="40">
        <f t="shared" ca="1" si="49"/>
        <v>0</v>
      </c>
      <c r="Z62" s="40">
        <f t="shared" ca="1" si="49"/>
        <v>0</v>
      </c>
      <c r="AA62" s="40">
        <f t="shared" ca="1" si="49"/>
        <v>0</v>
      </c>
      <c r="AB62" s="40">
        <f t="shared" ca="1" si="49"/>
        <v>0</v>
      </c>
      <c r="AC62" s="40">
        <f t="shared" ca="1" si="49"/>
        <v>0</v>
      </c>
      <c r="AD62" s="40">
        <f t="shared" ca="1" si="49"/>
        <v>0</v>
      </c>
      <c r="AE62" s="40">
        <f t="shared" ca="1" si="49"/>
        <v>0</v>
      </c>
      <c r="AF62" s="40">
        <f t="shared" ca="1" si="49"/>
        <v>0</v>
      </c>
      <c r="AG62" s="40">
        <f t="shared" ca="1" si="49"/>
        <v>0</v>
      </c>
      <c r="AH62" s="40">
        <f t="shared" ca="1" si="49"/>
        <v>0</v>
      </c>
      <c r="AI62" s="40">
        <f t="shared" ca="1" si="49"/>
        <v>0</v>
      </c>
      <c r="AJ62" s="40"/>
      <c r="AK62" s="40"/>
      <c r="AL62" s="40"/>
      <c r="AM62" s="40"/>
      <c r="AN62" s="40"/>
      <c r="AO62" s="40"/>
    </row>
    <row r="63" spans="1:41" x14ac:dyDescent="0.2">
      <c r="A63" s="39">
        <v>5402</v>
      </c>
      <c r="B63" s="52" t="s">
        <v>144</v>
      </c>
      <c r="C63" s="254">
        <f ca="1">OFFSET('IE Data Entry'!E37,0,'IE Data Entry'!$O$3)</f>
        <v>192412</v>
      </c>
      <c r="D63" s="40">
        <f ca="1">C63*1.02</f>
        <v>196260.24</v>
      </c>
      <c r="E63" s="466">
        <v>40000</v>
      </c>
      <c r="F63" s="40">
        <f t="shared" ref="F63:AI63" si="50">E63*(1+OpexInflation)</f>
        <v>40800</v>
      </c>
      <c r="G63" s="40">
        <f t="shared" si="50"/>
        <v>41616</v>
      </c>
      <c r="H63" s="40">
        <f t="shared" si="50"/>
        <v>42448.32</v>
      </c>
      <c r="I63" s="40">
        <f t="shared" si="50"/>
        <v>43297.286399999997</v>
      </c>
      <c r="J63" s="40">
        <f t="shared" si="50"/>
        <v>44163.232127999996</v>
      </c>
      <c r="K63" s="40">
        <f t="shared" si="50"/>
        <v>45046.496770559999</v>
      </c>
      <c r="L63" s="40">
        <f t="shared" si="50"/>
        <v>45947.4267059712</v>
      </c>
      <c r="M63" s="40">
        <f t="shared" si="50"/>
        <v>46866.375240090623</v>
      </c>
      <c r="N63" s="40">
        <f t="shared" si="50"/>
        <v>47803.702744892435</v>
      </c>
      <c r="O63" s="40">
        <f t="shared" si="50"/>
        <v>48759.776799790285</v>
      </c>
      <c r="P63" s="40">
        <f t="shared" si="50"/>
        <v>49734.972335786093</v>
      </c>
      <c r="Q63" s="40">
        <f t="shared" si="50"/>
        <v>50729.671782501813</v>
      </c>
      <c r="R63" s="40">
        <f t="shared" si="50"/>
        <v>51744.26521815185</v>
      </c>
      <c r="S63" s="40">
        <f t="shared" si="50"/>
        <v>52779.150522514887</v>
      </c>
      <c r="T63" s="40">
        <f t="shared" si="50"/>
        <v>53834.733532965183</v>
      </c>
      <c r="U63" s="40">
        <f t="shared" si="50"/>
        <v>54911.428203624491</v>
      </c>
      <c r="V63" s="40">
        <f t="shared" si="50"/>
        <v>56009.656767696979</v>
      </c>
      <c r="W63" s="40">
        <f t="shared" si="50"/>
        <v>57129.849903050919</v>
      </c>
      <c r="X63" s="40">
        <f t="shared" si="50"/>
        <v>58272.446901111936</v>
      </c>
      <c r="Y63" s="40">
        <f t="shared" si="50"/>
        <v>59437.895839134173</v>
      </c>
      <c r="Z63" s="40">
        <f t="shared" si="50"/>
        <v>60626.653755916857</v>
      </c>
      <c r="AA63" s="40">
        <f t="shared" si="50"/>
        <v>61839.186831035193</v>
      </c>
      <c r="AB63" s="40">
        <f t="shared" si="50"/>
        <v>63075.970567655895</v>
      </c>
      <c r="AC63" s="40">
        <f t="shared" si="50"/>
        <v>64337.489979009013</v>
      </c>
      <c r="AD63" s="40">
        <f t="shared" si="50"/>
        <v>65624.239778589195</v>
      </c>
      <c r="AE63" s="40">
        <f t="shared" si="50"/>
        <v>66936.72457416098</v>
      </c>
      <c r="AF63" s="40">
        <f t="shared" si="50"/>
        <v>68275.459065644201</v>
      </c>
      <c r="AG63" s="40">
        <f t="shared" si="50"/>
        <v>69640.968246957083</v>
      </c>
      <c r="AH63" s="40">
        <f t="shared" si="50"/>
        <v>71033.78761189623</v>
      </c>
      <c r="AI63" s="40">
        <f t="shared" si="50"/>
        <v>72454.46336413415</v>
      </c>
      <c r="AJ63" s="40"/>
      <c r="AK63" s="40"/>
      <c r="AL63" s="40"/>
      <c r="AM63" s="40"/>
      <c r="AN63" s="40"/>
      <c r="AO63" s="40"/>
    </row>
    <row r="64" spans="1:41" x14ac:dyDescent="0.2">
      <c r="A64" s="39">
        <v>5603</v>
      </c>
      <c r="B64" s="52" t="s">
        <v>208</v>
      </c>
      <c r="C64" s="254">
        <f ca="1">OFFSET('IE Data Entry'!E38,0,'IE Data Entry'!$O$3)</f>
        <v>0</v>
      </c>
      <c r="D64" s="40">
        <f>90*12</f>
        <v>1080</v>
      </c>
      <c r="E64" s="466">
        <f t="shared" si="42"/>
        <v>90</v>
      </c>
      <c r="F64" s="40">
        <f>E64*1.01</f>
        <v>90.9</v>
      </c>
      <c r="G64" s="40">
        <f t="shared" ref="G64:AI64" si="51">F64*1.01</f>
        <v>91.809000000000012</v>
      </c>
      <c r="H64" s="40">
        <f t="shared" si="51"/>
        <v>92.727090000000018</v>
      </c>
      <c r="I64" s="40">
        <f t="shared" si="51"/>
        <v>93.654360900000015</v>
      </c>
      <c r="J64" s="40">
        <f t="shared" si="51"/>
        <v>94.590904509000012</v>
      </c>
      <c r="K64" s="40">
        <f t="shared" si="51"/>
        <v>95.536813554090017</v>
      </c>
      <c r="L64" s="40">
        <f t="shared" si="51"/>
        <v>96.492181689630911</v>
      </c>
      <c r="M64" s="40">
        <f t="shared" si="51"/>
        <v>97.457103506527218</v>
      </c>
      <c r="N64" s="40">
        <f t="shared" si="51"/>
        <v>98.431674541592486</v>
      </c>
      <c r="O64" s="40">
        <f t="shared" si="51"/>
        <v>99.41599128700841</v>
      </c>
      <c r="P64" s="40">
        <f t="shared" si="51"/>
        <v>100.4101511998785</v>
      </c>
      <c r="Q64" s="40">
        <f t="shared" si="51"/>
        <v>101.41425271187728</v>
      </c>
      <c r="R64" s="40">
        <f t="shared" si="51"/>
        <v>102.42839523899606</v>
      </c>
      <c r="S64" s="40">
        <f t="shared" si="51"/>
        <v>103.45267919138603</v>
      </c>
      <c r="T64" s="40">
        <f t="shared" si="51"/>
        <v>104.48720598329989</v>
      </c>
      <c r="U64" s="40">
        <f t="shared" si="51"/>
        <v>105.53207804313288</v>
      </c>
      <c r="V64" s="40">
        <f t="shared" si="51"/>
        <v>106.58739882356421</v>
      </c>
      <c r="W64" s="40">
        <f t="shared" si="51"/>
        <v>107.65327281179985</v>
      </c>
      <c r="X64" s="40">
        <f t="shared" si="51"/>
        <v>108.72980553991785</v>
      </c>
      <c r="Y64" s="40">
        <f t="shared" si="51"/>
        <v>109.81710359531702</v>
      </c>
      <c r="Z64" s="40">
        <f t="shared" si="51"/>
        <v>110.91527463127019</v>
      </c>
      <c r="AA64" s="40">
        <f t="shared" si="51"/>
        <v>112.0244273775829</v>
      </c>
      <c r="AB64" s="40">
        <f t="shared" si="51"/>
        <v>113.14467165135872</v>
      </c>
      <c r="AC64" s="40">
        <f t="shared" si="51"/>
        <v>114.27611836787231</v>
      </c>
      <c r="AD64" s="40">
        <f t="shared" si="51"/>
        <v>115.41887955155104</v>
      </c>
      <c r="AE64" s="40">
        <f t="shared" si="51"/>
        <v>116.57306834706655</v>
      </c>
      <c r="AF64" s="40">
        <f t="shared" si="51"/>
        <v>117.73879903053722</v>
      </c>
      <c r="AG64" s="40">
        <f t="shared" si="51"/>
        <v>118.9161870208426</v>
      </c>
      <c r="AH64" s="40">
        <f t="shared" si="51"/>
        <v>120.10534889105102</v>
      </c>
      <c r="AI64" s="40">
        <f t="shared" si="51"/>
        <v>121.30640237996154</v>
      </c>
      <c r="AJ64" s="40"/>
      <c r="AK64" s="40"/>
      <c r="AL64" s="40"/>
      <c r="AM64" s="40"/>
      <c r="AN64" s="40"/>
      <c r="AO64" s="40"/>
    </row>
    <row r="65" spans="1:41" x14ac:dyDescent="0.2">
      <c r="A65" s="39">
        <v>5020</v>
      </c>
      <c r="B65" s="52" t="s">
        <v>156</v>
      </c>
      <c r="C65" s="254">
        <f ca="1">OFFSET('IE Data Entry'!E39,0,'IE Data Entry'!$O$3)</f>
        <v>0</v>
      </c>
      <c r="D65" s="40">
        <v>2400</v>
      </c>
      <c r="E65" s="466">
        <f t="shared" si="42"/>
        <v>200</v>
      </c>
      <c r="F65" s="40">
        <f t="shared" ref="F65:AI65" si="52">E65*(1+OpexInflation)</f>
        <v>204</v>
      </c>
      <c r="G65" s="40">
        <f t="shared" si="52"/>
        <v>208.08</v>
      </c>
      <c r="H65" s="40">
        <f t="shared" si="52"/>
        <v>212.24160000000001</v>
      </c>
      <c r="I65" s="40">
        <f t="shared" si="52"/>
        <v>216.48643200000001</v>
      </c>
      <c r="J65" s="40">
        <f t="shared" si="52"/>
        <v>220.81616064000002</v>
      </c>
      <c r="K65" s="40">
        <f t="shared" si="52"/>
        <v>225.23248385280002</v>
      </c>
      <c r="L65" s="40">
        <f t="shared" si="52"/>
        <v>229.73713352985601</v>
      </c>
      <c r="M65" s="40">
        <f t="shared" si="52"/>
        <v>234.33187620045314</v>
      </c>
      <c r="N65" s="40">
        <f t="shared" si="52"/>
        <v>239.0185137244622</v>
      </c>
      <c r="O65" s="40">
        <f t="shared" si="52"/>
        <v>243.79888399895145</v>
      </c>
      <c r="P65" s="40">
        <f t="shared" si="52"/>
        <v>248.67486167893048</v>
      </c>
      <c r="Q65" s="40">
        <f t="shared" si="52"/>
        <v>253.64835891250911</v>
      </c>
      <c r="R65" s="40">
        <f t="shared" si="52"/>
        <v>258.72132609075931</v>
      </c>
      <c r="S65" s="40">
        <f t="shared" si="52"/>
        <v>263.89575261257448</v>
      </c>
      <c r="T65" s="40">
        <f t="shared" si="52"/>
        <v>269.17366766482598</v>
      </c>
      <c r="U65" s="40">
        <f t="shared" si="52"/>
        <v>274.55714101812254</v>
      </c>
      <c r="V65" s="40">
        <f t="shared" si="52"/>
        <v>280.04828383848502</v>
      </c>
      <c r="W65" s="40">
        <f t="shared" si="52"/>
        <v>285.64924951525472</v>
      </c>
      <c r="X65" s="40">
        <f t="shared" si="52"/>
        <v>291.3622345055598</v>
      </c>
      <c r="Y65" s="40">
        <f t="shared" si="52"/>
        <v>297.18947919567103</v>
      </c>
      <c r="Z65" s="40">
        <f t="shared" si="52"/>
        <v>303.13326877958445</v>
      </c>
      <c r="AA65" s="40">
        <f t="shared" si="52"/>
        <v>309.19593415517613</v>
      </c>
      <c r="AB65" s="40">
        <f t="shared" si="52"/>
        <v>315.37985283827965</v>
      </c>
      <c r="AC65" s="40">
        <f t="shared" si="52"/>
        <v>321.68744989504523</v>
      </c>
      <c r="AD65" s="40">
        <f t="shared" si="52"/>
        <v>328.12119889294615</v>
      </c>
      <c r="AE65" s="40">
        <f t="shared" si="52"/>
        <v>334.6836228708051</v>
      </c>
      <c r="AF65" s="40">
        <f t="shared" si="52"/>
        <v>341.37729532822118</v>
      </c>
      <c r="AG65" s="40">
        <f t="shared" si="52"/>
        <v>348.20484123478559</v>
      </c>
      <c r="AH65" s="40">
        <f t="shared" si="52"/>
        <v>355.16893805948132</v>
      </c>
      <c r="AI65" s="40">
        <f t="shared" si="52"/>
        <v>362.27231682067094</v>
      </c>
      <c r="AJ65" s="40"/>
      <c r="AK65" s="40"/>
      <c r="AL65" s="40"/>
      <c r="AM65" s="40"/>
      <c r="AN65" s="40"/>
      <c r="AO65" s="40"/>
    </row>
    <row r="66" spans="1:41" x14ac:dyDescent="0.2">
      <c r="A66" s="39">
        <v>5104</v>
      </c>
      <c r="B66" s="52" t="s">
        <v>157</v>
      </c>
      <c r="C66" s="254">
        <f ca="1">OFFSET('IE Data Entry'!E40,0,'IE Data Entry'!$O$3)</f>
        <v>13080</v>
      </c>
      <c r="D66" s="40">
        <f>250*NoOfSpaces</f>
        <v>37000</v>
      </c>
      <c r="E66" s="466">
        <f t="shared" ref="E66:E74" si="53">D66/12</f>
        <v>3083.3333333333335</v>
      </c>
      <c r="F66" s="40">
        <f t="shared" ref="F66:AI66" si="54">E66*(1+OpexInflation)</f>
        <v>3145</v>
      </c>
      <c r="G66" s="40">
        <f t="shared" si="54"/>
        <v>3207.9</v>
      </c>
      <c r="H66" s="40">
        <f t="shared" si="54"/>
        <v>3272.058</v>
      </c>
      <c r="I66" s="40">
        <f t="shared" si="54"/>
        <v>3337.4991599999998</v>
      </c>
      <c r="J66" s="40">
        <f t="shared" si="54"/>
        <v>3404.2491431999997</v>
      </c>
      <c r="K66" s="40">
        <f t="shared" si="54"/>
        <v>3472.334126064</v>
      </c>
      <c r="L66" s="40">
        <f t="shared" si="54"/>
        <v>3541.7808085852798</v>
      </c>
      <c r="M66" s="40">
        <f t="shared" si="54"/>
        <v>3612.6164247569855</v>
      </c>
      <c r="N66" s="40">
        <f t="shared" si="54"/>
        <v>3684.8687532521253</v>
      </c>
      <c r="O66" s="40">
        <f t="shared" si="54"/>
        <v>3758.566128317168</v>
      </c>
      <c r="P66" s="40">
        <f t="shared" si="54"/>
        <v>3833.7374508835114</v>
      </c>
      <c r="Q66" s="40">
        <f t="shared" si="54"/>
        <v>3910.4121999011818</v>
      </c>
      <c r="R66" s="40">
        <f t="shared" si="54"/>
        <v>3988.6204438992054</v>
      </c>
      <c r="S66" s="40">
        <f t="shared" si="54"/>
        <v>4068.3928527771895</v>
      </c>
      <c r="T66" s="40">
        <f t="shared" si="54"/>
        <v>4149.7607098327335</v>
      </c>
      <c r="U66" s="40">
        <f t="shared" si="54"/>
        <v>4232.7559240293886</v>
      </c>
      <c r="V66" s="40">
        <f t="shared" si="54"/>
        <v>4317.4110425099761</v>
      </c>
      <c r="W66" s="40">
        <f t="shared" si="54"/>
        <v>4403.7592633601762</v>
      </c>
      <c r="X66" s="40">
        <f t="shared" si="54"/>
        <v>4491.83444862738</v>
      </c>
      <c r="Y66" s="40">
        <f t="shared" si="54"/>
        <v>4581.6711375999275</v>
      </c>
      <c r="Z66" s="40">
        <f t="shared" si="54"/>
        <v>4673.3045603519258</v>
      </c>
      <c r="AA66" s="40">
        <f t="shared" si="54"/>
        <v>4766.7706515589643</v>
      </c>
      <c r="AB66" s="40">
        <f t="shared" si="54"/>
        <v>4862.1060645901434</v>
      </c>
      <c r="AC66" s="40">
        <f t="shared" si="54"/>
        <v>4959.3481858819459</v>
      </c>
      <c r="AD66" s="40">
        <f t="shared" si="54"/>
        <v>5058.5351495995847</v>
      </c>
      <c r="AE66" s="40">
        <f t="shared" si="54"/>
        <v>5159.7058525915763</v>
      </c>
      <c r="AF66" s="40">
        <f t="shared" si="54"/>
        <v>5262.8999696434075</v>
      </c>
      <c r="AG66" s="40">
        <f t="shared" si="54"/>
        <v>5368.157969036276</v>
      </c>
      <c r="AH66" s="40">
        <f t="shared" si="54"/>
        <v>5475.5211284170018</v>
      </c>
      <c r="AI66" s="40">
        <f t="shared" si="54"/>
        <v>5585.0315509853417</v>
      </c>
      <c r="AJ66" s="40"/>
      <c r="AK66" s="40"/>
      <c r="AL66" s="40"/>
      <c r="AM66" s="40"/>
      <c r="AN66" s="40"/>
      <c r="AO66" s="40"/>
    </row>
    <row r="67" spans="1:41" x14ac:dyDescent="0.2">
      <c r="A67" s="39">
        <v>5109</v>
      </c>
      <c r="B67" s="52" t="s">
        <v>146</v>
      </c>
      <c r="C67" s="254">
        <f ca="1">OFFSET('IE Data Entry'!E41,0,'IE Data Entry'!$O$3)</f>
        <v>365</v>
      </c>
      <c r="D67" s="40">
        <v>5000</v>
      </c>
      <c r="E67" s="466">
        <f>D67/12</f>
        <v>416.66666666666669</v>
      </c>
      <c r="F67" s="40">
        <f t="shared" ref="F67:AI67" si="55">E67*(1+OpexInflation)</f>
        <v>425</v>
      </c>
      <c r="G67" s="40">
        <f t="shared" si="55"/>
        <v>433.5</v>
      </c>
      <c r="H67" s="40">
        <f t="shared" si="55"/>
        <v>442.17</v>
      </c>
      <c r="I67" s="40">
        <f t="shared" si="55"/>
        <v>451.01340000000005</v>
      </c>
      <c r="J67" s="40">
        <f t="shared" si="55"/>
        <v>460.03366800000003</v>
      </c>
      <c r="K67" s="40">
        <f t="shared" si="55"/>
        <v>469.23434136000003</v>
      </c>
      <c r="L67" s="40">
        <f t="shared" si="55"/>
        <v>478.61902818720006</v>
      </c>
      <c r="M67" s="40">
        <f t="shared" si="55"/>
        <v>488.19140875094405</v>
      </c>
      <c r="N67" s="40">
        <f t="shared" si="55"/>
        <v>497.95523692596294</v>
      </c>
      <c r="O67" s="40">
        <f t="shared" si="55"/>
        <v>507.91434166448221</v>
      </c>
      <c r="P67" s="40">
        <f t="shared" si="55"/>
        <v>518.07262849777192</v>
      </c>
      <c r="Q67" s="40">
        <f t="shared" si="55"/>
        <v>528.43408106772733</v>
      </c>
      <c r="R67" s="40">
        <f t="shared" si="55"/>
        <v>539.00276268908192</v>
      </c>
      <c r="S67" s="40">
        <f t="shared" si="55"/>
        <v>549.78281794286352</v>
      </c>
      <c r="T67" s="40">
        <f t="shared" si="55"/>
        <v>560.77847430172085</v>
      </c>
      <c r="U67" s="40">
        <f t="shared" si="55"/>
        <v>571.99404378775523</v>
      </c>
      <c r="V67" s="40">
        <f t="shared" si="55"/>
        <v>583.43392466351031</v>
      </c>
      <c r="W67" s="40">
        <f t="shared" si="55"/>
        <v>595.10260315678056</v>
      </c>
      <c r="X67" s="40">
        <f t="shared" si="55"/>
        <v>607.00465521991623</v>
      </c>
      <c r="Y67" s="40">
        <f t="shared" si="55"/>
        <v>619.14474832431461</v>
      </c>
      <c r="Z67" s="40">
        <f t="shared" si="55"/>
        <v>631.52764329080094</v>
      </c>
      <c r="AA67" s="40">
        <f t="shared" si="55"/>
        <v>644.15819615661701</v>
      </c>
      <c r="AB67" s="40">
        <f t="shared" si="55"/>
        <v>657.04136007974932</v>
      </c>
      <c r="AC67" s="40">
        <f t="shared" si="55"/>
        <v>670.18218728134434</v>
      </c>
      <c r="AD67" s="40">
        <f t="shared" si="55"/>
        <v>683.58583102697128</v>
      </c>
      <c r="AE67" s="40">
        <f t="shared" si="55"/>
        <v>697.25754764751071</v>
      </c>
      <c r="AF67" s="40">
        <f t="shared" si="55"/>
        <v>711.20269860046096</v>
      </c>
      <c r="AG67" s="40">
        <f t="shared" si="55"/>
        <v>725.42675257247015</v>
      </c>
      <c r="AH67" s="40">
        <f t="shared" si="55"/>
        <v>739.93528762391952</v>
      </c>
      <c r="AI67" s="40">
        <f t="shared" si="55"/>
        <v>754.73399337639796</v>
      </c>
      <c r="AJ67" s="40"/>
      <c r="AK67" s="40"/>
      <c r="AL67" s="40"/>
      <c r="AM67" s="40"/>
      <c r="AN67" s="40"/>
      <c r="AO67" s="40"/>
    </row>
    <row r="68" spans="1:41" x14ac:dyDescent="0.2">
      <c r="A68" s="39">
        <v>5200</v>
      </c>
      <c r="B68" s="52" t="s">
        <v>155</v>
      </c>
      <c r="C68" s="254">
        <f ca="1">OFFSET('IE Data Entry'!E42,0,'IE Data Entry'!$O$3)</f>
        <v>0</v>
      </c>
      <c r="D68" s="40">
        <f ca="1">+C68*1.02</f>
        <v>0</v>
      </c>
      <c r="E68" s="466">
        <f ca="1">D68/12</f>
        <v>0</v>
      </c>
      <c r="F68" s="40">
        <f t="shared" ref="F68:AI68" ca="1" si="56">E68*(1+OpexInflation)</f>
        <v>0</v>
      </c>
      <c r="G68" s="40">
        <f t="shared" ca="1" si="56"/>
        <v>0</v>
      </c>
      <c r="H68" s="40">
        <f t="shared" ca="1" si="56"/>
        <v>0</v>
      </c>
      <c r="I68" s="40">
        <f t="shared" ca="1" si="56"/>
        <v>0</v>
      </c>
      <c r="J68" s="40">
        <f t="shared" ca="1" si="56"/>
        <v>0</v>
      </c>
      <c r="K68" s="40">
        <f t="shared" ca="1" si="56"/>
        <v>0</v>
      </c>
      <c r="L68" s="40">
        <f t="shared" ca="1" si="56"/>
        <v>0</v>
      </c>
      <c r="M68" s="40">
        <f t="shared" ca="1" si="56"/>
        <v>0</v>
      </c>
      <c r="N68" s="40">
        <f t="shared" ca="1" si="56"/>
        <v>0</v>
      </c>
      <c r="O68" s="40">
        <f t="shared" ca="1" si="56"/>
        <v>0</v>
      </c>
      <c r="P68" s="40">
        <f t="shared" ca="1" si="56"/>
        <v>0</v>
      </c>
      <c r="Q68" s="40">
        <f t="shared" ca="1" si="56"/>
        <v>0</v>
      </c>
      <c r="R68" s="40">
        <f t="shared" ca="1" si="56"/>
        <v>0</v>
      </c>
      <c r="S68" s="40">
        <f t="shared" ca="1" si="56"/>
        <v>0</v>
      </c>
      <c r="T68" s="40">
        <f t="shared" ca="1" si="56"/>
        <v>0</v>
      </c>
      <c r="U68" s="40">
        <f t="shared" ca="1" si="56"/>
        <v>0</v>
      </c>
      <c r="V68" s="40">
        <f t="shared" ca="1" si="56"/>
        <v>0</v>
      </c>
      <c r="W68" s="40">
        <f t="shared" ca="1" si="56"/>
        <v>0</v>
      </c>
      <c r="X68" s="40">
        <f t="shared" ca="1" si="56"/>
        <v>0</v>
      </c>
      <c r="Y68" s="40">
        <f t="shared" ca="1" si="56"/>
        <v>0</v>
      </c>
      <c r="Z68" s="40">
        <f t="shared" ca="1" si="56"/>
        <v>0</v>
      </c>
      <c r="AA68" s="40">
        <f t="shared" ca="1" si="56"/>
        <v>0</v>
      </c>
      <c r="AB68" s="40">
        <f t="shared" ca="1" si="56"/>
        <v>0</v>
      </c>
      <c r="AC68" s="40">
        <f t="shared" ca="1" si="56"/>
        <v>0</v>
      </c>
      <c r="AD68" s="40">
        <f t="shared" ca="1" si="56"/>
        <v>0</v>
      </c>
      <c r="AE68" s="40">
        <f t="shared" ca="1" si="56"/>
        <v>0</v>
      </c>
      <c r="AF68" s="40">
        <f t="shared" ca="1" si="56"/>
        <v>0</v>
      </c>
      <c r="AG68" s="40">
        <f t="shared" ca="1" si="56"/>
        <v>0</v>
      </c>
      <c r="AH68" s="40">
        <f t="shared" ca="1" si="56"/>
        <v>0</v>
      </c>
      <c r="AI68" s="40">
        <f t="shared" ca="1" si="56"/>
        <v>0</v>
      </c>
      <c r="AJ68" s="40"/>
      <c r="AK68" s="40"/>
      <c r="AL68" s="40"/>
      <c r="AM68" s="40"/>
      <c r="AN68" s="40"/>
      <c r="AO68" s="40"/>
    </row>
    <row r="69" spans="1:41" x14ac:dyDescent="0.2">
      <c r="A69" s="39">
        <v>5301</v>
      </c>
      <c r="B69" s="52" t="s">
        <v>306</v>
      </c>
      <c r="C69" s="254">
        <f ca="1">OFFSET('IE Data Entry'!E43,0,'IE Data Entry'!$O$3)</f>
        <v>28516</v>
      </c>
      <c r="D69" s="40">
        <v>17060</v>
      </c>
      <c r="E69" s="466">
        <f>D69/12</f>
        <v>1421.6666666666667</v>
      </c>
      <c r="F69" s="40">
        <f t="shared" ref="F69:AI69" si="57">E69*(1+OpexInflation)</f>
        <v>1450.1000000000001</v>
      </c>
      <c r="G69" s="40">
        <f t="shared" si="57"/>
        <v>1479.1020000000001</v>
      </c>
      <c r="H69" s="40">
        <f t="shared" si="57"/>
        <v>1508.6840400000001</v>
      </c>
      <c r="I69" s="40">
        <f t="shared" si="57"/>
        <v>1538.8577208000002</v>
      </c>
      <c r="J69" s="40">
        <f t="shared" si="57"/>
        <v>1569.6348752160002</v>
      </c>
      <c r="K69" s="40">
        <f t="shared" si="57"/>
        <v>1601.0275727203202</v>
      </c>
      <c r="L69" s="40">
        <f t="shared" si="57"/>
        <v>1633.0481241747266</v>
      </c>
      <c r="M69" s="40">
        <f t="shared" si="57"/>
        <v>1665.7090866582212</v>
      </c>
      <c r="N69" s="40">
        <f t="shared" si="57"/>
        <v>1699.0232683913857</v>
      </c>
      <c r="O69" s="40">
        <f t="shared" si="57"/>
        <v>1733.0037337592134</v>
      </c>
      <c r="P69" s="40">
        <f t="shared" si="57"/>
        <v>1767.6638084343977</v>
      </c>
      <c r="Q69" s="40">
        <f t="shared" si="57"/>
        <v>1803.0170846030856</v>
      </c>
      <c r="R69" s="40">
        <f t="shared" si="57"/>
        <v>1839.0774262951472</v>
      </c>
      <c r="S69" s="40">
        <f t="shared" si="57"/>
        <v>1875.8589748210502</v>
      </c>
      <c r="T69" s="40">
        <f t="shared" si="57"/>
        <v>1913.3761543174712</v>
      </c>
      <c r="U69" s="40">
        <f t="shared" si="57"/>
        <v>1951.6436774038207</v>
      </c>
      <c r="V69" s="40">
        <f t="shared" si="57"/>
        <v>1990.6765509518971</v>
      </c>
      <c r="W69" s="40">
        <f t="shared" si="57"/>
        <v>2030.4900819709351</v>
      </c>
      <c r="X69" s="40">
        <f t="shared" si="57"/>
        <v>2071.099883610354</v>
      </c>
      <c r="Y69" s="40">
        <f t="shared" si="57"/>
        <v>2112.521881282561</v>
      </c>
      <c r="Z69" s="40">
        <f t="shared" si="57"/>
        <v>2154.7723189082121</v>
      </c>
      <c r="AA69" s="40">
        <f t="shared" si="57"/>
        <v>2197.8677652863762</v>
      </c>
      <c r="AB69" s="40">
        <f t="shared" si="57"/>
        <v>2241.8251205921038</v>
      </c>
      <c r="AC69" s="40">
        <f t="shared" si="57"/>
        <v>2286.6616230039458</v>
      </c>
      <c r="AD69" s="40">
        <f t="shared" si="57"/>
        <v>2332.3948554640247</v>
      </c>
      <c r="AE69" s="40">
        <f t="shared" si="57"/>
        <v>2379.0427525733053</v>
      </c>
      <c r="AF69" s="40">
        <f t="shared" si="57"/>
        <v>2426.6236076247715</v>
      </c>
      <c r="AG69" s="40">
        <f t="shared" si="57"/>
        <v>2475.1560797772668</v>
      </c>
      <c r="AH69" s="40">
        <f t="shared" si="57"/>
        <v>2524.6592013728123</v>
      </c>
      <c r="AI69" s="40">
        <f t="shared" si="57"/>
        <v>2575.1523854002685</v>
      </c>
      <c r="AJ69" s="40"/>
      <c r="AK69" s="40"/>
      <c r="AL69" s="40"/>
      <c r="AM69" s="40"/>
      <c r="AN69" s="40"/>
      <c r="AO69" s="40"/>
    </row>
    <row r="70" spans="1:41" x14ac:dyDescent="0.2">
      <c r="A70" s="39">
        <v>5053</v>
      </c>
      <c r="B70" s="52" t="s">
        <v>13</v>
      </c>
      <c r="C70" s="254">
        <f ca="1">OFFSET('IE Data Entry'!E44,0,'IE Data Entry'!$O$3)</f>
        <v>8368</v>
      </c>
      <c r="D70" s="40">
        <v>8368</v>
      </c>
      <c r="E70" s="466">
        <f>D70/12</f>
        <v>697.33333333333337</v>
      </c>
      <c r="F70" s="40">
        <f t="shared" ref="F70:AI70" si="58">E70*(1+OpexInflation)</f>
        <v>711.28000000000009</v>
      </c>
      <c r="G70" s="40">
        <f t="shared" si="58"/>
        <v>725.50560000000007</v>
      </c>
      <c r="H70" s="40">
        <f t="shared" si="58"/>
        <v>740.01571200000012</v>
      </c>
      <c r="I70" s="40">
        <f t="shared" si="58"/>
        <v>754.81602624000016</v>
      </c>
      <c r="J70" s="40">
        <f t="shared" si="58"/>
        <v>769.91234676480019</v>
      </c>
      <c r="K70" s="40">
        <f t="shared" si="58"/>
        <v>785.31059370009621</v>
      </c>
      <c r="L70" s="40">
        <f t="shared" si="58"/>
        <v>801.01680557409816</v>
      </c>
      <c r="M70" s="40">
        <f t="shared" si="58"/>
        <v>817.03714168558008</v>
      </c>
      <c r="N70" s="40">
        <f t="shared" si="58"/>
        <v>833.37788451929168</v>
      </c>
      <c r="O70" s="40">
        <f t="shared" si="58"/>
        <v>850.0454422096775</v>
      </c>
      <c r="P70" s="40">
        <f t="shared" si="58"/>
        <v>867.04635105387104</v>
      </c>
      <c r="Q70" s="40">
        <f t="shared" si="58"/>
        <v>884.38727807494843</v>
      </c>
      <c r="R70" s="40">
        <f t="shared" si="58"/>
        <v>902.07502363644744</v>
      </c>
      <c r="S70" s="40">
        <f t="shared" si="58"/>
        <v>920.11652410917645</v>
      </c>
      <c r="T70" s="40">
        <f t="shared" si="58"/>
        <v>938.51885459135997</v>
      </c>
      <c r="U70" s="40">
        <f t="shared" si="58"/>
        <v>957.28923168318715</v>
      </c>
      <c r="V70" s="40">
        <f t="shared" si="58"/>
        <v>976.43501631685092</v>
      </c>
      <c r="W70" s="40">
        <f t="shared" si="58"/>
        <v>995.96371664318792</v>
      </c>
      <c r="X70" s="40">
        <f t="shared" si="58"/>
        <v>1015.8829909760517</v>
      </c>
      <c r="Y70" s="40">
        <f t="shared" si="58"/>
        <v>1036.2006507955728</v>
      </c>
      <c r="Z70" s="40">
        <f t="shared" si="58"/>
        <v>1056.9246638114842</v>
      </c>
      <c r="AA70" s="40">
        <f t="shared" si="58"/>
        <v>1078.0631570877138</v>
      </c>
      <c r="AB70" s="40">
        <f t="shared" si="58"/>
        <v>1099.6244202294681</v>
      </c>
      <c r="AC70" s="40">
        <f t="shared" si="58"/>
        <v>1121.6169086340576</v>
      </c>
      <c r="AD70" s="40">
        <f t="shared" si="58"/>
        <v>1144.0492468067389</v>
      </c>
      <c r="AE70" s="40">
        <f t="shared" si="58"/>
        <v>1166.9302317428737</v>
      </c>
      <c r="AF70" s="40">
        <f t="shared" si="58"/>
        <v>1190.2688363777313</v>
      </c>
      <c r="AG70" s="40">
        <f t="shared" si="58"/>
        <v>1214.0742131052859</v>
      </c>
      <c r="AH70" s="40">
        <f t="shared" si="58"/>
        <v>1238.3556973673917</v>
      </c>
      <c r="AI70" s="40">
        <f t="shared" si="58"/>
        <v>1263.1228113147395</v>
      </c>
      <c r="AJ70" s="40"/>
      <c r="AK70" s="40"/>
      <c r="AL70" s="40"/>
      <c r="AM70" s="40"/>
      <c r="AN70" s="40"/>
      <c r="AO70" s="40"/>
    </row>
    <row r="71" spans="1:41" x14ac:dyDescent="0.2">
      <c r="A71" s="39">
        <v>5604</v>
      </c>
      <c r="B71" s="52" t="s">
        <v>121</v>
      </c>
      <c r="C71" s="254">
        <f ca="1">OFFSET('IE Data Entry'!E45,0,'IE Data Entry'!$O$3)</f>
        <v>0</v>
      </c>
      <c r="D71" s="40">
        <f>195+(75*12)</f>
        <v>1095</v>
      </c>
      <c r="E71" s="466">
        <f t="shared" si="53"/>
        <v>91.25</v>
      </c>
      <c r="F71" s="40">
        <f t="shared" ref="F71:AI71" si="59">E71*(1+OpexInflation)</f>
        <v>93.075000000000003</v>
      </c>
      <c r="G71" s="40">
        <f t="shared" si="59"/>
        <v>94.936500000000009</v>
      </c>
      <c r="H71" s="40">
        <f t="shared" si="59"/>
        <v>96.83523000000001</v>
      </c>
      <c r="I71" s="40">
        <f t="shared" si="59"/>
        <v>98.771934600000009</v>
      </c>
      <c r="J71" s="40">
        <f t="shared" si="59"/>
        <v>100.74737329200001</v>
      </c>
      <c r="K71" s="40">
        <f t="shared" si="59"/>
        <v>102.76232075784</v>
      </c>
      <c r="L71" s="40">
        <f t="shared" si="59"/>
        <v>104.8175671729968</v>
      </c>
      <c r="M71" s="40">
        <f t="shared" si="59"/>
        <v>106.91391851645675</v>
      </c>
      <c r="N71" s="40">
        <f t="shared" si="59"/>
        <v>109.05219688678588</v>
      </c>
      <c r="O71" s="40">
        <f t="shared" si="59"/>
        <v>111.2332408245216</v>
      </c>
      <c r="P71" s="40">
        <f t="shared" si="59"/>
        <v>113.45790564101203</v>
      </c>
      <c r="Q71" s="40">
        <f t="shared" si="59"/>
        <v>115.72706375383227</v>
      </c>
      <c r="R71" s="40">
        <f t="shared" si="59"/>
        <v>118.04160502890892</v>
      </c>
      <c r="S71" s="40">
        <f t="shared" si="59"/>
        <v>120.4024371294871</v>
      </c>
      <c r="T71" s="40">
        <f t="shared" si="59"/>
        <v>122.81048587207684</v>
      </c>
      <c r="U71" s="40">
        <f t="shared" si="59"/>
        <v>125.26669558951838</v>
      </c>
      <c r="V71" s="40">
        <f t="shared" si="59"/>
        <v>127.77202950130875</v>
      </c>
      <c r="W71" s="40">
        <f t="shared" si="59"/>
        <v>130.32747009133493</v>
      </c>
      <c r="X71" s="40">
        <f t="shared" si="59"/>
        <v>132.93401949316163</v>
      </c>
      <c r="Y71" s="40">
        <f t="shared" si="59"/>
        <v>135.59269988302486</v>
      </c>
      <c r="Z71" s="40">
        <f t="shared" si="59"/>
        <v>138.30455388068538</v>
      </c>
      <c r="AA71" s="40">
        <f t="shared" si="59"/>
        <v>141.07064495829908</v>
      </c>
      <c r="AB71" s="40">
        <f t="shared" si="59"/>
        <v>143.89205785746506</v>
      </c>
      <c r="AC71" s="40">
        <f t="shared" si="59"/>
        <v>146.76989901461437</v>
      </c>
      <c r="AD71" s="40">
        <f t="shared" si="59"/>
        <v>149.70529699490666</v>
      </c>
      <c r="AE71" s="40">
        <f t="shared" si="59"/>
        <v>152.69940293480479</v>
      </c>
      <c r="AF71" s="40">
        <f t="shared" si="59"/>
        <v>155.75339099350089</v>
      </c>
      <c r="AG71" s="40">
        <f t="shared" si="59"/>
        <v>158.86845881337089</v>
      </c>
      <c r="AH71" s="40">
        <f t="shared" si="59"/>
        <v>162.04582798963833</v>
      </c>
      <c r="AI71" s="40">
        <f t="shared" si="59"/>
        <v>165.28674454943109</v>
      </c>
      <c r="AJ71" s="40"/>
      <c r="AK71" s="40"/>
      <c r="AL71" s="40"/>
      <c r="AM71" s="40"/>
      <c r="AN71" s="40"/>
      <c r="AO71" s="40"/>
    </row>
    <row r="72" spans="1:41" x14ac:dyDescent="0.2">
      <c r="A72" s="39">
        <v>5062</v>
      </c>
      <c r="B72" s="52" t="s">
        <v>3</v>
      </c>
      <c r="C72" s="254">
        <f ca="1">OFFSET('IE Data Entry'!E46,0,'IE Data Entry'!$O$3)</f>
        <v>0</v>
      </c>
      <c r="D72" s="40">
        <v>2500</v>
      </c>
      <c r="E72" s="466">
        <f>D72/12</f>
        <v>208.33333333333334</v>
      </c>
      <c r="F72" s="40">
        <f t="shared" ref="F72:AI72" si="60">E72*(1+OpexInflation)</f>
        <v>212.5</v>
      </c>
      <c r="G72" s="40">
        <f t="shared" si="60"/>
        <v>216.75</v>
      </c>
      <c r="H72" s="40">
        <f t="shared" si="60"/>
        <v>221.08500000000001</v>
      </c>
      <c r="I72" s="40">
        <f t="shared" si="60"/>
        <v>225.50670000000002</v>
      </c>
      <c r="J72" s="40">
        <f t="shared" si="60"/>
        <v>230.01683400000002</v>
      </c>
      <c r="K72" s="40">
        <f t="shared" si="60"/>
        <v>234.61717068000002</v>
      </c>
      <c r="L72" s="40">
        <f t="shared" si="60"/>
        <v>239.30951409360003</v>
      </c>
      <c r="M72" s="40">
        <f t="shared" si="60"/>
        <v>244.09570437547202</v>
      </c>
      <c r="N72" s="40">
        <f t="shared" si="60"/>
        <v>248.97761846298147</v>
      </c>
      <c r="O72" s="40">
        <f t="shared" si="60"/>
        <v>253.9571708322411</v>
      </c>
      <c r="P72" s="40">
        <f t="shared" si="60"/>
        <v>259.03631424888596</v>
      </c>
      <c r="Q72" s="40">
        <f t="shared" si="60"/>
        <v>264.21704053386367</v>
      </c>
      <c r="R72" s="40">
        <f t="shared" si="60"/>
        <v>269.50138134454096</v>
      </c>
      <c r="S72" s="40">
        <f t="shared" si="60"/>
        <v>274.89140897143176</v>
      </c>
      <c r="T72" s="40">
        <f t="shared" si="60"/>
        <v>280.38923715086042</v>
      </c>
      <c r="U72" s="40">
        <f t="shared" si="60"/>
        <v>285.99702189387762</v>
      </c>
      <c r="V72" s="40">
        <f t="shared" si="60"/>
        <v>291.71696233175516</v>
      </c>
      <c r="W72" s="40">
        <f t="shared" si="60"/>
        <v>297.55130157839028</v>
      </c>
      <c r="X72" s="40">
        <f t="shared" si="60"/>
        <v>303.50232760995812</v>
      </c>
      <c r="Y72" s="40">
        <f t="shared" si="60"/>
        <v>309.5723741621573</v>
      </c>
      <c r="Z72" s="40">
        <f t="shared" si="60"/>
        <v>315.76382164540047</v>
      </c>
      <c r="AA72" s="40">
        <f t="shared" si="60"/>
        <v>322.0790980783085</v>
      </c>
      <c r="AB72" s="40">
        <f t="shared" si="60"/>
        <v>328.52068003987466</v>
      </c>
      <c r="AC72" s="40">
        <f t="shared" si="60"/>
        <v>335.09109364067217</v>
      </c>
      <c r="AD72" s="40">
        <f t="shared" si="60"/>
        <v>341.79291551348564</v>
      </c>
      <c r="AE72" s="40">
        <f t="shared" si="60"/>
        <v>348.62877382375535</v>
      </c>
      <c r="AF72" s="40">
        <f t="shared" si="60"/>
        <v>355.60134930023048</v>
      </c>
      <c r="AG72" s="40">
        <f t="shared" si="60"/>
        <v>362.71337628623507</v>
      </c>
      <c r="AH72" s="40">
        <f t="shared" si="60"/>
        <v>369.96764381195976</v>
      </c>
      <c r="AI72" s="40">
        <f t="shared" si="60"/>
        <v>377.36699668819898</v>
      </c>
      <c r="AJ72" s="40"/>
      <c r="AK72" s="40"/>
      <c r="AL72" s="40"/>
      <c r="AM72" s="40"/>
      <c r="AN72" s="40"/>
      <c r="AO72" s="40"/>
    </row>
    <row r="73" spans="1:41" x14ac:dyDescent="0.2">
      <c r="A73" s="39">
        <v>5302</v>
      </c>
      <c r="B73" s="52" t="s">
        <v>129</v>
      </c>
      <c r="C73" s="254">
        <f ca="1">OFFSET('IE Data Entry'!E47,0,'IE Data Entry'!$O$3)</f>
        <v>0</v>
      </c>
      <c r="D73" s="40">
        <v>1700</v>
      </c>
      <c r="E73" s="466">
        <f t="shared" si="53"/>
        <v>141.66666666666666</v>
      </c>
      <c r="F73" s="40">
        <f t="shared" ref="F73:AI73" si="61">E73*(1+OpexInflation)</f>
        <v>144.5</v>
      </c>
      <c r="G73" s="40">
        <f t="shared" si="61"/>
        <v>147.39000000000001</v>
      </c>
      <c r="H73" s="40">
        <f t="shared" si="61"/>
        <v>150.33780000000002</v>
      </c>
      <c r="I73" s="40">
        <f t="shared" si="61"/>
        <v>153.34455600000001</v>
      </c>
      <c r="J73" s="40">
        <f t="shared" si="61"/>
        <v>156.41144712000002</v>
      </c>
      <c r="K73" s="40">
        <f t="shared" si="61"/>
        <v>159.53967606240002</v>
      </c>
      <c r="L73" s="40">
        <f t="shared" si="61"/>
        <v>162.73046958364802</v>
      </c>
      <c r="M73" s="40">
        <f t="shared" si="61"/>
        <v>165.98507897532099</v>
      </c>
      <c r="N73" s="40">
        <f t="shared" si="61"/>
        <v>169.3047805548274</v>
      </c>
      <c r="O73" s="40">
        <f t="shared" si="61"/>
        <v>172.69087616592395</v>
      </c>
      <c r="P73" s="40">
        <f t="shared" si="61"/>
        <v>176.14469368924244</v>
      </c>
      <c r="Q73" s="40">
        <f t="shared" si="61"/>
        <v>179.6675875630273</v>
      </c>
      <c r="R73" s="40">
        <f t="shared" si="61"/>
        <v>183.26093931428784</v>
      </c>
      <c r="S73" s="40">
        <f t="shared" si="61"/>
        <v>186.92615810057359</v>
      </c>
      <c r="T73" s="40">
        <f t="shared" si="61"/>
        <v>190.66468126258505</v>
      </c>
      <c r="U73" s="40">
        <f t="shared" si="61"/>
        <v>194.47797488783675</v>
      </c>
      <c r="V73" s="40">
        <f t="shared" si="61"/>
        <v>198.3675343855935</v>
      </c>
      <c r="W73" s="40">
        <f t="shared" si="61"/>
        <v>202.33488507330537</v>
      </c>
      <c r="X73" s="40">
        <f t="shared" si="61"/>
        <v>206.38158277477149</v>
      </c>
      <c r="Y73" s="40">
        <f t="shared" si="61"/>
        <v>210.50921443026692</v>
      </c>
      <c r="Z73" s="40">
        <f t="shared" si="61"/>
        <v>214.71939871887227</v>
      </c>
      <c r="AA73" s="40">
        <f t="shared" si="61"/>
        <v>219.01378669324973</v>
      </c>
      <c r="AB73" s="40">
        <f t="shared" si="61"/>
        <v>223.39406242711473</v>
      </c>
      <c r="AC73" s="40">
        <f t="shared" si="61"/>
        <v>227.86194367565705</v>
      </c>
      <c r="AD73" s="40">
        <f t="shared" si="61"/>
        <v>232.41918254917019</v>
      </c>
      <c r="AE73" s="40">
        <f t="shared" si="61"/>
        <v>237.06756620015361</v>
      </c>
      <c r="AF73" s="40">
        <f t="shared" si="61"/>
        <v>241.80891752415667</v>
      </c>
      <c r="AG73" s="40">
        <f t="shared" si="61"/>
        <v>246.64509587463979</v>
      </c>
      <c r="AH73" s="40">
        <f t="shared" si="61"/>
        <v>251.57799779213261</v>
      </c>
      <c r="AI73" s="40">
        <f t="shared" si="61"/>
        <v>256.60955774797526</v>
      </c>
      <c r="AJ73" s="40"/>
      <c r="AK73" s="40"/>
      <c r="AL73" s="40"/>
      <c r="AM73" s="40"/>
      <c r="AN73" s="40"/>
      <c r="AO73" s="40"/>
    </row>
    <row r="74" spans="1:41" x14ac:dyDescent="0.2">
      <c r="A74" s="39">
        <v>5001</v>
      </c>
      <c r="B74" s="52" t="s">
        <v>6</v>
      </c>
      <c r="C74" s="254">
        <f ca="1">OFFSET('IE Data Entry'!E48,0,'IE Data Entry'!$O$3)</f>
        <v>0</v>
      </c>
      <c r="D74" s="40"/>
      <c r="E74" s="466">
        <f t="shared" si="53"/>
        <v>0</v>
      </c>
      <c r="F74" s="40">
        <f t="shared" ref="F74:AI74" si="62">E74*(1+OpexInflation)</f>
        <v>0</v>
      </c>
      <c r="G74" s="40">
        <f t="shared" si="62"/>
        <v>0</v>
      </c>
      <c r="H74" s="40">
        <f t="shared" si="62"/>
        <v>0</v>
      </c>
      <c r="I74" s="40">
        <f t="shared" si="62"/>
        <v>0</v>
      </c>
      <c r="J74" s="40">
        <f t="shared" si="62"/>
        <v>0</v>
      </c>
      <c r="K74" s="40">
        <f t="shared" si="62"/>
        <v>0</v>
      </c>
      <c r="L74" s="40">
        <f t="shared" si="62"/>
        <v>0</v>
      </c>
      <c r="M74" s="40">
        <f t="shared" si="62"/>
        <v>0</v>
      </c>
      <c r="N74" s="40">
        <f t="shared" si="62"/>
        <v>0</v>
      </c>
      <c r="O74" s="40">
        <f t="shared" si="62"/>
        <v>0</v>
      </c>
      <c r="P74" s="40">
        <f t="shared" si="62"/>
        <v>0</v>
      </c>
      <c r="Q74" s="40">
        <f t="shared" si="62"/>
        <v>0</v>
      </c>
      <c r="R74" s="40">
        <f t="shared" si="62"/>
        <v>0</v>
      </c>
      <c r="S74" s="40">
        <f t="shared" si="62"/>
        <v>0</v>
      </c>
      <c r="T74" s="40">
        <f t="shared" si="62"/>
        <v>0</v>
      </c>
      <c r="U74" s="40">
        <f t="shared" si="62"/>
        <v>0</v>
      </c>
      <c r="V74" s="40">
        <f t="shared" si="62"/>
        <v>0</v>
      </c>
      <c r="W74" s="40">
        <f t="shared" si="62"/>
        <v>0</v>
      </c>
      <c r="X74" s="40">
        <f t="shared" si="62"/>
        <v>0</v>
      </c>
      <c r="Y74" s="40">
        <f t="shared" si="62"/>
        <v>0</v>
      </c>
      <c r="Z74" s="40">
        <f t="shared" si="62"/>
        <v>0</v>
      </c>
      <c r="AA74" s="40">
        <f t="shared" si="62"/>
        <v>0</v>
      </c>
      <c r="AB74" s="40">
        <f t="shared" si="62"/>
        <v>0</v>
      </c>
      <c r="AC74" s="40">
        <f t="shared" si="62"/>
        <v>0</v>
      </c>
      <c r="AD74" s="40">
        <f t="shared" si="62"/>
        <v>0</v>
      </c>
      <c r="AE74" s="40">
        <f t="shared" si="62"/>
        <v>0</v>
      </c>
      <c r="AF74" s="40">
        <f t="shared" si="62"/>
        <v>0</v>
      </c>
      <c r="AG74" s="40">
        <f t="shared" si="62"/>
        <v>0</v>
      </c>
      <c r="AH74" s="40">
        <f t="shared" si="62"/>
        <v>0</v>
      </c>
      <c r="AI74" s="40">
        <f t="shared" si="62"/>
        <v>0</v>
      </c>
      <c r="AJ74" s="40"/>
      <c r="AK74" s="40"/>
      <c r="AL74" s="40"/>
      <c r="AM74" s="40"/>
      <c r="AN74" s="40"/>
      <c r="AO74" s="40"/>
    </row>
    <row r="75" spans="1:41" x14ac:dyDescent="0.2">
      <c r="A75" s="39">
        <v>5061</v>
      </c>
      <c r="B75" s="52" t="s">
        <v>143</v>
      </c>
      <c r="C75" s="254">
        <f ca="1">OFFSET('IE Data Entry'!E49,0,'IE Data Entry'!$O$3)</f>
        <v>0</v>
      </c>
      <c r="D75" s="40">
        <v>1500</v>
      </c>
      <c r="E75" s="466">
        <f>D75/12</f>
        <v>125</v>
      </c>
      <c r="F75" s="40">
        <f t="shared" ref="F75:AI75" si="63">E75*(1+OpexInflation)</f>
        <v>127.5</v>
      </c>
      <c r="G75" s="40">
        <f t="shared" si="63"/>
        <v>130.05000000000001</v>
      </c>
      <c r="H75" s="40">
        <f t="shared" si="63"/>
        <v>132.65100000000001</v>
      </c>
      <c r="I75" s="40">
        <f t="shared" si="63"/>
        <v>135.30402000000001</v>
      </c>
      <c r="J75" s="40">
        <f t="shared" si="63"/>
        <v>138.0101004</v>
      </c>
      <c r="K75" s="40">
        <f t="shared" si="63"/>
        <v>140.77030240799999</v>
      </c>
      <c r="L75" s="40">
        <f t="shared" si="63"/>
        <v>143.58570845616001</v>
      </c>
      <c r="M75" s="40">
        <f t="shared" si="63"/>
        <v>146.45742262528321</v>
      </c>
      <c r="N75" s="40">
        <f t="shared" si="63"/>
        <v>149.38657107778889</v>
      </c>
      <c r="O75" s="40">
        <f t="shared" si="63"/>
        <v>152.37430249934468</v>
      </c>
      <c r="P75" s="40">
        <f t="shared" si="63"/>
        <v>155.42178854933158</v>
      </c>
      <c r="Q75" s="40">
        <f t="shared" si="63"/>
        <v>158.53022432031821</v>
      </c>
      <c r="R75" s="40">
        <f t="shared" si="63"/>
        <v>161.70082880672459</v>
      </c>
      <c r="S75" s="40">
        <f t="shared" si="63"/>
        <v>164.93484538285909</v>
      </c>
      <c r="T75" s="40">
        <f t="shared" si="63"/>
        <v>168.23354229051628</v>
      </c>
      <c r="U75" s="40">
        <f t="shared" si="63"/>
        <v>171.59821313632662</v>
      </c>
      <c r="V75" s="40">
        <f t="shared" si="63"/>
        <v>175.03017739905314</v>
      </c>
      <c r="W75" s="40">
        <f t="shared" si="63"/>
        <v>178.5307809470342</v>
      </c>
      <c r="X75" s="40">
        <f t="shared" si="63"/>
        <v>182.10139656597488</v>
      </c>
      <c r="Y75" s="40">
        <f t="shared" si="63"/>
        <v>185.74342449729437</v>
      </c>
      <c r="Z75" s="40">
        <f t="shared" si="63"/>
        <v>189.45829298724027</v>
      </c>
      <c r="AA75" s="40">
        <f t="shared" si="63"/>
        <v>193.24745884698507</v>
      </c>
      <c r="AB75" s="40">
        <f t="shared" si="63"/>
        <v>197.11240802392479</v>
      </c>
      <c r="AC75" s="40">
        <f t="shared" si="63"/>
        <v>201.05465618440329</v>
      </c>
      <c r="AD75" s="40">
        <f t="shared" si="63"/>
        <v>205.07574930809136</v>
      </c>
      <c r="AE75" s="40">
        <f t="shared" si="63"/>
        <v>209.17726429425318</v>
      </c>
      <c r="AF75" s="40">
        <f t="shared" si="63"/>
        <v>213.36080958013824</v>
      </c>
      <c r="AG75" s="40">
        <f t="shared" si="63"/>
        <v>217.62802577174099</v>
      </c>
      <c r="AH75" s="40">
        <f t="shared" si="63"/>
        <v>221.98058628717581</v>
      </c>
      <c r="AI75" s="40">
        <f t="shared" si="63"/>
        <v>226.42019801291934</v>
      </c>
      <c r="AJ75" s="40"/>
      <c r="AK75" s="40"/>
      <c r="AL75" s="40"/>
      <c r="AM75" s="40"/>
      <c r="AN75" s="40"/>
      <c r="AO75" s="40"/>
    </row>
    <row r="76" spans="1:41" x14ac:dyDescent="0.2">
      <c r="A76" s="39">
        <v>5304</v>
      </c>
      <c r="B76" s="52" t="s">
        <v>2</v>
      </c>
      <c r="C76" s="254">
        <f ca="1">OFFSET('IE Data Entry'!E50,0,'IE Data Entry'!$O$3)</f>
        <v>0</v>
      </c>
      <c r="D76" s="40">
        <f ca="1">+C76*1.02</f>
        <v>0</v>
      </c>
      <c r="E76" s="466">
        <f ca="1">D76/12</f>
        <v>0</v>
      </c>
      <c r="F76" s="40">
        <f t="shared" ref="F76:AI76" ca="1" si="64">E76*(1+OpexInflation)</f>
        <v>0</v>
      </c>
      <c r="G76" s="40">
        <f t="shared" ca="1" si="64"/>
        <v>0</v>
      </c>
      <c r="H76" s="40">
        <f t="shared" ca="1" si="64"/>
        <v>0</v>
      </c>
      <c r="I76" s="40">
        <f t="shared" ca="1" si="64"/>
        <v>0</v>
      </c>
      <c r="J76" s="40">
        <f t="shared" ca="1" si="64"/>
        <v>0</v>
      </c>
      <c r="K76" s="40">
        <f t="shared" ca="1" si="64"/>
        <v>0</v>
      </c>
      <c r="L76" s="40">
        <f t="shared" ca="1" si="64"/>
        <v>0</v>
      </c>
      <c r="M76" s="40">
        <f t="shared" ca="1" si="64"/>
        <v>0</v>
      </c>
      <c r="N76" s="40">
        <f t="shared" ca="1" si="64"/>
        <v>0</v>
      </c>
      <c r="O76" s="40">
        <f t="shared" ca="1" si="64"/>
        <v>0</v>
      </c>
      <c r="P76" s="40">
        <f t="shared" ca="1" si="64"/>
        <v>0</v>
      </c>
      <c r="Q76" s="40">
        <f t="shared" ca="1" si="64"/>
        <v>0</v>
      </c>
      <c r="R76" s="40">
        <f t="shared" ca="1" si="64"/>
        <v>0</v>
      </c>
      <c r="S76" s="40">
        <f t="shared" ca="1" si="64"/>
        <v>0</v>
      </c>
      <c r="T76" s="40">
        <f t="shared" ca="1" si="64"/>
        <v>0</v>
      </c>
      <c r="U76" s="40">
        <f t="shared" ca="1" si="64"/>
        <v>0</v>
      </c>
      <c r="V76" s="40">
        <f t="shared" ca="1" si="64"/>
        <v>0</v>
      </c>
      <c r="W76" s="40">
        <f t="shared" ca="1" si="64"/>
        <v>0</v>
      </c>
      <c r="X76" s="40">
        <f t="shared" ca="1" si="64"/>
        <v>0</v>
      </c>
      <c r="Y76" s="40">
        <f t="shared" ca="1" si="64"/>
        <v>0</v>
      </c>
      <c r="Z76" s="40">
        <f t="shared" ca="1" si="64"/>
        <v>0</v>
      </c>
      <c r="AA76" s="40">
        <f t="shared" ca="1" si="64"/>
        <v>0</v>
      </c>
      <c r="AB76" s="40">
        <f t="shared" ca="1" si="64"/>
        <v>0</v>
      </c>
      <c r="AC76" s="40">
        <f t="shared" ca="1" si="64"/>
        <v>0</v>
      </c>
      <c r="AD76" s="40">
        <f t="shared" ca="1" si="64"/>
        <v>0</v>
      </c>
      <c r="AE76" s="40">
        <f t="shared" ca="1" si="64"/>
        <v>0</v>
      </c>
      <c r="AF76" s="40">
        <f t="shared" ca="1" si="64"/>
        <v>0</v>
      </c>
      <c r="AG76" s="40">
        <f t="shared" ca="1" si="64"/>
        <v>0</v>
      </c>
      <c r="AH76" s="40">
        <f t="shared" ca="1" si="64"/>
        <v>0</v>
      </c>
      <c r="AI76" s="40">
        <f t="shared" ca="1" si="64"/>
        <v>0</v>
      </c>
      <c r="AJ76" s="40"/>
      <c r="AK76" s="40"/>
      <c r="AL76" s="40"/>
      <c r="AM76" s="40"/>
      <c r="AN76" s="40"/>
      <c r="AO76" s="40"/>
    </row>
    <row r="77" spans="1:41" x14ac:dyDescent="0.2">
      <c r="A77" s="39">
        <v>5064</v>
      </c>
      <c r="B77" s="52" t="s">
        <v>9</v>
      </c>
      <c r="C77" s="254">
        <f ca="1">OFFSET('IE Data Entry'!E51,0,'IE Data Entry'!$O$3)</f>
        <v>105</v>
      </c>
      <c r="D77" s="40">
        <v>500</v>
      </c>
      <c r="E77" s="466">
        <f>D77/12</f>
        <v>41.666666666666664</v>
      </c>
      <c r="F77" s="40">
        <f t="shared" ref="F77:AI77" si="65">E77*(1+OpexInflation)</f>
        <v>42.5</v>
      </c>
      <c r="G77" s="40">
        <f t="shared" si="65"/>
        <v>43.35</v>
      </c>
      <c r="H77" s="40">
        <f t="shared" si="65"/>
        <v>44.216999999999999</v>
      </c>
      <c r="I77" s="40">
        <f t="shared" si="65"/>
        <v>45.10134</v>
      </c>
      <c r="J77" s="40">
        <f t="shared" si="65"/>
        <v>46.003366800000002</v>
      </c>
      <c r="K77" s="40">
        <f t="shared" si="65"/>
        <v>46.923434136000004</v>
      </c>
      <c r="L77" s="40">
        <f t="shared" si="65"/>
        <v>47.861902818720004</v>
      </c>
      <c r="M77" s="40">
        <f t="shared" si="65"/>
        <v>48.819140875094405</v>
      </c>
      <c r="N77" s="40">
        <f t="shared" si="65"/>
        <v>49.795523692596291</v>
      </c>
      <c r="O77" s="40">
        <f t="shared" si="65"/>
        <v>50.791434166448219</v>
      </c>
      <c r="P77" s="40">
        <f t="shared" si="65"/>
        <v>51.807262849777182</v>
      </c>
      <c r="Q77" s="40">
        <f t="shared" si="65"/>
        <v>52.843408106772728</v>
      </c>
      <c r="R77" s="40">
        <f t="shared" si="65"/>
        <v>53.900276268908186</v>
      </c>
      <c r="S77" s="40">
        <f t="shared" si="65"/>
        <v>54.978281794286353</v>
      </c>
      <c r="T77" s="40">
        <f t="shared" si="65"/>
        <v>56.077847430172078</v>
      </c>
      <c r="U77" s="40">
        <f t="shared" si="65"/>
        <v>57.199404378775519</v>
      </c>
      <c r="V77" s="40">
        <f t="shared" si="65"/>
        <v>58.343392466351027</v>
      </c>
      <c r="W77" s="40">
        <f t="shared" si="65"/>
        <v>59.510260315678046</v>
      </c>
      <c r="X77" s="40">
        <f t="shared" si="65"/>
        <v>60.70046552199161</v>
      </c>
      <c r="Y77" s="40">
        <f t="shared" si="65"/>
        <v>61.914474832431445</v>
      </c>
      <c r="Z77" s="40">
        <f t="shared" si="65"/>
        <v>63.152764329080078</v>
      </c>
      <c r="AA77" s="40">
        <f t="shared" si="65"/>
        <v>64.415819615661675</v>
      </c>
      <c r="AB77" s="40">
        <f t="shared" si="65"/>
        <v>65.70413600797491</v>
      </c>
      <c r="AC77" s="40">
        <f t="shared" si="65"/>
        <v>67.018218728134414</v>
      </c>
      <c r="AD77" s="40">
        <f t="shared" si="65"/>
        <v>68.358583102697111</v>
      </c>
      <c r="AE77" s="40">
        <f t="shared" si="65"/>
        <v>69.725754764751059</v>
      </c>
      <c r="AF77" s="40">
        <f t="shared" si="65"/>
        <v>71.120269860046079</v>
      </c>
      <c r="AG77" s="40">
        <f t="shared" si="65"/>
        <v>72.542675257246998</v>
      </c>
      <c r="AH77" s="40">
        <f t="shared" si="65"/>
        <v>73.993528762391932</v>
      </c>
      <c r="AI77" s="40">
        <f t="shared" si="65"/>
        <v>75.473399337639776</v>
      </c>
      <c r="AJ77" s="40"/>
      <c r="AK77" s="40"/>
      <c r="AL77" s="40"/>
      <c r="AM77" s="40"/>
      <c r="AN77" s="40"/>
      <c r="AO77" s="40"/>
    </row>
    <row r="78" spans="1:41" x14ac:dyDescent="0.2">
      <c r="A78" s="39">
        <v>5601</v>
      </c>
      <c r="B78" s="52" t="s">
        <v>128</v>
      </c>
      <c r="C78" s="254">
        <f ca="1">OFFSET('IE Data Entry'!E52,0,'IE Data Entry'!$O$3)</f>
        <v>0</v>
      </c>
      <c r="D78" s="40">
        <v>5000</v>
      </c>
      <c r="E78" s="466">
        <f>D78/12</f>
        <v>416.66666666666669</v>
      </c>
      <c r="F78" s="40">
        <f t="shared" ref="F78:AI78" si="66">E78*(1+OpexInflation)</f>
        <v>425</v>
      </c>
      <c r="G78" s="40">
        <f t="shared" si="66"/>
        <v>433.5</v>
      </c>
      <c r="H78" s="40">
        <f t="shared" si="66"/>
        <v>442.17</v>
      </c>
      <c r="I78" s="40">
        <f t="shared" si="66"/>
        <v>451.01340000000005</v>
      </c>
      <c r="J78" s="40">
        <f t="shared" si="66"/>
        <v>460.03366800000003</v>
      </c>
      <c r="K78" s="40">
        <f t="shared" si="66"/>
        <v>469.23434136000003</v>
      </c>
      <c r="L78" s="40">
        <f t="shared" si="66"/>
        <v>478.61902818720006</v>
      </c>
      <c r="M78" s="40">
        <f t="shared" si="66"/>
        <v>488.19140875094405</v>
      </c>
      <c r="N78" s="40">
        <f t="shared" si="66"/>
        <v>497.95523692596294</v>
      </c>
      <c r="O78" s="40">
        <f t="shared" si="66"/>
        <v>507.91434166448221</v>
      </c>
      <c r="P78" s="40">
        <f t="shared" si="66"/>
        <v>518.07262849777192</v>
      </c>
      <c r="Q78" s="40">
        <f t="shared" si="66"/>
        <v>528.43408106772733</v>
      </c>
      <c r="R78" s="40">
        <f t="shared" si="66"/>
        <v>539.00276268908192</v>
      </c>
      <c r="S78" s="40">
        <f t="shared" si="66"/>
        <v>549.78281794286352</v>
      </c>
      <c r="T78" s="40">
        <f t="shared" si="66"/>
        <v>560.77847430172085</v>
      </c>
      <c r="U78" s="40">
        <f t="shared" si="66"/>
        <v>571.99404378775523</v>
      </c>
      <c r="V78" s="40">
        <f t="shared" si="66"/>
        <v>583.43392466351031</v>
      </c>
      <c r="W78" s="40">
        <f t="shared" si="66"/>
        <v>595.10260315678056</v>
      </c>
      <c r="X78" s="40">
        <f t="shared" si="66"/>
        <v>607.00465521991623</v>
      </c>
      <c r="Y78" s="40">
        <f t="shared" si="66"/>
        <v>619.14474832431461</v>
      </c>
      <c r="Z78" s="40">
        <f t="shared" si="66"/>
        <v>631.52764329080094</v>
      </c>
      <c r="AA78" s="40">
        <f t="shared" si="66"/>
        <v>644.15819615661701</v>
      </c>
      <c r="AB78" s="40">
        <f t="shared" si="66"/>
        <v>657.04136007974932</v>
      </c>
      <c r="AC78" s="40">
        <f t="shared" si="66"/>
        <v>670.18218728134434</v>
      </c>
      <c r="AD78" s="40">
        <f t="shared" si="66"/>
        <v>683.58583102697128</v>
      </c>
      <c r="AE78" s="40">
        <f t="shared" si="66"/>
        <v>697.25754764751071</v>
      </c>
      <c r="AF78" s="40">
        <f t="shared" si="66"/>
        <v>711.20269860046096</v>
      </c>
      <c r="AG78" s="40">
        <f t="shared" si="66"/>
        <v>725.42675257247015</v>
      </c>
      <c r="AH78" s="40">
        <f t="shared" si="66"/>
        <v>739.93528762391952</v>
      </c>
      <c r="AI78" s="40">
        <f t="shared" si="66"/>
        <v>754.73399337639796</v>
      </c>
      <c r="AJ78" s="40"/>
      <c r="AK78" s="40"/>
      <c r="AL78" s="40"/>
      <c r="AM78" s="40"/>
      <c r="AN78" s="40"/>
      <c r="AO78" s="40"/>
    </row>
    <row r="79" spans="1:41" x14ac:dyDescent="0.2">
      <c r="A79" s="39">
        <v>5000</v>
      </c>
      <c r="B79" s="52" t="str">
        <f>"Professional Mgmt ("&amp;TEXT(MgmtFeeLimit,"$0,0")&amp;"/mo or 5%)"</f>
        <v>Professional Mgmt ($1,750/mo or 5%)</v>
      </c>
      <c r="C79" s="254">
        <f ca="1">OFFSET('IE Data Entry'!E53,0,'IE Data Entry'!$O$3)</f>
        <v>0</v>
      </c>
      <c r="D79" s="40">
        <f ca="1">E79*12</f>
        <v>21000</v>
      </c>
      <c r="E79" s="467">
        <f ca="1">IF(E53*MgmtFee&gt;MgmtFeeLimit*12,E53*MgmtFee/12,MgmtFeeLimit)</f>
        <v>1750</v>
      </c>
      <c r="F79" s="40">
        <f t="shared" ref="F79:AI79" ca="1" si="67">IF(F53*MgmtFee&gt;MgmtFeeLimit,F53*MgmtFee,MgmtFeeLimit)</f>
        <v>2761.7000000000003</v>
      </c>
      <c r="G79" s="40">
        <f t="shared" ca="1" si="67"/>
        <v>3265.9480000000003</v>
      </c>
      <c r="H79" s="40">
        <f t="shared" ca="1" si="67"/>
        <v>3806.88832</v>
      </c>
      <c r="I79" s="40">
        <f t="shared" ca="1" si="67"/>
        <v>4386.6652128000005</v>
      </c>
      <c r="J79" s="40">
        <f t="shared" ca="1" si="67"/>
        <v>5007.5360769920007</v>
      </c>
      <c r="K79" s="40">
        <f t="shared" ca="1" si="67"/>
        <v>5671.8770840844809</v>
      </c>
      <c r="L79" s="40">
        <f t="shared" ca="1" si="67"/>
        <v>5871.607544545378</v>
      </c>
      <c r="M79" s="40">
        <f t="shared" ca="1" si="67"/>
        <v>6062.6713259888147</v>
      </c>
      <c r="N79" s="40">
        <f t="shared" ca="1" si="67"/>
        <v>6260.4956482832222</v>
      </c>
      <c r="O79" s="40">
        <f t="shared" ca="1" si="67"/>
        <v>6465.3332928545024</v>
      </c>
      <c r="P79" s="40">
        <f t="shared" ca="1" si="67"/>
        <v>6677.4467995814339</v>
      </c>
      <c r="Q79" s="40">
        <f t="shared" ca="1" si="67"/>
        <v>6897.1088500776959</v>
      </c>
      <c r="R79" s="40">
        <f t="shared" ca="1" si="67"/>
        <v>7124.602666164069</v>
      </c>
      <c r="S79" s="40">
        <f t="shared" ca="1" si="67"/>
        <v>7360.2224241355625</v>
      </c>
      <c r="T79" s="40">
        <f t="shared" ca="1" si="67"/>
        <v>7604.2736854524155</v>
      </c>
      <c r="U79" s="40">
        <f t="shared" ca="1" si="67"/>
        <v>7857.0738445089701</v>
      </c>
      <c r="V79" s="40">
        <f t="shared" ca="1" si="67"/>
        <v>8118.9525941605571</v>
      </c>
      <c r="W79" s="40">
        <f t="shared" ca="1" si="67"/>
        <v>8390.2524097156311</v>
      </c>
      <c r="X79" s="40">
        <f t="shared" ca="1" si="67"/>
        <v>8671.3290521286817</v>
      </c>
      <c r="Y79" s="40">
        <f t="shared" ca="1" si="67"/>
        <v>8962.5520911587428</v>
      </c>
      <c r="Z79" s="40">
        <f t="shared" ca="1" si="67"/>
        <v>9264.3054492889041</v>
      </c>
      <c r="AA79" s="40">
        <f t="shared" ca="1" si="67"/>
        <v>9576.9879672339466</v>
      </c>
      <c r="AB79" s="40">
        <f t="shared" ca="1" si="67"/>
        <v>9901.0139918962632</v>
      </c>
      <c r="AC79" s="40">
        <f t="shared" ca="1" si="67"/>
        <v>10236.813987664529</v>
      </c>
      <c r="AD79" s="40">
        <f t="shared" ca="1" si="67"/>
        <v>10584.835171985376</v>
      </c>
      <c r="AE79" s="40">
        <f t="shared" ca="1" si="67"/>
        <v>10945.542176175344</v>
      </c>
      <c r="AF79" s="40">
        <f t="shared" ca="1" si="67"/>
        <v>11319.417732479118</v>
      </c>
      <c r="AG79" s="40">
        <f t="shared" ca="1" si="67"/>
        <v>11706.963388420179</v>
      </c>
      <c r="AH79" s="40">
        <f t="shared" ca="1" si="67"/>
        <v>12108.700249531721</v>
      </c>
      <c r="AI79" s="40">
        <f t="shared" ca="1" si="67"/>
        <v>12525.16975159922</v>
      </c>
      <c r="AJ79" s="40"/>
      <c r="AK79" s="40"/>
      <c r="AL79" s="40"/>
      <c r="AM79" s="40"/>
      <c r="AN79" s="40"/>
      <c r="AO79" s="40"/>
    </row>
    <row r="80" spans="1:41" ht="13.5" thickBot="1" x14ac:dyDescent="0.25">
      <c r="B80" s="64" t="s">
        <v>117</v>
      </c>
      <c r="C80" s="258">
        <f ca="1">SUM(C56:C79)/12</f>
        <v>23520.083333333332</v>
      </c>
      <c r="D80" s="260">
        <f ca="1">E80</f>
        <v>52033.191666666666</v>
      </c>
      <c r="E80" s="65">
        <f t="shared" ref="E80:AI80" ca="1" si="68">SUM(E56:E79)</f>
        <v>52033.191666666666</v>
      </c>
      <c r="F80" s="65">
        <f t="shared" ca="1" si="68"/>
        <v>54049.655499999993</v>
      </c>
      <c r="G80" s="65">
        <f t="shared" ca="1" si="68"/>
        <v>55578.75361</v>
      </c>
      <c r="H80" s="65">
        <f t="shared" ca="1" si="68"/>
        <v>57165.031952199985</v>
      </c>
      <c r="I80" s="65">
        <f t="shared" ca="1" si="68"/>
        <v>58811.044446744003</v>
      </c>
      <c r="J80" s="65">
        <f t="shared" ca="1" si="68"/>
        <v>60519.466352005889</v>
      </c>
      <c r="K80" s="65">
        <f t="shared" ca="1" si="68"/>
        <v>62293.10005555355</v>
      </c>
      <c r="L80" s="65">
        <f t="shared" ca="1" si="68"/>
        <v>63624.299607308283</v>
      </c>
      <c r="M80" s="65">
        <f t="shared" ca="1" si="68"/>
        <v>64969.45230819007</v>
      </c>
      <c r="N80" s="65">
        <f t="shared" ca="1" si="68"/>
        <v>66344.437679093448</v>
      </c>
      <c r="O80" s="65">
        <f t="shared" ca="1" si="68"/>
        <v>67749.969847535511</v>
      </c>
      <c r="P80" s="65">
        <f t="shared" ca="1" si="68"/>
        <v>69186.781925443211</v>
      </c>
      <c r="Q80" s="65">
        <f t="shared" ca="1" si="68"/>
        <v>70655.626576944691</v>
      </c>
      <c r="R80" s="65">
        <f t="shared" ca="1" si="68"/>
        <v>72157.276605041276</v>
      </c>
      <c r="S80" s="65">
        <f t="shared" ca="1" si="68"/>
        <v>73692.525557837944</v>
      </c>
      <c r="T80" s="65">
        <f t="shared" ca="1" si="68"/>
        <v>75262.188355036938</v>
      </c>
      <c r="U80" s="65">
        <f t="shared" ca="1" si="68"/>
        <v>76867.101935425337</v>
      </c>
      <c r="V80" s="65">
        <f t="shared" ca="1" si="68"/>
        <v>78508.125926114837</v>
      </c>
      <c r="W80" s="65">
        <f t="shared" ca="1" si="68"/>
        <v>80186.143334320746</v>
      </c>
      <c r="X80" s="65">
        <f t="shared" ca="1" si="68"/>
        <v>81902.061262497809</v>
      </c>
      <c r="Y80" s="65">
        <f t="shared" ca="1" si="68"/>
        <v>83656.811647679817</v>
      </c>
      <c r="Z80" s="65">
        <f t="shared" ca="1" si="68"/>
        <v>85451.352025904474</v>
      </c>
      <c r="AA80" s="65">
        <f t="shared" ca="1" si="68"/>
        <v>87286.666322635487</v>
      </c>
      <c r="AB80" s="65">
        <f t="shared" ca="1" si="68"/>
        <v>89163.765670132052</v>
      </c>
      <c r="AC80" s="65">
        <f t="shared" ca="1" si="68"/>
        <v>91083.689252748547</v>
      </c>
      <c r="AD80" s="65">
        <f t="shared" ca="1" si="68"/>
        <v>93047.505181187385</v>
      </c>
      <c r="AE80" s="65">
        <f t="shared" ca="1" si="68"/>
        <v>95056.311396765872</v>
      </c>
      <c r="AF80" s="65">
        <f t="shared" ca="1" si="68"/>
        <v>97111.236606797989</v>
      </c>
      <c r="AG80" s="65">
        <f t="shared" ca="1" si="68"/>
        <v>99213.441252235149</v>
      </c>
      <c r="AH80" s="65">
        <f t="shared" ca="1" si="68"/>
        <v>101364.11850875278</v>
      </c>
      <c r="AI80" s="126">
        <f t="shared" ca="1" si="68"/>
        <v>103564.49532251578</v>
      </c>
    </row>
    <row r="81" spans="2:77" ht="13.5" thickTop="1" x14ac:dyDescent="0.2">
      <c r="B81" s="43"/>
      <c r="C81" s="468" t="str">
        <f ca="1">TEXT(SUM(C56:C79),"0,0")&amp;"  ("&amp;TEXT((SUM(C56:C79)/C52),"0%")&amp;")"</f>
        <v>282,241  (80%)</v>
      </c>
      <c r="D81" s="265">
        <f ca="1">D80*12</f>
        <v>624398.30000000005</v>
      </c>
      <c r="E81" s="287" t="str">
        <f t="shared" ref="E81:J81" ca="1" si="69">"Ratio= "&amp;TEXT(E80/E53,"0%")</f>
        <v>Ratio= 114%</v>
      </c>
      <c r="F81" s="287" t="str">
        <f t="shared" ca="1" si="69"/>
        <v>Ratio= 98%</v>
      </c>
      <c r="G81" s="287" t="str">
        <f t="shared" ca="1" si="69"/>
        <v>Ratio= 85%</v>
      </c>
      <c r="H81" s="287" t="str">
        <f t="shared" ca="1" si="69"/>
        <v>Ratio= 75%</v>
      </c>
      <c r="I81" s="287" t="str">
        <f t="shared" ca="1" si="69"/>
        <v>Ratio= 67%</v>
      </c>
      <c r="J81" s="287" t="str">
        <f t="shared" ca="1" si="69"/>
        <v>Ratio= 60%</v>
      </c>
      <c r="K81" s="42"/>
    </row>
    <row r="82" spans="2:77" ht="6.75" customHeight="1" x14ac:dyDescent="0.2">
      <c r="B82" s="43"/>
      <c r="C82" s="268"/>
      <c r="D82" s="69"/>
      <c r="E82" s="46"/>
      <c r="F82" s="46"/>
      <c r="G82" s="46"/>
      <c r="H82" s="46"/>
      <c r="I82" s="46"/>
      <c r="K82" s="42"/>
    </row>
    <row r="83" spans="2:77" x14ac:dyDescent="0.2">
      <c r="B83" s="38" t="s">
        <v>85</v>
      </c>
      <c r="C83" s="253">
        <f ca="1">(C53)-C80</f>
        <v>5861.4166666666679</v>
      </c>
      <c r="D83" s="69">
        <f t="shared" ref="D83:AI83" ca="1" si="70">D53-D80</f>
        <v>-6433.1916666666657</v>
      </c>
      <c r="E83" s="40">
        <f t="shared" ca="1" si="70"/>
        <v>-6433.1916666666657</v>
      </c>
      <c r="F83" s="40">
        <f t="shared" ca="1" si="70"/>
        <v>1184.3445000000065</v>
      </c>
      <c r="G83" s="40">
        <f t="shared" ca="1" si="70"/>
        <v>9740.2063899999994</v>
      </c>
      <c r="H83" s="40">
        <f t="shared" ca="1" si="70"/>
        <v>18972.734447800009</v>
      </c>
      <c r="I83" s="40">
        <f t="shared" ca="1" si="70"/>
        <v>28922.259809256</v>
      </c>
      <c r="J83" s="40">
        <f t="shared" ca="1" si="70"/>
        <v>39631.255187834126</v>
      </c>
      <c r="K83" s="40">
        <f t="shared" ca="1" si="70"/>
        <v>51144.441626136053</v>
      </c>
      <c r="L83" s="40">
        <f t="shared" ca="1" si="70"/>
        <v>53807.851283599266</v>
      </c>
      <c r="M83" s="40">
        <f t="shared" ca="1" si="70"/>
        <v>56283.974211586217</v>
      </c>
      <c r="N83" s="40">
        <f t="shared" ca="1" si="70"/>
        <v>58865.475286570989</v>
      </c>
      <c r="O83" s="40">
        <f t="shared" ca="1" si="70"/>
        <v>61556.696009554522</v>
      </c>
      <c r="P83" s="40">
        <f t="shared" ca="1" si="70"/>
        <v>64362.154066185467</v>
      </c>
      <c r="Q83" s="40">
        <f t="shared" ca="1" si="70"/>
        <v>67286.550424609217</v>
      </c>
      <c r="R83" s="40">
        <f t="shared" ca="1" si="70"/>
        <v>70334.7767182401</v>
      </c>
      <c r="S83" s="40">
        <f t="shared" ca="1" si="70"/>
        <v>73511.922924873303</v>
      </c>
      <c r="T83" s="40">
        <f t="shared" ca="1" si="70"/>
        <v>76823.285354011357</v>
      </c>
      <c r="U83" s="40">
        <f t="shared" ca="1" si="70"/>
        <v>80274.37495475405</v>
      </c>
      <c r="V83" s="40">
        <f t="shared" ca="1" si="70"/>
        <v>83870.925957096289</v>
      </c>
      <c r="W83" s="40">
        <f t="shared" ca="1" si="70"/>
        <v>87618.904859991861</v>
      </c>
      <c r="X83" s="40">
        <f t="shared" ca="1" si="70"/>
        <v>91524.519780075832</v>
      </c>
      <c r="Y83" s="40">
        <f t="shared" ca="1" si="70"/>
        <v>95594.230175495017</v>
      </c>
      <c r="Z83" s="40">
        <f t="shared" ca="1" si="70"/>
        <v>99834.756959873586</v>
      </c>
      <c r="AA83" s="40">
        <f t="shared" ca="1" si="70"/>
        <v>104253.09302204344</v>
      </c>
      <c r="AB83" s="40">
        <f t="shared" ca="1" si="70"/>
        <v>108856.5141677932</v>
      </c>
      <c r="AC83" s="40">
        <f t="shared" ca="1" si="70"/>
        <v>113652.59050054204</v>
      </c>
      <c r="AD83" s="40">
        <f t="shared" ca="1" si="70"/>
        <v>118649.19825852013</v>
      </c>
      <c r="AE83" s="40">
        <f t="shared" ca="1" si="70"/>
        <v>123854.53212674099</v>
      </c>
      <c r="AF83" s="40">
        <f t="shared" ca="1" si="70"/>
        <v>129277.11804278436</v>
      </c>
      <c r="AG83" s="40">
        <f t="shared" ca="1" si="70"/>
        <v>134925.82651616842</v>
      </c>
      <c r="AH83" s="40">
        <f t="shared" ca="1" si="70"/>
        <v>140809.88648188164</v>
      </c>
      <c r="AI83" s="40">
        <f t="shared" ca="1" si="70"/>
        <v>146938.89970946859</v>
      </c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</row>
    <row r="84" spans="2:77" ht="4.5" customHeight="1" x14ac:dyDescent="0.2">
      <c r="C84" s="253"/>
      <c r="D84" s="269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</row>
    <row r="85" spans="2:77" ht="13.5" thickBot="1" x14ac:dyDescent="0.25">
      <c r="B85" s="63" t="s">
        <v>86</v>
      </c>
      <c r="C85" s="270">
        <f t="shared" ref="C85:AI85" ca="1" si="71">C83*12</f>
        <v>70337.000000000015</v>
      </c>
      <c r="D85" s="271">
        <f t="shared" ca="1" si="71"/>
        <v>-77198.299999999988</v>
      </c>
      <c r="E85" s="274">
        <f t="shared" ca="1" si="71"/>
        <v>-77198.299999999988</v>
      </c>
      <c r="F85" s="274">
        <f t="shared" ca="1" si="71"/>
        <v>14212.134000000078</v>
      </c>
      <c r="G85" s="274">
        <f t="shared" ca="1" si="71"/>
        <v>116882.47667999999</v>
      </c>
      <c r="H85" s="274">
        <f t="shared" ca="1" si="71"/>
        <v>227672.8133736001</v>
      </c>
      <c r="I85" s="274">
        <f t="shared" ca="1" si="71"/>
        <v>347067.11771107197</v>
      </c>
      <c r="J85" s="274">
        <f t="shared" ca="1" si="71"/>
        <v>475575.06225400954</v>
      </c>
      <c r="K85" s="274">
        <f t="shared" ca="1" si="71"/>
        <v>613733.29951363266</v>
      </c>
      <c r="L85" s="274">
        <f t="shared" ca="1" si="71"/>
        <v>645694.21540319116</v>
      </c>
      <c r="M85" s="274">
        <f t="shared" ca="1" si="71"/>
        <v>675407.69053903455</v>
      </c>
      <c r="N85" s="274">
        <f t="shared" ca="1" si="71"/>
        <v>706385.70343885187</v>
      </c>
      <c r="O85" s="274">
        <f t="shared" ca="1" si="71"/>
        <v>738680.35211465426</v>
      </c>
      <c r="P85" s="274">
        <f t="shared" ca="1" si="71"/>
        <v>772345.8487942256</v>
      </c>
      <c r="Q85" s="274">
        <f t="shared" ca="1" si="71"/>
        <v>807438.6050953106</v>
      </c>
      <c r="R85" s="274">
        <f t="shared" ca="1" si="71"/>
        <v>844017.32061888115</v>
      </c>
      <c r="S85" s="274">
        <f t="shared" ca="1" si="71"/>
        <v>882143.07509847963</v>
      </c>
      <c r="T85" s="274">
        <f t="shared" ca="1" si="71"/>
        <v>921879.42424813635</v>
      </c>
      <c r="U85" s="274">
        <f t="shared" ca="1" si="71"/>
        <v>963292.4994570486</v>
      </c>
      <c r="V85" s="274">
        <f t="shared" ca="1" si="71"/>
        <v>1006451.1114851555</v>
      </c>
      <c r="W85" s="274">
        <f t="shared" ca="1" si="71"/>
        <v>1051426.8583199023</v>
      </c>
      <c r="X85" s="274">
        <f t="shared" ca="1" si="71"/>
        <v>1098294.23736091</v>
      </c>
      <c r="Y85" s="274">
        <f t="shared" ca="1" si="71"/>
        <v>1147130.7621059401</v>
      </c>
      <c r="Z85" s="274">
        <f t="shared" ca="1" si="71"/>
        <v>1198017.083518483</v>
      </c>
      <c r="AA85" s="274">
        <f t="shared" ca="1" si="71"/>
        <v>1251037.1162645211</v>
      </c>
      <c r="AB85" s="274">
        <f t="shared" ca="1" si="71"/>
        <v>1306278.1700135183</v>
      </c>
      <c r="AC85" s="274">
        <f t="shared" ca="1" si="71"/>
        <v>1363831.0860065045</v>
      </c>
      <c r="AD85" s="274">
        <f t="shared" ca="1" si="71"/>
        <v>1423790.3791022417</v>
      </c>
      <c r="AE85" s="274">
        <f t="shared" ca="1" si="71"/>
        <v>1486254.3855208918</v>
      </c>
      <c r="AF85" s="274">
        <f t="shared" ca="1" si="71"/>
        <v>1551325.4165134123</v>
      </c>
      <c r="AG85" s="274">
        <f t="shared" ca="1" si="71"/>
        <v>1619109.9181940211</v>
      </c>
      <c r="AH85" s="274">
        <f t="shared" ca="1" si="71"/>
        <v>1689718.6377825798</v>
      </c>
      <c r="AI85" s="275">
        <f t="shared" ca="1" si="71"/>
        <v>1763266.7965136231</v>
      </c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</row>
    <row r="86" spans="2:77" ht="13.5" thickTop="1" x14ac:dyDescent="0.2">
      <c r="B86" s="43"/>
      <c r="C86" s="37"/>
      <c r="E86" s="48">
        <f t="shared" ref="E86:P86" ca="1" si="72">E83/E53</f>
        <v>-0.14107876461988303</v>
      </c>
      <c r="F86" s="48">
        <f t="shared" ca="1" si="72"/>
        <v>2.1442309084984006E-2</v>
      </c>
      <c r="G86" s="48">
        <f t="shared" ca="1" si="72"/>
        <v>0.14911759755513559</v>
      </c>
      <c r="H86" s="48">
        <f t="shared" ca="1" si="72"/>
        <v>0.24918953293329091</v>
      </c>
      <c r="I86" s="48">
        <f t="shared" ca="1" si="72"/>
        <v>0.32966112532206415</v>
      </c>
      <c r="J86" s="48">
        <f t="shared" ca="1" si="72"/>
        <v>0.39571612244519666</v>
      </c>
      <c r="K86" s="48">
        <f t="shared" ca="1" si="72"/>
        <v>0.45085992580524581</v>
      </c>
      <c r="L86" s="48">
        <f t="shared" ca="1" si="72"/>
        <v>0.45820374467624148</v>
      </c>
      <c r="M86" s="48">
        <f t="shared" ca="1" si="72"/>
        <v>0.46418460761936792</v>
      </c>
      <c r="N86" s="48">
        <f t="shared" ca="1" si="72"/>
        <v>0.47013430400445461</v>
      </c>
      <c r="O86" s="48">
        <f t="shared" ca="1" si="72"/>
        <v>0.47605199315545804</v>
      </c>
      <c r="P86" s="48">
        <f t="shared" ca="1" si="72"/>
        <v>0.48193685399500236</v>
      </c>
      <c r="Q86" s="48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</row>
    <row r="87" spans="2:77" x14ac:dyDescent="0.2">
      <c r="B87" s="43"/>
      <c r="C87" s="37"/>
      <c r="D87" s="469" t="s">
        <v>209</v>
      </c>
      <c r="E87" s="288">
        <f t="shared" ref="E87:L87" ca="1" si="73">+E85/$C$6</f>
        <v>-4.3966361370705184E-2</v>
      </c>
      <c r="F87" s="288">
        <f t="shared" ca="1" si="73"/>
        <v>8.0941655359365334E-3</v>
      </c>
      <c r="G87" s="288">
        <f t="shared" ca="1" si="73"/>
        <v>6.6567491869845605E-2</v>
      </c>
      <c r="H87" s="288">
        <f t="shared" ca="1" si="73"/>
        <v>0.12966535774840668</v>
      </c>
      <c r="I87" s="288">
        <f t="shared" ca="1" si="73"/>
        <v>0.19766339825066181</v>
      </c>
      <c r="J87" s="288">
        <f t="shared" ca="1" si="73"/>
        <v>0.27085188463936904</v>
      </c>
      <c r="K87" s="288">
        <f t="shared" ca="1" si="73"/>
        <v>0.34953645393294436</v>
      </c>
      <c r="L87" s="288">
        <f t="shared" ca="1" si="73"/>
        <v>0.36773899437410751</v>
      </c>
      <c r="M87" s="48"/>
      <c r="N87" s="48"/>
      <c r="O87" s="48"/>
      <c r="P87" s="48"/>
      <c r="Q87" s="48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</row>
    <row r="88" spans="2:77" x14ac:dyDescent="0.2">
      <c r="B88" s="43"/>
      <c r="C88" s="37"/>
      <c r="D88" s="469" t="s">
        <v>210</v>
      </c>
      <c r="E88" s="288">
        <f ca="1">+E85/($C$6-SUM(E85-E85))</f>
        <v>-4.3966361370705184E-2</v>
      </c>
      <c r="F88" s="288">
        <f ca="1">+F85/($C$6-SUM($E$85:E85))</f>
        <v>7.7532819403386428E-3</v>
      </c>
      <c r="G88" s="288">
        <f ca="1">+G85/($C$6-SUM($E$85:F85))</f>
        <v>6.4262263373331963E-2</v>
      </c>
      <c r="H88" s="288">
        <f ca="1">+H85/($C$6-SUM($E$85:G85))</f>
        <v>0.13377151397080086</v>
      </c>
      <c r="I88" s="288">
        <f ca="1">+I85/($C$6-SUM($E$85:H85))</f>
        <v>0.23541464456298922</v>
      </c>
      <c r="J88" s="288">
        <f ca="1">+J85/($C$6-SUM($E$85:I85))</f>
        <v>0.42190347706574066</v>
      </c>
      <c r="K88" s="288">
        <f ca="1">+K85/($C$6-SUM($E$85:J85))</f>
        <v>0.94183182518523434</v>
      </c>
      <c r="L88" s="288">
        <f ca="1">+L85/($C$6-SUM($E$85:K85))</f>
        <v>17.034725229192446</v>
      </c>
      <c r="M88" s="48"/>
      <c r="N88" s="48"/>
      <c r="O88" s="48"/>
      <c r="P88" s="48"/>
      <c r="Q88" s="48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</row>
    <row r="89" spans="2:77" x14ac:dyDescent="0.2">
      <c r="B89" s="43"/>
      <c r="C89" s="379" t="s">
        <v>135</v>
      </c>
      <c r="D89" s="379" t="s">
        <v>136</v>
      </c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</row>
    <row r="90" spans="2:77" x14ac:dyDescent="0.2">
      <c r="B90" s="385"/>
      <c r="C90" s="375" t="s">
        <v>96</v>
      </c>
      <c r="D90" s="380" t="s">
        <v>96</v>
      </c>
      <c r="E90" s="377">
        <v>1</v>
      </c>
      <c r="F90" s="377">
        <f t="shared" ref="F90:AH90" si="74">E90+1</f>
        <v>2</v>
      </c>
      <c r="G90" s="377">
        <f t="shared" si="74"/>
        <v>3</v>
      </c>
      <c r="H90" s="377">
        <f t="shared" si="74"/>
        <v>4</v>
      </c>
      <c r="I90" s="377">
        <f t="shared" si="74"/>
        <v>5</v>
      </c>
      <c r="J90" s="377">
        <f t="shared" si="74"/>
        <v>6</v>
      </c>
      <c r="K90" s="377">
        <f t="shared" si="74"/>
        <v>7</v>
      </c>
      <c r="L90" s="377">
        <f t="shared" si="74"/>
        <v>8</v>
      </c>
      <c r="M90" s="377">
        <f t="shared" si="74"/>
        <v>9</v>
      </c>
      <c r="N90" s="377">
        <f t="shared" si="74"/>
        <v>10</v>
      </c>
      <c r="O90" s="377">
        <f t="shared" si="74"/>
        <v>11</v>
      </c>
      <c r="P90" s="377">
        <f t="shared" si="74"/>
        <v>12</v>
      </c>
      <c r="Q90" s="377">
        <f t="shared" si="74"/>
        <v>13</v>
      </c>
      <c r="R90" s="377">
        <f t="shared" si="74"/>
        <v>14</v>
      </c>
      <c r="S90" s="377">
        <f t="shared" si="74"/>
        <v>15</v>
      </c>
      <c r="T90" s="377">
        <f t="shared" si="74"/>
        <v>16</v>
      </c>
      <c r="U90" s="377">
        <f t="shared" si="74"/>
        <v>17</v>
      </c>
      <c r="V90" s="377">
        <f t="shared" si="74"/>
        <v>18</v>
      </c>
      <c r="W90" s="377">
        <f t="shared" si="74"/>
        <v>19</v>
      </c>
      <c r="X90" s="377">
        <f t="shared" si="74"/>
        <v>20</v>
      </c>
      <c r="Y90" s="377">
        <f t="shared" si="74"/>
        <v>21</v>
      </c>
      <c r="Z90" s="377">
        <f t="shared" si="74"/>
        <v>22</v>
      </c>
      <c r="AA90" s="377">
        <f t="shared" si="74"/>
        <v>23</v>
      </c>
      <c r="AB90" s="377">
        <f t="shared" si="74"/>
        <v>24</v>
      </c>
      <c r="AC90" s="377">
        <f t="shared" si="74"/>
        <v>25</v>
      </c>
      <c r="AD90" s="377">
        <f t="shared" si="74"/>
        <v>26</v>
      </c>
      <c r="AE90" s="377">
        <f t="shared" si="74"/>
        <v>27</v>
      </c>
      <c r="AF90" s="377">
        <f t="shared" si="74"/>
        <v>28</v>
      </c>
      <c r="AG90" s="377">
        <f t="shared" si="74"/>
        <v>29</v>
      </c>
      <c r="AH90" s="377">
        <f t="shared" si="74"/>
        <v>30</v>
      </c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</row>
    <row r="91" spans="2:77" x14ac:dyDescent="0.2">
      <c r="B91" s="38" t="s">
        <v>97</v>
      </c>
      <c r="C91" s="140">
        <v>0</v>
      </c>
      <c r="D91" s="140">
        <v>0.7</v>
      </c>
      <c r="E91" s="378" t="str">
        <f>IF(E93&gt;0,SUM(E92:E93),"")</f>
        <v/>
      </c>
      <c r="F91" s="378" t="str">
        <f t="shared" ref="F91" si="75">IF(F93&lt;&gt;0,SUM(F92:F93),IF(G93&lt;&gt;0,"Refinance",""))</f>
        <v/>
      </c>
      <c r="G91" s="378" t="str">
        <f t="shared" ref="G91" si="76">IF(G93&lt;&gt;0,SUM(G92:G93),IF(H93&lt;&gt;0,"Refinance",""))</f>
        <v/>
      </c>
      <c r="H91" s="378" t="str">
        <f t="shared" ref="H91" si="77">IF(H93&lt;&gt;0,SUM(H92:H93),IF(I93&lt;&gt;0,"Refinance",""))</f>
        <v/>
      </c>
      <c r="I91" s="378" t="str">
        <f ca="1">IF(I93&lt;&gt;0,SUM(I92:I93),IF(J93&lt;&gt;0,"Refinance",""))</f>
        <v>Refinance</v>
      </c>
      <c r="J91" s="378">
        <f t="shared" ref="J91:K91" ca="1" si="78">IF(J93&lt;&gt;0,SUM(J92:J93),IF(K93&lt;&gt;0,"Refinance",""))</f>
        <v>3737645.8830423132</v>
      </c>
      <c r="K91" s="378" t="str">
        <f t="shared" si="78"/>
        <v/>
      </c>
      <c r="L91" s="378" t="str">
        <f t="shared" ref="L91" si="79">IF(L93&lt;&gt;0,SUM(L92:L93),IF(M93&lt;&gt;0,"Refinance",""))</f>
        <v/>
      </c>
      <c r="M91" s="378" t="str">
        <f t="shared" ref="M91" si="80">IF(M93&lt;&gt;0,SUM(M92:M93),IF(N93&lt;&gt;0,"Refinance",""))</f>
        <v/>
      </c>
      <c r="N91" s="378" t="str">
        <f t="shared" ref="N91" si="81">IF(N93&lt;&gt;0,SUM(N92:N93),IF(O93&lt;&gt;0,"Refinance",""))</f>
        <v/>
      </c>
      <c r="O91" s="378" t="str">
        <f t="shared" ref="O91" si="82">IF(O93&lt;&gt;0,SUM(O92:O93),IF(P93&lt;&gt;0,"Refinance",""))</f>
        <v/>
      </c>
      <c r="P91" s="378" t="str">
        <f t="shared" ref="P91" si="83">IF(P93&lt;&gt;0,SUM(P92:P93),IF(Q93&lt;&gt;0,"Refinance",""))</f>
        <v/>
      </c>
      <c r="Q91" s="378" t="str">
        <f t="shared" ref="Q91" si="84">IF(Q93&lt;&gt;0,SUM(Q92:Q93),IF(R93&lt;&gt;0,"Refinance",""))</f>
        <v/>
      </c>
      <c r="R91" s="378" t="str">
        <f t="shared" ref="R91" si="85">IF(R93&lt;&gt;0,SUM(R92:R93),IF(S93&lt;&gt;0,"Refinance",""))</f>
        <v/>
      </c>
      <c r="S91" s="378" t="str">
        <f t="shared" ref="S91" si="86">IF(S93&lt;&gt;0,SUM(S92:S93),IF(T93&lt;&gt;0,"Refinance",""))</f>
        <v/>
      </c>
      <c r="T91" s="378" t="str">
        <f t="shared" ref="T91" si="87">IF(T93&lt;&gt;0,SUM(T92:T93),IF(U93&lt;&gt;0,"Refinance",""))</f>
        <v/>
      </c>
      <c r="U91" s="378" t="str">
        <f t="shared" ref="U91" si="88">IF(U93&lt;&gt;0,SUM(U92:U93),IF(V93&lt;&gt;0,"Refinance",""))</f>
        <v/>
      </c>
      <c r="V91" s="378" t="str">
        <f t="shared" ref="V91" si="89">IF(V93&lt;&gt;0,SUM(V92:V93),IF(W93&lt;&gt;0,"Refinance",""))</f>
        <v/>
      </c>
      <c r="W91" s="378" t="str">
        <f t="shared" ref="W91" si="90">IF(W93&lt;&gt;0,SUM(W92:W93),IF(X93&lt;&gt;0,"Refinance",""))</f>
        <v/>
      </c>
      <c r="X91" s="378" t="str">
        <f t="shared" ref="X91" si="91">IF(X93&lt;&gt;0,SUM(X92:X93),IF(Y93&lt;&gt;0,"Refinance",""))</f>
        <v/>
      </c>
      <c r="Y91" s="378" t="str">
        <f t="shared" ref="Y91" si="92">IF(Y93&lt;&gt;0,SUM(Y92:Y93),IF(Z93&lt;&gt;0,"Refinance",""))</f>
        <v/>
      </c>
      <c r="Z91" s="378" t="str">
        <f t="shared" ref="Z91" si="93">IF(Z93&lt;&gt;0,SUM(Z92:Z93),IF(AA93&lt;&gt;0,"Refinance",""))</f>
        <v/>
      </c>
      <c r="AA91" s="378" t="str">
        <f t="shared" ref="AA91" si="94">IF(AA93&lt;&gt;0,SUM(AA92:AA93),IF(AB93&lt;&gt;0,"Refinance",""))</f>
        <v/>
      </c>
      <c r="AB91" s="378" t="str">
        <f t="shared" ref="AB91" si="95">IF(AB93&lt;&gt;0,SUM(AB92:AB93),IF(AC93&lt;&gt;0,"Refinance",""))</f>
        <v/>
      </c>
      <c r="AC91" s="378" t="str">
        <f t="shared" ref="AC91" si="96">IF(AC93&lt;&gt;0,SUM(AC92:AC93),IF(AD93&lt;&gt;0,"Refinance",""))</f>
        <v/>
      </c>
      <c r="AD91" s="378" t="str">
        <f t="shared" ref="AD91" si="97">IF(AD93&lt;&gt;0,SUM(AD92:AD93),IF(AE93&lt;&gt;0,"Refinance",""))</f>
        <v/>
      </c>
      <c r="AE91" s="378" t="str">
        <f t="shared" ref="AE91" si="98">IF(AE93&lt;&gt;0,SUM(AE92:AE93),IF(AF93&lt;&gt;0,"Refinance",""))</f>
        <v/>
      </c>
      <c r="AF91" s="378" t="str">
        <f t="shared" ref="AF91" si="99">IF(AF93&lt;&gt;0,SUM(AF92:AF93),IF(AG93&lt;&gt;0,"Refinance",""))</f>
        <v/>
      </c>
      <c r="AG91" s="378" t="str">
        <f t="shared" ref="AG91" si="100">IF(AG93&lt;&gt;0,SUM(AG92:AG93),IF(AH93&lt;&gt;0,"Refinance",""))</f>
        <v/>
      </c>
      <c r="AH91" s="378" t="str">
        <f t="shared" ref="AH91" si="101">IF(AH93&lt;&gt;0,SUM(AH92:AH93),IF(AI93&lt;&gt;0,"Refinance",""))</f>
        <v/>
      </c>
      <c r="AI91" s="88" t="s">
        <v>98</v>
      </c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</row>
    <row r="92" spans="2:77" x14ac:dyDescent="0.2">
      <c r="B92" s="82" t="s">
        <v>133</v>
      </c>
      <c r="C92" s="375" t="s">
        <v>324</v>
      </c>
      <c r="D92" s="375" t="s">
        <v>324</v>
      </c>
      <c r="E92" s="83">
        <f>C4*C91</f>
        <v>0</v>
      </c>
      <c r="F92" s="83">
        <f t="shared" ref="F92" si="102">E97</f>
        <v>0</v>
      </c>
      <c r="G92" s="83">
        <f t="shared" ref="G92" si="103">F97</f>
        <v>0</v>
      </c>
      <c r="H92" s="83">
        <f t="shared" ref="H92" si="104">G97</f>
        <v>0</v>
      </c>
      <c r="I92" s="83">
        <f t="shared" ref="I92" si="105">H97</f>
        <v>0</v>
      </c>
      <c r="J92" s="83">
        <f t="shared" ref="J92" si="106">I97</f>
        <v>0</v>
      </c>
      <c r="K92" s="83">
        <f t="shared" ref="K92:AI92" ca="1" si="107">J97</f>
        <v>3697840.4601745321</v>
      </c>
      <c r="L92" s="83">
        <f t="shared" ca="1" si="107"/>
        <v>3658458.9596737339</v>
      </c>
      <c r="M92" s="83">
        <f t="shared" ca="1" si="107"/>
        <v>3619496.866824076</v>
      </c>
      <c r="N92" s="83">
        <f t="shared" ca="1" si="107"/>
        <v>3580949.7149908296</v>
      </c>
      <c r="O92" s="83">
        <f t="shared" ca="1" si="107"/>
        <v>3542813.0851083202</v>
      </c>
      <c r="P92" s="83">
        <f t="shared" ca="1" si="107"/>
        <v>3505082.6051733252</v>
      </c>
      <c r="Q92" s="83">
        <f t="shared" ca="1" si="107"/>
        <v>3467753.9497438646</v>
      </c>
      <c r="R92" s="83">
        <f t="shared" ca="1" si="107"/>
        <v>3430822.8394433307</v>
      </c>
      <c r="S92" s="83">
        <f t="shared" ca="1" si="107"/>
        <v>3394285.0404698965</v>
      </c>
      <c r="T92" s="83">
        <f t="shared" ca="1" si="107"/>
        <v>3358136.3641111525</v>
      </c>
      <c r="U92" s="83">
        <f t="shared" ca="1" si="107"/>
        <v>3322372.6662639095</v>
      </c>
      <c r="V92" s="83">
        <f t="shared" ca="1" si="107"/>
        <v>3286989.8469591159</v>
      </c>
      <c r="W92" s="83">
        <f t="shared" ca="1" si="107"/>
        <v>3251983.8498918358</v>
      </c>
      <c r="X92" s="83">
        <f t="shared" ca="1" si="107"/>
        <v>3217350.661956232</v>
      </c>
      <c r="Y92" s="83">
        <f t="shared" ca="1" si="107"/>
        <v>3183086.3127855021</v>
      </c>
      <c r="Z92" s="83">
        <f t="shared" ca="1" si="107"/>
        <v>3149186.8742967118</v>
      </c>
      <c r="AA92" s="83">
        <f t="shared" ca="1" si="107"/>
        <v>3115648.4602404791</v>
      </c>
      <c r="AB92" s="83">
        <f t="shared" ca="1" si="107"/>
        <v>3082467.2257554517</v>
      </c>
      <c r="AC92" s="83">
        <f t="shared" ca="1" si="107"/>
        <v>3049639.3669275311</v>
      </c>
      <c r="AD92" s="83">
        <f t="shared" ca="1" si="107"/>
        <v>3017161.1203537881</v>
      </c>
      <c r="AE92" s="83">
        <f t="shared" ca="1" si="107"/>
        <v>2985028.7627110267</v>
      </c>
      <c r="AF92" s="83">
        <f t="shared" ca="1" si="107"/>
        <v>2953238.6103289379</v>
      </c>
      <c r="AG92" s="83">
        <f t="shared" ca="1" si="107"/>
        <v>2921787.0187678039</v>
      </c>
      <c r="AH92" s="83">
        <f t="shared" ca="1" si="107"/>
        <v>2890670.3824006957</v>
      </c>
      <c r="AI92" s="83">
        <f t="shared" ca="1" si="107"/>
        <v>2859885.1340001244</v>
      </c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</row>
    <row r="93" spans="2:77" x14ac:dyDescent="0.2">
      <c r="B93" s="52" t="s">
        <v>133</v>
      </c>
      <c r="C93" s="381">
        <v>360</v>
      </c>
      <c r="D93" s="381">
        <v>360</v>
      </c>
      <c r="E93" s="83">
        <f>IF(E90*12=$C$97,(D100*$D$91)-E92,0)</f>
        <v>0</v>
      </c>
      <c r="F93" s="83">
        <f>IF(F90=$C$97+1,(E100*$D$91)-F92,0)</f>
        <v>0</v>
      </c>
      <c r="G93" s="83">
        <f>IF(G90=$C$97+1,(F100*$D$91)-G92,0)</f>
        <v>0</v>
      </c>
      <c r="H93" s="83">
        <f>IF(H90=$C$97+1,(G100*$D$91)-H92,0)</f>
        <v>0</v>
      </c>
      <c r="I93" s="83">
        <f>IF(I90=$C$97+1,(H100*$D$91)-I92,0)</f>
        <v>0</v>
      </c>
      <c r="J93" s="83">
        <f ca="1">IF(J90=$C$97+1,(I100*$D$91)-J92,IF(J90=$D$97+1,(I100*$D$91)-J92,0))</f>
        <v>3737645.8830423132</v>
      </c>
      <c r="K93" s="83">
        <f t="shared" ref="K93:AH93" si="108">IF(K90=$C$97+1,(J100*$D$91)-K92,0)</f>
        <v>0</v>
      </c>
      <c r="L93" s="83">
        <f t="shared" si="108"/>
        <v>0</v>
      </c>
      <c r="M93" s="83">
        <f t="shared" si="108"/>
        <v>0</v>
      </c>
      <c r="N93" s="83">
        <f t="shared" si="108"/>
        <v>0</v>
      </c>
      <c r="O93" s="83">
        <f t="shared" si="108"/>
        <v>0</v>
      </c>
      <c r="P93" s="83">
        <f t="shared" si="108"/>
        <v>0</v>
      </c>
      <c r="Q93" s="83">
        <f t="shared" si="108"/>
        <v>0</v>
      </c>
      <c r="R93" s="83">
        <f t="shared" si="108"/>
        <v>0</v>
      </c>
      <c r="S93" s="83">
        <f t="shared" si="108"/>
        <v>0</v>
      </c>
      <c r="T93" s="83">
        <f t="shared" si="108"/>
        <v>0</v>
      </c>
      <c r="U93" s="83">
        <f t="shared" si="108"/>
        <v>0</v>
      </c>
      <c r="V93" s="83">
        <f t="shared" si="108"/>
        <v>0</v>
      </c>
      <c r="W93" s="83">
        <f t="shared" si="108"/>
        <v>0</v>
      </c>
      <c r="X93" s="83">
        <f t="shared" si="108"/>
        <v>0</v>
      </c>
      <c r="Y93" s="83">
        <f t="shared" si="108"/>
        <v>0</v>
      </c>
      <c r="Z93" s="83">
        <f t="shared" si="108"/>
        <v>0</v>
      </c>
      <c r="AA93" s="83">
        <f t="shared" si="108"/>
        <v>0</v>
      </c>
      <c r="AB93" s="83">
        <f t="shared" si="108"/>
        <v>0</v>
      </c>
      <c r="AC93" s="83">
        <f t="shared" si="108"/>
        <v>0</v>
      </c>
      <c r="AD93" s="83">
        <f t="shared" si="108"/>
        <v>0</v>
      </c>
      <c r="AE93" s="83">
        <f t="shared" si="108"/>
        <v>0</v>
      </c>
      <c r="AF93" s="83">
        <f t="shared" si="108"/>
        <v>0</v>
      </c>
      <c r="AG93" s="83">
        <f t="shared" si="108"/>
        <v>0</v>
      </c>
      <c r="AH93" s="83">
        <f t="shared" si="108"/>
        <v>0</v>
      </c>
      <c r="AI93" s="83">
        <v>0</v>
      </c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</row>
    <row r="94" spans="2:77" x14ac:dyDescent="0.2">
      <c r="B94" s="82" t="s">
        <v>88</v>
      </c>
      <c r="C94" s="375" t="s">
        <v>325</v>
      </c>
      <c r="D94" s="375" t="s">
        <v>325</v>
      </c>
      <c r="E94" s="83">
        <f>-PMT((($C$95/360)*365.25/12),$C$93,$C$4*$C$20,,0)*12</f>
        <v>0</v>
      </c>
      <c r="F94" s="83">
        <f>IF(F90*$C$97,-PMT((($D$95/360)*365.25/12),$D$93,INDEX($E$92:$AH$92,1,($C$97)/12)+INDEX($E$93:$AH$93,1,($C$97+1)/12),,0)*12,E94)</f>
        <v>0</v>
      </c>
      <c r="G94" s="83">
        <f t="shared" ref="G94:I94" si="109">IF(G90*$C$97,-PMT((($D$95/360)*365.25/12),$D$93,INDEX($E$92:$AH$92,1,($C$97)/12)+INDEX($E$93:$AH$93,1,($C$97+1)/12),,0)*12,F94)</f>
        <v>0</v>
      </c>
      <c r="H94" s="83">
        <f t="shared" si="109"/>
        <v>0</v>
      </c>
      <c r="I94" s="83">
        <f t="shared" si="109"/>
        <v>0</v>
      </c>
      <c r="J94" s="83">
        <f t="shared" ref="J94:AH94" ca="1" si="110">IF(J90*$C$97,-PMT((($D$95/360)*365.25/12),$D$93,INDEX($E$92:$AH$92,1,($C$97)/12)+INDEX($E$93:$AH$93,1,($C$97+1)/12),,0)*12,I94)</f>
        <v>286295.38209216535</v>
      </c>
      <c r="K94" s="83">
        <f t="shared" ca="1" si="110"/>
        <v>283246.37501501676</v>
      </c>
      <c r="L94" s="83">
        <f t="shared" ca="1" si="110"/>
        <v>280229.83945064119</v>
      </c>
      <c r="M94" s="83">
        <f t="shared" ca="1" si="110"/>
        <v>277245.42958182195</v>
      </c>
      <c r="N94" s="83">
        <f t="shared" ca="1" si="110"/>
        <v>274292.80327424855</v>
      </c>
      <c r="O94" s="83">
        <f t="shared" ca="1" si="110"/>
        <v>271371.62203729484</v>
      </c>
      <c r="P94" s="83">
        <f t="shared" ca="1" si="110"/>
        <v>268481.55098521389</v>
      </c>
      <c r="Q94" s="83">
        <f t="shared" ca="1" si="110"/>
        <v>265622.25879874668</v>
      </c>
      <c r="R94" s="83">
        <f t="shared" ca="1" si="110"/>
        <v>262793.41768713959</v>
      </c>
      <c r="S94" s="83">
        <f t="shared" ca="1" si="110"/>
        <v>259994.70335056589</v>
      </c>
      <c r="T94" s="83">
        <f t="shared" ca="1" si="110"/>
        <v>257225.79494294841</v>
      </c>
      <c r="U94" s="83">
        <f t="shared" ca="1" si="110"/>
        <v>254486.37503517722</v>
      </c>
      <c r="V94" s="83">
        <f t="shared" ca="1" si="110"/>
        <v>251776.12957871932</v>
      </c>
      <c r="W94" s="83">
        <f t="shared" ca="1" si="110"/>
        <v>249094.74786961623</v>
      </c>
      <c r="X94" s="83">
        <f t="shared" ca="1" si="110"/>
        <v>246441.92251286452</v>
      </c>
      <c r="Y94" s="83">
        <f t="shared" ca="1" si="110"/>
        <v>243817.34938717593</v>
      </c>
      <c r="Z94" s="83">
        <f t="shared" ca="1" si="110"/>
        <v>241220.72761011269</v>
      </c>
      <c r="AA94" s="83">
        <f t="shared" ca="1" si="110"/>
        <v>238651.75950359463</v>
      </c>
      <c r="AB94" s="83">
        <f t="shared" ca="1" si="110"/>
        <v>236110.15055977239</v>
      </c>
      <c r="AC94" s="83">
        <f t="shared" ca="1" si="110"/>
        <v>233595.6094072657</v>
      </c>
      <c r="AD94" s="83">
        <f t="shared" ca="1" si="110"/>
        <v>231107.84777775977</v>
      </c>
      <c r="AE94" s="83">
        <f t="shared" ca="1" si="110"/>
        <v>228646.58047295874</v>
      </c>
      <c r="AF94" s="83">
        <f t="shared" ca="1" si="110"/>
        <v>226211.52533188951</v>
      </c>
      <c r="AG94" s="83">
        <f t="shared" ca="1" si="110"/>
        <v>223802.40319855561</v>
      </c>
      <c r="AH94" s="83">
        <f t="shared" ca="1" si="110"/>
        <v>221418.93788993391</v>
      </c>
      <c r="AI94" s="83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</row>
    <row r="95" spans="2:77" x14ac:dyDescent="0.2">
      <c r="B95" s="82" t="s">
        <v>90</v>
      </c>
      <c r="C95" s="148">
        <v>5.2499999999999998E-2</v>
      </c>
      <c r="D95" s="141">
        <v>6.5000000000000002E-2</v>
      </c>
      <c r="E95" s="83">
        <f t="shared" ref="E95" si="111">E94-E96</f>
        <v>0</v>
      </c>
      <c r="F95" s="83">
        <f t="shared" ref="F95:I95" si="112">F94-F96</f>
        <v>0</v>
      </c>
      <c r="G95" s="83">
        <f t="shared" si="112"/>
        <v>0</v>
      </c>
      <c r="H95" s="83">
        <f t="shared" si="112"/>
        <v>0</v>
      </c>
      <c r="I95" s="83">
        <f t="shared" si="112"/>
        <v>0</v>
      </c>
      <c r="J95" s="83">
        <f t="shared" ref="J95:AI95" ca="1" si="113">J94-J96</f>
        <v>39805.422867781104</v>
      </c>
      <c r="K95" s="83">
        <f t="shared" ca="1" si="113"/>
        <v>39381.500500798371</v>
      </c>
      <c r="L95" s="83">
        <f t="shared" ca="1" si="113"/>
        <v>38962.092849657725</v>
      </c>
      <c r="M95" s="83">
        <f t="shared" ca="1" si="113"/>
        <v>38547.151833246666</v>
      </c>
      <c r="N95" s="83">
        <f t="shared" ca="1" si="113"/>
        <v>38136.629882509529</v>
      </c>
      <c r="O95" s="83">
        <f t="shared" ca="1" si="113"/>
        <v>37730.479934995063</v>
      </c>
      <c r="P95" s="83">
        <f t="shared" ca="1" si="113"/>
        <v>37328.655429460516</v>
      </c>
      <c r="Q95" s="83">
        <f t="shared" ca="1" si="113"/>
        <v>36931.110300534085</v>
      </c>
      <c r="R95" s="83">
        <f t="shared" ca="1" si="113"/>
        <v>36537.798973434081</v>
      </c>
      <c r="S95" s="83">
        <f t="shared" ca="1" si="113"/>
        <v>36148.676358743833</v>
      </c>
      <c r="T95" s="83">
        <f t="shared" ca="1" si="113"/>
        <v>35763.697847243107</v>
      </c>
      <c r="U95" s="83">
        <f t="shared" ca="1" si="113"/>
        <v>35382.819304793724</v>
      </c>
      <c r="V95" s="83">
        <f t="shared" ca="1" si="113"/>
        <v>35005.997067280085</v>
      </c>
      <c r="W95" s="83">
        <f t="shared" ca="1" si="113"/>
        <v>34633.187935603579</v>
      </c>
      <c r="X95" s="83">
        <f t="shared" ca="1" si="113"/>
        <v>34264.349170730071</v>
      </c>
      <c r="Y95" s="83">
        <f t="shared" ca="1" si="113"/>
        <v>33899.438488790329</v>
      </c>
      <c r="Z95" s="83">
        <f t="shared" ca="1" si="113"/>
        <v>33538.414056232636</v>
      </c>
      <c r="AA95" s="83">
        <f t="shared" ca="1" si="113"/>
        <v>33181.234485027177</v>
      </c>
      <c r="AB95" s="83">
        <f t="shared" ca="1" si="113"/>
        <v>32827.858827920631</v>
      </c>
      <c r="AC95" s="83">
        <f t="shared" ca="1" si="113"/>
        <v>32478.24657374277</v>
      </c>
      <c r="AD95" s="83">
        <f t="shared" ca="1" si="113"/>
        <v>32132.35764276149</v>
      </c>
      <c r="AE95" s="83">
        <f t="shared" ca="1" si="113"/>
        <v>31790.152382088825</v>
      </c>
      <c r="AF95" s="83">
        <f t="shared" ca="1" si="113"/>
        <v>31451.591561134206</v>
      </c>
      <c r="AG95" s="83">
        <f t="shared" ca="1" si="113"/>
        <v>31116.636367108003</v>
      </c>
      <c r="AH95" s="83">
        <f t="shared" ca="1" si="113"/>
        <v>30785.24840057132</v>
      </c>
      <c r="AI95" s="83">
        <f t="shared" ca="1" si="113"/>
        <v>-188603.46649327906</v>
      </c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</row>
    <row r="96" spans="2:77" x14ac:dyDescent="0.2">
      <c r="B96" s="82" t="s">
        <v>89</v>
      </c>
      <c r="C96" s="375" t="s">
        <v>639</v>
      </c>
      <c r="D96" s="375"/>
      <c r="E96" s="83">
        <f>IF(E90&gt;=$C$97+1,(E92+E93)*(($D$95/360)*365.25),(E92+E93)*(($C$95/360)*365.25))</f>
        <v>0</v>
      </c>
      <c r="F96" s="83">
        <f>IF(F90&gt;=$C$97+1,(F92+F93)*(($D$95/360)*365.25),(F92+F93)*(($C$95/360)*365.25))</f>
        <v>0</v>
      </c>
      <c r="G96" s="83">
        <f t="shared" ref="G96:I96" si="114">IF(G90&gt;=$C$97+1,(G92+G93)*(($D$95/360)*365.25),(G92+G93)*(($C$95/360)*365.25))</f>
        <v>0</v>
      </c>
      <c r="H96" s="83">
        <f t="shared" si="114"/>
        <v>0</v>
      </c>
      <c r="I96" s="83">
        <f t="shared" si="114"/>
        <v>0</v>
      </c>
      <c r="J96" s="83">
        <f t="shared" ref="J96:AH96" ca="1" si="115">IF(J90&gt;=$C$97+1,(J92+J93)*(($D$95/360)*365.25),(J92+J93)*(($C$95/360)*365.25))</f>
        <v>246489.95922438425</v>
      </c>
      <c r="K96" s="83">
        <f t="shared" ca="1" si="115"/>
        <v>243864.87451421839</v>
      </c>
      <c r="L96" s="83">
        <f t="shared" ca="1" si="115"/>
        <v>241267.74660098346</v>
      </c>
      <c r="M96" s="83">
        <f t="shared" ca="1" si="115"/>
        <v>238698.27774857529</v>
      </c>
      <c r="N96" s="83">
        <f t="shared" ca="1" si="115"/>
        <v>236156.17339173902</v>
      </c>
      <c r="O96" s="83">
        <f t="shared" ca="1" si="115"/>
        <v>233641.14210229978</v>
      </c>
      <c r="P96" s="83">
        <f t="shared" ca="1" si="115"/>
        <v>231152.89555575338</v>
      </c>
      <c r="Q96" s="83">
        <f t="shared" ca="1" si="115"/>
        <v>228691.1484982126</v>
      </c>
      <c r="R96" s="83">
        <f t="shared" ca="1" si="115"/>
        <v>226255.61871370551</v>
      </c>
      <c r="S96" s="83">
        <f t="shared" ca="1" si="115"/>
        <v>223846.02699182206</v>
      </c>
      <c r="T96" s="83">
        <f t="shared" ca="1" si="115"/>
        <v>221462.09709570531</v>
      </c>
      <c r="U96" s="83">
        <f t="shared" ca="1" si="115"/>
        <v>219103.55573038349</v>
      </c>
      <c r="V96" s="83">
        <f t="shared" ca="1" si="115"/>
        <v>216770.13251143924</v>
      </c>
      <c r="W96" s="83">
        <f t="shared" ca="1" si="115"/>
        <v>214461.55993401265</v>
      </c>
      <c r="X96" s="83">
        <f t="shared" ca="1" si="115"/>
        <v>212177.57334213445</v>
      </c>
      <c r="Y96" s="83">
        <f t="shared" ca="1" si="115"/>
        <v>209917.9108983856</v>
      </c>
      <c r="Z96" s="83">
        <f t="shared" ca="1" si="115"/>
        <v>207682.31355388006</v>
      </c>
      <c r="AA96" s="83">
        <f t="shared" ca="1" si="115"/>
        <v>205470.52501856745</v>
      </c>
      <c r="AB96" s="83">
        <f t="shared" ca="1" si="115"/>
        <v>203282.29173185176</v>
      </c>
      <c r="AC96" s="83">
        <f t="shared" ca="1" si="115"/>
        <v>201117.36283352293</v>
      </c>
      <c r="AD96" s="83">
        <f t="shared" ca="1" si="115"/>
        <v>198975.49013499828</v>
      </c>
      <c r="AE96" s="83">
        <f t="shared" ca="1" si="115"/>
        <v>196856.42809086991</v>
      </c>
      <c r="AF96" s="83">
        <f t="shared" ca="1" si="115"/>
        <v>194759.93377075531</v>
      </c>
      <c r="AG96" s="83">
        <f t="shared" ca="1" si="115"/>
        <v>192685.7668314476</v>
      </c>
      <c r="AH96" s="83">
        <f t="shared" ca="1" si="115"/>
        <v>190633.68948936259</v>
      </c>
      <c r="AI96" s="83">
        <f ca="1">(AI92+AI93)*(($D$95/360)*365.25)</f>
        <v>188603.46649327906</v>
      </c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</row>
    <row r="97" spans="2:77" ht="13.5" thickBot="1" x14ac:dyDescent="0.25">
      <c r="B97" s="82" t="s">
        <v>91</v>
      </c>
      <c r="C97" s="470">
        <v>5</v>
      </c>
      <c r="D97" s="548"/>
      <c r="E97" s="376">
        <f t="shared" ref="E97:I97" si="116">E92-E95+E93</f>
        <v>0</v>
      </c>
      <c r="F97" s="84">
        <f t="shared" si="116"/>
        <v>0</v>
      </c>
      <c r="G97" s="84">
        <f t="shared" si="116"/>
        <v>0</v>
      </c>
      <c r="H97" s="84">
        <f t="shared" si="116"/>
        <v>0</v>
      </c>
      <c r="I97" s="84">
        <f t="shared" si="116"/>
        <v>0</v>
      </c>
      <c r="J97" s="85">
        <f t="shared" ref="J97:AI97" ca="1" si="117">J92-J95+J93</f>
        <v>3697840.4601745321</v>
      </c>
      <c r="K97" s="85">
        <f t="shared" ca="1" si="117"/>
        <v>3658458.9596737339</v>
      </c>
      <c r="L97" s="85">
        <f t="shared" ca="1" si="117"/>
        <v>3619496.866824076</v>
      </c>
      <c r="M97" s="85">
        <f t="shared" ca="1" si="117"/>
        <v>3580949.7149908296</v>
      </c>
      <c r="N97" s="85">
        <f t="shared" ca="1" si="117"/>
        <v>3542813.0851083202</v>
      </c>
      <c r="O97" s="85">
        <f t="shared" ca="1" si="117"/>
        <v>3505082.6051733252</v>
      </c>
      <c r="P97" s="85">
        <f t="shared" ca="1" si="117"/>
        <v>3467753.9497438646</v>
      </c>
      <c r="Q97" s="85">
        <f t="shared" ca="1" si="117"/>
        <v>3430822.8394433307</v>
      </c>
      <c r="R97" s="85">
        <f t="shared" ca="1" si="117"/>
        <v>3394285.0404698965</v>
      </c>
      <c r="S97" s="85">
        <f t="shared" ca="1" si="117"/>
        <v>3358136.3641111525</v>
      </c>
      <c r="T97" s="85">
        <f t="shared" ca="1" si="117"/>
        <v>3322372.6662639095</v>
      </c>
      <c r="U97" s="85">
        <f t="shared" ca="1" si="117"/>
        <v>3286989.8469591159</v>
      </c>
      <c r="V97" s="85">
        <f t="shared" ca="1" si="117"/>
        <v>3251983.8498918358</v>
      </c>
      <c r="W97" s="85">
        <f t="shared" ca="1" si="117"/>
        <v>3217350.661956232</v>
      </c>
      <c r="X97" s="85">
        <f t="shared" ca="1" si="117"/>
        <v>3183086.3127855021</v>
      </c>
      <c r="Y97" s="85">
        <f t="shared" ca="1" si="117"/>
        <v>3149186.8742967118</v>
      </c>
      <c r="Z97" s="85">
        <f t="shared" ca="1" si="117"/>
        <v>3115648.4602404791</v>
      </c>
      <c r="AA97" s="85">
        <f t="shared" ca="1" si="117"/>
        <v>3082467.2257554517</v>
      </c>
      <c r="AB97" s="85">
        <f t="shared" ca="1" si="117"/>
        <v>3049639.3669275311</v>
      </c>
      <c r="AC97" s="85">
        <f t="shared" ca="1" si="117"/>
        <v>3017161.1203537881</v>
      </c>
      <c r="AD97" s="85">
        <f t="shared" ca="1" si="117"/>
        <v>2985028.7627110267</v>
      </c>
      <c r="AE97" s="85">
        <f t="shared" ca="1" si="117"/>
        <v>2953238.6103289379</v>
      </c>
      <c r="AF97" s="85">
        <f t="shared" ca="1" si="117"/>
        <v>2921787.0187678039</v>
      </c>
      <c r="AG97" s="85">
        <f t="shared" ca="1" si="117"/>
        <v>2890670.3824006957</v>
      </c>
      <c r="AH97" s="85">
        <f t="shared" ca="1" si="117"/>
        <v>2859885.1340001244</v>
      </c>
      <c r="AI97" s="85">
        <f t="shared" ca="1" si="117"/>
        <v>3048488.6004934036</v>
      </c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</row>
    <row r="98" spans="2:77" ht="13.5" thickTop="1" x14ac:dyDescent="0.2">
      <c r="C98" s="382"/>
      <c r="D98" s="383" t="s">
        <v>5</v>
      </c>
      <c r="E98" s="384">
        <f ca="1">IFERROR(E83/(E94/12),0)</f>
        <v>0</v>
      </c>
      <c r="F98" s="384">
        <f t="shared" ref="F98:I98" ca="1" si="118">IFERROR(F83/(F94/12),0)</f>
        <v>0</v>
      </c>
      <c r="G98" s="384">
        <f t="shared" ca="1" si="118"/>
        <v>0</v>
      </c>
      <c r="H98" s="384">
        <f t="shared" ca="1" si="118"/>
        <v>0</v>
      </c>
      <c r="I98" s="384">
        <f t="shared" ca="1" si="118"/>
        <v>0</v>
      </c>
      <c r="J98" s="384">
        <f t="shared" ref="J98:K98" ca="1" si="119">J83/(J94/12)</f>
        <v>1.6611342410717282</v>
      </c>
      <c r="K98" s="384">
        <f t="shared" ca="1" si="119"/>
        <v>2.1667825386329995</v>
      </c>
      <c r="L98" s="384">
        <f ca="1">K83/(L94/12)</f>
        <v>2.190106880540585</v>
      </c>
      <c r="M98" s="384">
        <f t="shared" ref="M98:AH98" ca="1" si="120">M83/(M94/12)</f>
        <v>2.4361364281379623</v>
      </c>
      <c r="N98" s="384">
        <f t="shared" ca="1" si="120"/>
        <v>2.5752979845139432</v>
      </c>
      <c r="O98" s="384">
        <f t="shared" ca="1" si="120"/>
        <v>2.7220250465729858</v>
      </c>
      <c r="P98" s="384">
        <f t="shared" ca="1" si="120"/>
        <v>2.876718515518264</v>
      </c>
      <c r="Q98" s="384">
        <f t="shared" ca="1" si="120"/>
        <v>3.0398002364217542</v>
      </c>
      <c r="R98" s="384">
        <f t="shared" ca="1" si="120"/>
        <v>3.2117140834314934</v>
      </c>
      <c r="S98" s="384">
        <f t="shared" ca="1" si="120"/>
        <v>3.3929271009380337</v>
      </c>
      <c r="T98" s="384">
        <f t="shared" ca="1" si="120"/>
        <v>3.5839307035773968</v>
      </c>
      <c r="U98" s="384">
        <f t="shared" ca="1" si="120"/>
        <v>3.7852419380954849</v>
      </c>
      <c r="V98" s="384">
        <f t="shared" ca="1" si="120"/>
        <v>3.9974048102541921</v>
      </c>
      <c r="W98" s="384">
        <f t="shared" ca="1" si="120"/>
        <v>4.2209916801226619</v>
      </c>
      <c r="X98" s="384">
        <f t="shared" ca="1" si="120"/>
        <v>4.4566047292687303</v>
      </c>
      <c r="Y98" s="384">
        <f t="shared" ca="1" si="120"/>
        <v>4.7048775035460046</v>
      </c>
      <c r="Z98" s="384">
        <f t="shared" ca="1" si="120"/>
        <v>4.9664765353616263</v>
      </c>
      <c r="AA98" s="384">
        <f t="shared" ca="1" si="120"/>
        <v>5.2421030495091649</v>
      </c>
      <c r="AB98" s="384">
        <f t="shared" ca="1" si="120"/>
        <v>5.532494756860646</v>
      </c>
      <c r="AC98" s="384">
        <f t="shared" ca="1" si="120"/>
        <v>5.8384277404320262</v>
      </c>
      <c r="AD98" s="384">
        <f t="shared" ca="1" si="120"/>
        <v>6.1607184385681313</v>
      </c>
      <c r="AE98" s="384">
        <f t="shared" ca="1" si="120"/>
        <v>6.5002257302363908</v>
      </c>
      <c r="AF98" s="384">
        <f t="shared" ca="1" si="120"/>
        <v>6.8578531276749182</v>
      </c>
      <c r="AG98" s="384">
        <f t="shared" ca="1" si="120"/>
        <v>7.2345510819093413</v>
      </c>
      <c r="AH98" s="384">
        <f t="shared" ca="1" si="120"/>
        <v>7.6313194069358659</v>
      </c>
      <c r="AI98" s="43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</row>
    <row r="99" spans="2:77" x14ac:dyDescent="0.2">
      <c r="C99" s="74"/>
      <c r="D99" s="43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43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</row>
    <row r="100" spans="2:77" x14ac:dyDescent="0.2">
      <c r="B100" s="91" t="s">
        <v>115</v>
      </c>
      <c r="C100" s="145" t="s">
        <v>140</v>
      </c>
      <c r="D100" s="149">
        <v>6.5000000000000002E-2</v>
      </c>
      <c r="E100" s="276">
        <f t="shared" ref="E100:AH100" ca="1" si="121">(E85/$D$100)</f>
        <v>-1187666.1538461535</v>
      </c>
      <c r="F100" s="276">
        <f t="shared" ca="1" si="121"/>
        <v>218648.21538461657</v>
      </c>
      <c r="G100" s="276">
        <f t="shared" ca="1" si="121"/>
        <v>1798191.9489230767</v>
      </c>
      <c r="H100" s="276">
        <f t="shared" ca="1" si="121"/>
        <v>3502658.6672861553</v>
      </c>
      <c r="I100" s="276">
        <f t="shared" ca="1" si="121"/>
        <v>5339494.1186318761</v>
      </c>
      <c r="J100" s="276">
        <f t="shared" ca="1" si="121"/>
        <v>7316539.4192924546</v>
      </c>
      <c r="K100" s="276">
        <f t="shared" ca="1" si="121"/>
        <v>9442050.7617481947</v>
      </c>
      <c r="L100" s="276">
        <f t="shared" ca="1" si="121"/>
        <v>9933757.1600490939</v>
      </c>
      <c r="M100" s="276">
        <f t="shared" ca="1" si="121"/>
        <v>10390887.546754377</v>
      </c>
      <c r="N100" s="276">
        <f t="shared" ca="1" si="121"/>
        <v>10867472.36059772</v>
      </c>
      <c r="O100" s="276">
        <f t="shared" ca="1" si="121"/>
        <v>11364313.109456219</v>
      </c>
      <c r="P100" s="276">
        <f t="shared" ca="1" si="121"/>
        <v>11882243.827603471</v>
      </c>
      <c r="Q100" s="276">
        <f t="shared" ca="1" si="121"/>
        <v>12422132.386081701</v>
      </c>
      <c r="R100" s="276">
        <f t="shared" ca="1" si="121"/>
        <v>12984881.855675094</v>
      </c>
      <c r="S100" s="276">
        <f t="shared" ca="1" si="121"/>
        <v>13571431.924591994</v>
      </c>
      <c r="T100" s="276">
        <f t="shared" ca="1" si="121"/>
        <v>14182760.373048251</v>
      </c>
      <c r="U100" s="276">
        <f t="shared" ca="1" si="121"/>
        <v>14819884.607031517</v>
      </c>
      <c r="V100" s="276">
        <f t="shared" ca="1" si="121"/>
        <v>15483863.253617777</v>
      </c>
      <c r="W100" s="276">
        <f t="shared" ca="1" si="121"/>
        <v>16175797.820306189</v>
      </c>
      <c r="X100" s="276">
        <f t="shared" ca="1" si="121"/>
        <v>16896834.420937076</v>
      </c>
      <c r="Y100" s="276">
        <f t="shared" ca="1" si="121"/>
        <v>17648165.570860617</v>
      </c>
      <c r="Z100" s="276">
        <f t="shared" ca="1" si="121"/>
        <v>18431032.054130506</v>
      </c>
      <c r="AA100" s="276">
        <f t="shared" ca="1" si="121"/>
        <v>19246724.865608018</v>
      </c>
      <c r="AB100" s="276">
        <f t="shared" ca="1" si="121"/>
        <v>20096587.230977204</v>
      </c>
      <c r="AC100" s="276">
        <f t="shared" ca="1" si="121"/>
        <v>20982016.707792375</v>
      </c>
      <c r="AD100" s="276">
        <f t="shared" ca="1" si="121"/>
        <v>21904467.370803718</v>
      </c>
      <c r="AE100" s="276">
        <f t="shared" ca="1" si="121"/>
        <v>22865452.084936794</v>
      </c>
      <c r="AF100" s="276">
        <f t="shared" ca="1" si="121"/>
        <v>23866544.86943711</v>
      </c>
      <c r="AG100" s="276">
        <f t="shared" ca="1" si="121"/>
        <v>24909383.356831092</v>
      </c>
      <c r="AH100" s="276">
        <f t="shared" ca="1" si="121"/>
        <v>25995671.350501224</v>
      </c>
      <c r="AI100" s="277">
        <f ca="1">AI85/$D$100</f>
        <v>27127181.48482497</v>
      </c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</row>
    <row r="101" spans="2:77" x14ac:dyDescent="0.2">
      <c r="B101" s="87"/>
      <c r="C101" s="74"/>
      <c r="E101" s="367" t="str">
        <f t="shared" ref="E101:AI101" ca="1" si="122">"$/Sp="&amp;TEXT(ROUND((E100/NoOfSpaces),-2),"$0,0")</f>
        <v>$/Sp=-$8,000</v>
      </c>
      <c r="F101" s="367" t="str">
        <f t="shared" ca="1" si="122"/>
        <v>$/Sp=$1,500</v>
      </c>
      <c r="G101" s="367" t="str">
        <f t="shared" ca="1" si="122"/>
        <v>$/Sp=$12,100</v>
      </c>
      <c r="H101" s="367" t="str">
        <f t="shared" ca="1" si="122"/>
        <v>$/Sp=$23,700</v>
      </c>
      <c r="I101" s="367" t="str">
        <f t="shared" ca="1" si="122"/>
        <v>$/Sp=$36,100</v>
      </c>
      <c r="J101" s="367" t="str">
        <f t="shared" ca="1" si="122"/>
        <v>$/Sp=$49,400</v>
      </c>
      <c r="K101" s="367" t="str">
        <f t="shared" ca="1" si="122"/>
        <v>$/Sp=$63,800</v>
      </c>
      <c r="L101" s="367" t="str">
        <f t="shared" ca="1" si="122"/>
        <v>$/Sp=$67,100</v>
      </c>
      <c r="M101" s="367" t="str">
        <f t="shared" ca="1" si="122"/>
        <v>$/Sp=$70,200</v>
      </c>
      <c r="N101" s="367" t="str">
        <f t="shared" ca="1" si="122"/>
        <v>$/Sp=$73,400</v>
      </c>
      <c r="O101" s="367" t="str">
        <f t="shared" ca="1" si="122"/>
        <v>$/Sp=$76,800</v>
      </c>
      <c r="P101" s="367" t="str">
        <f t="shared" ca="1" si="122"/>
        <v>$/Sp=$80,300</v>
      </c>
      <c r="Q101" s="367" t="str">
        <f t="shared" ca="1" si="122"/>
        <v>$/Sp=$83,900</v>
      </c>
      <c r="R101" s="367" t="str">
        <f t="shared" ca="1" si="122"/>
        <v>$/Sp=$87,700</v>
      </c>
      <c r="S101" s="367" t="str">
        <f t="shared" ca="1" si="122"/>
        <v>$/Sp=$91,700</v>
      </c>
      <c r="T101" s="367" t="str">
        <f t="shared" ca="1" si="122"/>
        <v>$/Sp=$95,800</v>
      </c>
      <c r="U101" s="367" t="str">
        <f t="shared" ca="1" si="122"/>
        <v>$/Sp=$100,100</v>
      </c>
      <c r="V101" s="367" t="str">
        <f t="shared" ca="1" si="122"/>
        <v>$/Sp=$104,600</v>
      </c>
      <c r="W101" s="367" t="str">
        <f t="shared" ca="1" si="122"/>
        <v>$/Sp=$109,300</v>
      </c>
      <c r="X101" s="367" t="str">
        <f t="shared" ca="1" si="122"/>
        <v>$/Sp=$114,200</v>
      </c>
      <c r="Y101" s="367" t="str">
        <f t="shared" ca="1" si="122"/>
        <v>$/Sp=$119,200</v>
      </c>
      <c r="Z101" s="367" t="str">
        <f t="shared" ca="1" si="122"/>
        <v>$/Sp=$124,500</v>
      </c>
      <c r="AA101" s="367" t="str">
        <f t="shared" ca="1" si="122"/>
        <v>$/Sp=$130,000</v>
      </c>
      <c r="AB101" s="367" t="str">
        <f t="shared" ca="1" si="122"/>
        <v>$/Sp=$135,800</v>
      </c>
      <c r="AC101" s="367" t="str">
        <f t="shared" ca="1" si="122"/>
        <v>$/Sp=$141,800</v>
      </c>
      <c r="AD101" s="367" t="str">
        <f t="shared" ca="1" si="122"/>
        <v>$/Sp=$148,000</v>
      </c>
      <c r="AE101" s="367" t="str">
        <f t="shared" ca="1" si="122"/>
        <v>$/Sp=$154,500</v>
      </c>
      <c r="AF101" s="367" t="str">
        <f t="shared" ca="1" si="122"/>
        <v>$/Sp=$161,300</v>
      </c>
      <c r="AG101" s="367" t="str">
        <f t="shared" ca="1" si="122"/>
        <v>$/Sp=$168,300</v>
      </c>
      <c r="AH101" s="367" t="str">
        <f t="shared" ca="1" si="122"/>
        <v>$/Sp=$175,600</v>
      </c>
      <c r="AI101" s="367" t="str">
        <f t="shared" ca="1" si="122"/>
        <v>$/Sp=$183,300</v>
      </c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</row>
    <row r="102" spans="2:77" x14ac:dyDescent="0.2">
      <c r="B102" s="52" t="s">
        <v>99</v>
      </c>
      <c r="C102" s="74"/>
      <c r="E102" s="40">
        <f t="shared" ref="E102:AI102" ca="1" si="123">E85-E94</f>
        <v>-77198.299999999988</v>
      </c>
      <c r="F102" s="40">
        <f t="shared" ca="1" si="123"/>
        <v>14212.134000000078</v>
      </c>
      <c r="G102" s="40">
        <f t="shared" ca="1" si="123"/>
        <v>116882.47667999999</v>
      </c>
      <c r="H102" s="40">
        <f t="shared" ca="1" si="123"/>
        <v>227672.8133736001</v>
      </c>
      <c r="I102" s="40">
        <f t="shared" ca="1" si="123"/>
        <v>347067.11771107197</v>
      </c>
      <c r="J102" s="40">
        <f t="shared" ca="1" si="123"/>
        <v>189279.68016184418</v>
      </c>
      <c r="K102" s="40">
        <f t="shared" ca="1" si="123"/>
        <v>330486.9244986159</v>
      </c>
      <c r="L102" s="40">
        <f t="shared" ca="1" si="123"/>
        <v>365464.37595254998</v>
      </c>
      <c r="M102" s="40">
        <f t="shared" ca="1" si="123"/>
        <v>398162.26095721259</v>
      </c>
      <c r="N102" s="40">
        <f t="shared" ca="1" si="123"/>
        <v>432092.90016460331</v>
      </c>
      <c r="O102" s="40">
        <f t="shared" ca="1" si="123"/>
        <v>467308.73007735942</v>
      </c>
      <c r="P102" s="40">
        <f t="shared" ca="1" si="123"/>
        <v>503864.29780901171</v>
      </c>
      <c r="Q102" s="40">
        <f t="shared" ca="1" si="123"/>
        <v>541816.34629656398</v>
      </c>
      <c r="R102" s="40">
        <f t="shared" ca="1" si="123"/>
        <v>581223.90293174156</v>
      </c>
      <c r="S102" s="40">
        <f t="shared" ca="1" si="123"/>
        <v>622148.37174791377</v>
      </c>
      <c r="T102" s="40">
        <f t="shared" ca="1" si="123"/>
        <v>664653.62930518796</v>
      </c>
      <c r="U102" s="40">
        <f t="shared" ca="1" si="123"/>
        <v>708806.12442187138</v>
      </c>
      <c r="V102" s="40">
        <f t="shared" ca="1" si="123"/>
        <v>754674.98190643615</v>
      </c>
      <c r="W102" s="40">
        <f t="shared" ca="1" si="123"/>
        <v>802332.11045028607</v>
      </c>
      <c r="X102" s="40">
        <f t="shared" ca="1" si="123"/>
        <v>851852.31484804559</v>
      </c>
      <c r="Y102" s="40">
        <f t="shared" ca="1" si="123"/>
        <v>903313.41271876427</v>
      </c>
      <c r="Z102" s="40">
        <f t="shared" ca="1" si="123"/>
        <v>956796.35590837034</v>
      </c>
      <c r="AA102" s="40">
        <f t="shared" ca="1" si="123"/>
        <v>1012385.3567609265</v>
      </c>
      <c r="AB102" s="40">
        <f t="shared" ca="1" si="123"/>
        <v>1070168.0194537458</v>
      </c>
      <c r="AC102" s="40">
        <f t="shared" ca="1" si="123"/>
        <v>1130235.4765992388</v>
      </c>
      <c r="AD102" s="40">
        <f t="shared" ca="1" si="123"/>
        <v>1192682.5313244821</v>
      </c>
      <c r="AE102" s="40">
        <f t="shared" ca="1" si="123"/>
        <v>1257607.805047933</v>
      </c>
      <c r="AF102" s="40">
        <f t="shared" ca="1" si="123"/>
        <v>1325113.8911815227</v>
      </c>
      <c r="AG102" s="40">
        <f t="shared" ca="1" si="123"/>
        <v>1395307.5149954655</v>
      </c>
      <c r="AH102" s="40">
        <f t="shared" ca="1" si="123"/>
        <v>1468299.6998926459</v>
      </c>
      <c r="AI102" s="40">
        <f t="shared" ca="1" si="123"/>
        <v>1763266.7965136231</v>
      </c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</row>
    <row r="103" spans="2:77" x14ac:dyDescent="0.2">
      <c r="B103" s="52" t="s">
        <v>100</v>
      </c>
      <c r="C103" s="143" t="s">
        <v>138</v>
      </c>
      <c r="D103" s="151">
        <v>10000</v>
      </c>
      <c r="E103" s="278">
        <v>0</v>
      </c>
      <c r="F103" s="278">
        <v>0</v>
      </c>
      <c r="G103" s="278">
        <v>0</v>
      </c>
      <c r="H103" s="278">
        <v>0</v>
      </c>
      <c r="I103" s="278">
        <v>0</v>
      </c>
      <c r="J103" s="278">
        <v>0</v>
      </c>
      <c r="K103" s="278">
        <v>0</v>
      </c>
      <c r="L103" s="278">
        <v>0</v>
      </c>
      <c r="M103" s="278">
        <v>0</v>
      </c>
      <c r="N103" s="278">
        <v>0</v>
      </c>
      <c r="O103" s="278">
        <v>0</v>
      </c>
      <c r="P103" s="278">
        <v>0</v>
      </c>
      <c r="Q103" s="278">
        <v>0</v>
      </c>
      <c r="R103" s="278">
        <v>0</v>
      </c>
      <c r="S103" s="278">
        <v>0</v>
      </c>
      <c r="T103" s="278">
        <v>0</v>
      </c>
      <c r="U103" s="278">
        <v>0</v>
      </c>
      <c r="V103" s="278">
        <v>0</v>
      </c>
      <c r="W103" s="278">
        <v>0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8">
        <v>0</v>
      </c>
      <c r="AE103" s="278">
        <v>0</v>
      </c>
      <c r="AF103" s="278">
        <v>0</v>
      </c>
      <c r="AG103" s="278">
        <v>0</v>
      </c>
      <c r="AH103" s="278">
        <v>0</v>
      </c>
      <c r="AI103" s="278">
        <v>0</v>
      </c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</row>
    <row r="104" spans="2:77" x14ac:dyDescent="0.2">
      <c r="B104" s="52" t="s">
        <v>119</v>
      </c>
      <c r="C104" s="74"/>
      <c r="E104" s="278">
        <v>0</v>
      </c>
      <c r="F104" s="278">
        <f>E104</f>
        <v>0</v>
      </c>
      <c r="G104" s="278">
        <f t="shared" ref="G104:I104" si="124">F104</f>
        <v>0</v>
      </c>
      <c r="H104" s="278">
        <f t="shared" si="124"/>
        <v>0</v>
      </c>
      <c r="I104" s="278">
        <f t="shared" si="124"/>
        <v>0</v>
      </c>
      <c r="J104" s="278">
        <v>0</v>
      </c>
      <c r="K104" s="278">
        <v>0</v>
      </c>
      <c r="L104" s="278">
        <v>0</v>
      </c>
      <c r="M104" s="278">
        <v>0</v>
      </c>
      <c r="N104" s="278">
        <v>0</v>
      </c>
      <c r="O104" s="278">
        <v>0</v>
      </c>
      <c r="P104" s="278">
        <v>0</v>
      </c>
      <c r="Q104" s="278">
        <v>0</v>
      </c>
      <c r="R104" s="278">
        <v>0</v>
      </c>
      <c r="S104" s="278">
        <v>0</v>
      </c>
      <c r="T104" s="278">
        <v>0</v>
      </c>
      <c r="U104" s="278">
        <v>0</v>
      </c>
      <c r="V104" s="278">
        <v>0</v>
      </c>
      <c r="W104" s="278">
        <v>0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8">
        <v>0</v>
      </c>
      <c r="AE104" s="278">
        <v>0</v>
      </c>
      <c r="AF104" s="278">
        <v>0</v>
      </c>
      <c r="AG104" s="278">
        <v>0</v>
      </c>
      <c r="AH104" s="278">
        <v>0</v>
      </c>
      <c r="AI104" s="278">
        <v>0</v>
      </c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</row>
    <row r="105" spans="2:77" x14ac:dyDescent="0.2">
      <c r="B105" s="52" t="s">
        <v>120</v>
      </c>
      <c r="C105" s="74"/>
      <c r="E105" s="278">
        <v>0</v>
      </c>
      <c r="F105" s="278">
        <v>0</v>
      </c>
      <c r="G105" s="278">
        <v>0</v>
      </c>
      <c r="H105" s="278">
        <v>0</v>
      </c>
      <c r="I105" s="278">
        <v>0</v>
      </c>
      <c r="J105" s="278">
        <v>0</v>
      </c>
      <c r="K105" s="278">
        <v>0</v>
      </c>
      <c r="L105" s="278">
        <v>0</v>
      </c>
      <c r="M105" s="278">
        <v>0</v>
      </c>
      <c r="N105" s="278">
        <v>0</v>
      </c>
      <c r="O105" s="278">
        <v>0</v>
      </c>
      <c r="P105" s="278">
        <v>0</v>
      </c>
      <c r="Q105" s="278">
        <v>0</v>
      </c>
      <c r="R105" s="278">
        <v>0</v>
      </c>
      <c r="S105" s="278">
        <v>0</v>
      </c>
      <c r="T105" s="278">
        <v>0</v>
      </c>
      <c r="U105" s="278">
        <v>0</v>
      </c>
      <c r="V105" s="278">
        <v>0</v>
      </c>
      <c r="W105" s="278">
        <v>0</v>
      </c>
      <c r="X105" s="278">
        <v>0</v>
      </c>
      <c r="Y105" s="278">
        <v>0</v>
      </c>
      <c r="Z105" s="278">
        <v>0</v>
      </c>
      <c r="AA105" s="278">
        <v>0</v>
      </c>
      <c r="AB105" s="278">
        <v>0</v>
      </c>
      <c r="AC105" s="278">
        <v>0</v>
      </c>
      <c r="AD105" s="278">
        <v>0</v>
      </c>
      <c r="AE105" s="278">
        <v>0</v>
      </c>
      <c r="AF105" s="278">
        <v>0</v>
      </c>
      <c r="AG105" s="278">
        <v>0</v>
      </c>
      <c r="AH105" s="278">
        <v>0</v>
      </c>
      <c r="AI105" s="278">
        <v>0</v>
      </c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</row>
    <row r="106" spans="2:77" x14ac:dyDescent="0.2">
      <c r="B106" s="52" t="s">
        <v>346</v>
      </c>
      <c r="C106" s="74"/>
      <c r="E106" s="278">
        <v>0</v>
      </c>
      <c r="F106" s="278">
        <v>0</v>
      </c>
      <c r="G106" s="278">
        <v>0</v>
      </c>
      <c r="H106" s="278">
        <v>0</v>
      </c>
      <c r="I106" s="278">
        <v>0</v>
      </c>
      <c r="J106" s="278">
        <v>0</v>
      </c>
      <c r="K106" s="278">
        <v>0</v>
      </c>
      <c r="L106" s="278">
        <v>0</v>
      </c>
      <c r="M106" s="278">
        <v>0</v>
      </c>
      <c r="N106" s="278">
        <v>0</v>
      </c>
      <c r="O106" s="278">
        <v>0</v>
      </c>
      <c r="P106" s="278">
        <v>0</v>
      </c>
      <c r="Q106" s="278">
        <v>0</v>
      </c>
      <c r="R106" s="278">
        <v>0</v>
      </c>
      <c r="S106" s="278">
        <v>0</v>
      </c>
      <c r="T106" s="278">
        <v>0</v>
      </c>
      <c r="U106" s="278">
        <v>0</v>
      </c>
      <c r="V106" s="278">
        <v>0</v>
      </c>
      <c r="W106" s="278">
        <v>0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8">
        <v>0</v>
      </c>
      <c r="AE106" s="278">
        <v>0</v>
      </c>
      <c r="AF106" s="278">
        <v>0</v>
      </c>
      <c r="AG106" s="278">
        <v>0</v>
      </c>
      <c r="AH106" s="278">
        <v>0</v>
      </c>
      <c r="AI106" s="278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</row>
    <row r="107" spans="2:77" x14ac:dyDescent="0.2">
      <c r="B107" s="52" t="s">
        <v>134</v>
      </c>
      <c r="C107" s="74"/>
      <c r="E107" s="278">
        <v>0</v>
      </c>
      <c r="F107" s="278">
        <v>0</v>
      </c>
      <c r="G107" s="278">
        <f>+H93</f>
        <v>0</v>
      </c>
      <c r="H107" s="278">
        <f>I93</f>
        <v>0</v>
      </c>
      <c r="I107" s="278">
        <f ca="1">J93</f>
        <v>3737645.8830423132</v>
      </c>
      <c r="J107" s="278">
        <v>0</v>
      </c>
      <c r="K107" s="278">
        <v>0</v>
      </c>
      <c r="L107" s="278">
        <v>0</v>
      </c>
      <c r="M107" s="278">
        <v>0</v>
      </c>
      <c r="N107" s="278">
        <v>0</v>
      </c>
      <c r="O107" s="278">
        <v>0</v>
      </c>
      <c r="P107" s="278">
        <v>0</v>
      </c>
      <c r="Q107" s="278">
        <v>0</v>
      </c>
      <c r="R107" s="278">
        <v>0</v>
      </c>
      <c r="S107" s="278">
        <v>0</v>
      </c>
      <c r="T107" s="278">
        <v>0</v>
      </c>
      <c r="U107" s="278">
        <v>0</v>
      </c>
      <c r="V107" s="278">
        <v>0</v>
      </c>
      <c r="W107" s="278">
        <v>0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8">
        <v>0</v>
      </c>
      <c r="AE107" s="278">
        <v>0</v>
      </c>
      <c r="AF107" s="278">
        <v>0</v>
      </c>
      <c r="AG107" s="278">
        <v>0</v>
      </c>
      <c r="AH107" s="278">
        <v>0</v>
      </c>
      <c r="AI107" s="278">
        <v>0</v>
      </c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</row>
    <row r="108" spans="2:77" x14ac:dyDescent="0.2">
      <c r="B108" s="52" t="s">
        <v>103</v>
      </c>
      <c r="C108" s="74"/>
      <c r="D108" s="203"/>
      <c r="E108" s="278">
        <v>0</v>
      </c>
      <c r="F108" s="278">
        <v>0</v>
      </c>
      <c r="G108" s="278">
        <v>0</v>
      </c>
      <c r="H108" s="278">
        <v>0</v>
      </c>
      <c r="I108" s="278">
        <v>0</v>
      </c>
      <c r="J108" s="278">
        <v>0</v>
      </c>
      <c r="K108" s="278">
        <v>0</v>
      </c>
      <c r="L108" s="278">
        <v>0</v>
      </c>
      <c r="M108" s="278">
        <v>0</v>
      </c>
      <c r="N108" s="278">
        <v>0</v>
      </c>
      <c r="O108" s="278">
        <v>0</v>
      </c>
      <c r="P108" s="278">
        <v>0</v>
      </c>
      <c r="Q108" s="278">
        <v>0</v>
      </c>
      <c r="R108" s="278">
        <v>0</v>
      </c>
      <c r="S108" s="278">
        <v>0</v>
      </c>
      <c r="T108" s="278">
        <v>0</v>
      </c>
      <c r="U108" s="278">
        <v>0</v>
      </c>
      <c r="V108" s="278">
        <v>0</v>
      </c>
      <c r="W108" s="278">
        <v>0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8">
        <v>0</v>
      </c>
      <c r="AE108" s="278">
        <v>0</v>
      </c>
      <c r="AF108" s="278">
        <v>0</v>
      </c>
      <c r="AG108" s="278">
        <v>0</v>
      </c>
      <c r="AH108" s="278">
        <v>0</v>
      </c>
      <c r="AI108" s="278">
        <f ca="1">AI100-AI97</f>
        <v>24078692.884331565</v>
      </c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</row>
    <row r="109" spans="2:77" ht="13.5" thickBot="1" x14ac:dyDescent="0.25">
      <c r="B109" s="63" t="s">
        <v>102</v>
      </c>
      <c r="C109" s="89"/>
      <c r="D109" s="274">
        <f>-(C4*(1-C20)+C5)</f>
        <v>-1755849.19</v>
      </c>
      <c r="E109" s="274">
        <f t="shared" ref="E109:AI109" ca="1" si="125">SUM(E102:E108)</f>
        <v>-77198.299999999988</v>
      </c>
      <c r="F109" s="274">
        <f t="shared" ca="1" si="125"/>
        <v>14212.134000000078</v>
      </c>
      <c r="G109" s="274">
        <f t="shared" ca="1" si="125"/>
        <v>116882.47667999999</v>
      </c>
      <c r="H109" s="274">
        <f t="shared" ca="1" si="125"/>
        <v>227672.8133736001</v>
      </c>
      <c r="I109" s="274">
        <f t="shared" ca="1" si="125"/>
        <v>4084713.000753385</v>
      </c>
      <c r="J109" s="274">
        <f t="shared" ca="1" si="125"/>
        <v>189279.68016184418</v>
      </c>
      <c r="K109" s="274">
        <f t="shared" ca="1" si="125"/>
        <v>330486.9244986159</v>
      </c>
      <c r="L109" s="274">
        <f t="shared" ca="1" si="125"/>
        <v>365464.37595254998</v>
      </c>
      <c r="M109" s="274">
        <f t="shared" ca="1" si="125"/>
        <v>398162.26095721259</v>
      </c>
      <c r="N109" s="274">
        <f t="shared" ca="1" si="125"/>
        <v>432092.90016460331</v>
      </c>
      <c r="O109" s="274">
        <f t="shared" ca="1" si="125"/>
        <v>467308.73007735942</v>
      </c>
      <c r="P109" s="274">
        <f t="shared" ca="1" si="125"/>
        <v>503864.29780901171</v>
      </c>
      <c r="Q109" s="274">
        <f t="shared" ca="1" si="125"/>
        <v>541816.34629656398</v>
      </c>
      <c r="R109" s="274">
        <f t="shared" ca="1" si="125"/>
        <v>581223.90293174156</v>
      </c>
      <c r="S109" s="274">
        <f t="shared" ca="1" si="125"/>
        <v>622148.37174791377</v>
      </c>
      <c r="T109" s="274">
        <f t="shared" ca="1" si="125"/>
        <v>664653.62930518796</v>
      </c>
      <c r="U109" s="274">
        <f t="shared" ca="1" si="125"/>
        <v>708806.12442187138</v>
      </c>
      <c r="V109" s="274">
        <f t="shared" ca="1" si="125"/>
        <v>754674.98190643615</v>
      </c>
      <c r="W109" s="274">
        <f t="shared" ca="1" si="125"/>
        <v>802332.11045028607</v>
      </c>
      <c r="X109" s="274">
        <f t="shared" ca="1" si="125"/>
        <v>851852.31484804559</v>
      </c>
      <c r="Y109" s="274">
        <f t="shared" ca="1" si="125"/>
        <v>903313.41271876427</v>
      </c>
      <c r="Z109" s="274">
        <f t="shared" ca="1" si="125"/>
        <v>956796.35590837034</v>
      </c>
      <c r="AA109" s="274">
        <f t="shared" ca="1" si="125"/>
        <v>1012385.3567609265</v>
      </c>
      <c r="AB109" s="274">
        <f t="shared" ca="1" si="125"/>
        <v>1070168.0194537458</v>
      </c>
      <c r="AC109" s="274">
        <f t="shared" ca="1" si="125"/>
        <v>1130235.4765992388</v>
      </c>
      <c r="AD109" s="274">
        <f t="shared" ca="1" si="125"/>
        <v>1192682.5313244821</v>
      </c>
      <c r="AE109" s="274">
        <f t="shared" ca="1" si="125"/>
        <v>1257607.805047933</v>
      </c>
      <c r="AF109" s="274">
        <f t="shared" ca="1" si="125"/>
        <v>1325113.8911815227</v>
      </c>
      <c r="AG109" s="274">
        <f t="shared" ca="1" si="125"/>
        <v>1395307.5149954655</v>
      </c>
      <c r="AH109" s="274">
        <f t="shared" ca="1" si="125"/>
        <v>1468299.6998926459</v>
      </c>
      <c r="AI109" s="275">
        <f t="shared" ca="1" si="125"/>
        <v>25841959.68084519</v>
      </c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</row>
    <row r="110" spans="2:77" ht="13.5" thickTop="1" x14ac:dyDescent="0.2">
      <c r="B110" s="43"/>
      <c r="C110" s="43"/>
      <c r="D110" s="43"/>
      <c r="E110" s="471">
        <f t="shared" ref="E110:AI110" ca="1" si="126">E109/-$D$109</f>
        <v>-4.3966361370705184E-2</v>
      </c>
      <c r="F110" s="90">
        <f t="shared" ca="1" si="126"/>
        <v>8.0941655359365334E-3</v>
      </c>
      <c r="G110" s="90">
        <f t="shared" ca="1" si="126"/>
        <v>6.6567491869845605E-2</v>
      </c>
      <c r="H110" s="90">
        <f t="shared" ca="1" si="126"/>
        <v>0.12966535774840668</v>
      </c>
      <c r="I110" s="90">
        <f t="shared" ca="1" si="126"/>
        <v>2.3263461486424042</v>
      </c>
      <c r="J110" s="90">
        <f t="shared" ca="1" si="126"/>
        <v>0.10779950877321315</v>
      </c>
      <c r="K110" s="90">
        <f t="shared" ca="1" si="126"/>
        <v>0.18822056380514998</v>
      </c>
      <c r="L110" s="90">
        <f t="shared" ca="1" si="126"/>
        <v>0.20814109664654626</v>
      </c>
      <c r="M110" s="90">
        <f t="shared" ca="1" si="126"/>
        <v>0.22676335941881923</v>
      </c>
      <c r="N110" s="90">
        <f t="shared" ca="1" si="126"/>
        <v>0.24608770652142586</v>
      </c>
      <c r="O110" s="90">
        <f t="shared" ca="1" si="126"/>
        <v>0.266144001853234</v>
      </c>
      <c r="P110" s="90">
        <f t="shared" ca="1" si="126"/>
        <v>0.28696331135876862</v>
      </c>
      <c r="Q110" s="90">
        <f t="shared" ca="1" si="126"/>
        <v>0.30857795155890583</v>
      </c>
      <c r="R110" s="90">
        <f t="shared" ca="1" si="126"/>
        <v>0.33102154002858386</v>
      </c>
      <c r="S110" s="90">
        <f t="shared" ca="1" si="126"/>
        <v>0.3543290478995601</v>
      </c>
      <c r="T110" s="90">
        <f t="shared" ca="1" si="126"/>
        <v>0.37853685446936819</v>
      </c>
      <c r="U110" s="90">
        <f t="shared" ca="1" si="126"/>
        <v>0.40368280400087858</v>
      </c>
      <c r="V110" s="90">
        <f t="shared" ca="1" si="126"/>
        <v>0.42980626480024525</v>
      </c>
      <c r="W110" s="90">
        <f t="shared" ca="1" si="126"/>
        <v>0.45694819066453313</v>
      </c>
      <c r="X110" s="90">
        <f t="shared" ca="1" si="126"/>
        <v>0.48515118479397745</v>
      </c>
      <c r="Y110" s="90">
        <f t="shared" ca="1" si="126"/>
        <v>0.51445956626762701</v>
      </c>
      <c r="Z110" s="90">
        <f t="shared" ca="1" si="126"/>
        <v>0.54491943918507624</v>
      </c>
      <c r="AA110" s="90">
        <f t="shared" ca="1" si="126"/>
        <v>0.5765787645811008</v>
      </c>
      <c r="AB110" s="90">
        <f t="shared" ca="1" si="126"/>
        <v>0.60948743522428928</v>
      </c>
      <c r="AC110" s="90">
        <f t="shared" ca="1" si="126"/>
        <v>0.64369735341520917</v>
      </c>
      <c r="AD110" s="90">
        <f t="shared" ca="1" si="126"/>
        <v>0.67926251190427245</v>
      </c>
      <c r="AE110" s="90">
        <f t="shared" ca="1" si="126"/>
        <v>0.7162390780542679</v>
      </c>
      <c r="AF110" s="90">
        <f t="shared" ca="1" si="126"/>
        <v>0.75468548137754521</v>
      </c>
      <c r="AG110" s="90">
        <f t="shared" ca="1" si="126"/>
        <v>0.79466250458301924</v>
      </c>
      <c r="AH110" s="90">
        <f t="shared" ca="1" si="126"/>
        <v>0.83623337827358968</v>
      </c>
      <c r="AI110" s="90">
        <f t="shared" ca="1" si="126"/>
        <v>14.717641941017265</v>
      </c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</row>
    <row r="111" spans="2:77" x14ac:dyDescent="0.2">
      <c r="B111" s="38" t="s">
        <v>131</v>
      </c>
      <c r="C111" s="92">
        <f ca="1">IRR(D109:AI109)</f>
        <v>0.27447645401180165</v>
      </c>
      <c r="E111" s="41"/>
      <c r="F111" s="472" t="str">
        <f ca="1">"Cumm.= "&amp;TEXT((SUM($E110:F110)),"0.0%")</f>
        <v>Cumm.= -3.6%</v>
      </c>
      <c r="G111" s="472" t="str">
        <f ca="1">"Cumm.= "&amp;TEXT((SUM($E110:G110)),"0.0%")</f>
        <v>Cumm.= 3.1%</v>
      </c>
      <c r="H111" s="472" t="str">
        <f ca="1">"Cumm.= "&amp;TEXT((SUM($E110:H110)),"0.0%")</f>
        <v>Cumm.= 16.0%</v>
      </c>
      <c r="I111" s="472" t="str">
        <f ca="1">"Cumm.= "&amp;TEXT((SUM($E110:I110)),"0.0%")</f>
        <v>Cumm.= 248.7%</v>
      </c>
      <c r="J111" s="472" t="str">
        <f ca="1">"Cumm.= "&amp;TEXT((SUM($E110:J110)),"0.0%")</f>
        <v>Cumm.= 259.5%</v>
      </c>
      <c r="K111" s="472" t="str">
        <f ca="1">"Cumm.= "&amp;TEXT((SUM($E110:K110)),"0.0%")</f>
        <v>Cumm.= 278.3%</v>
      </c>
      <c r="L111" s="472" t="str">
        <f ca="1">"Cumm.= "&amp;TEXT((SUM($E110:L110)),"0.0%")</f>
        <v>Cumm.= 299.1%</v>
      </c>
      <c r="M111" s="472" t="str">
        <f ca="1">"Cumm.= "&amp;TEXT((SUM($E110:M110)),"0.0%")</f>
        <v>Cumm.= 321.8%</v>
      </c>
      <c r="N111" s="472" t="str">
        <f ca="1">"Cumm.= "&amp;TEXT((SUM($E110:N110)),"0.0%")</f>
        <v>Cumm.= 346.4%</v>
      </c>
      <c r="O111" s="472" t="str">
        <f ca="1">"Cumm.= "&amp;TEXT((SUM($E110:O110)),"0.0%")</f>
        <v>Cumm.= 373.0%</v>
      </c>
      <c r="P111" s="472" t="str">
        <f ca="1">"Cumm.= "&amp;TEXT((SUM($E110:P110)),"0.0%")</f>
        <v>Cumm.= 401.7%</v>
      </c>
      <c r="Q111" s="472" t="str">
        <f ca="1">"Cumm.= "&amp;TEXT((SUM($E110:Q110)),"0.0%")</f>
        <v>Cumm.= 432.5%</v>
      </c>
      <c r="R111" s="472" t="str">
        <f ca="1">"Cumm.= "&amp;TEXT((SUM($E110:R110)),"0.0%")</f>
        <v>Cumm.= 465.6%</v>
      </c>
      <c r="S111" s="472" t="str">
        <f ca="1">"Cumm.= "&amp;TEXT((SUM($E110:S110)),"0.0%")</f>
        <v>Cumm.= 501.1%</v>
      </c>
      <c r="T111" s="472" t="str">
        <f ca="1">"Cumm.= "&amp;TEXT((SUM($E110:T110)),"0.0%")</f>
        <v>Cumm.= 538.9%</v>
      </c>
      <c r="U111" s="472" t="str">
        <f ca="1">"Cumm.= "&amp;TEXT((SUM($E110:U110)),"0.0%")</f>
        <v>Cumm.= 579.3%</v>
      </c>
      <c r="V111" s="472" t="str">
        <f ca="1">"Cumm.= "&amp;TEXT((SUM($E110:V110)),"0.0%")</f>
        <v>Cumm.= 622.3%</v>
      </c>
      <c r="W111" s="472" t="str">
        <f ca="1">"Cumm.= "&amp;TEXT((SUM($E110:W110)),"0.0%")</f>
        <v>Cumm.= 668.0%</v>
      </c>
      <c r="X111" s="472" t="str">
        <f ca="1">"Cumm.= "&amp;TEXT((SUM($E110:X110)),"0.0%")</f>
        <v>Cumm.= 716.5%</v>
      </c>
      <c r="Y111" s="472" t="str">
        <f ca="1">"Cumm.= "&amp;TEXT((SUM($E110:Y110)),"0.0%")</f>
        <v>Cumm.= 767.9%</v>
      </c>
      <c r="Z111" s="472" t="str">
        <f ca="1">"Cumm.= "&amp;TEXT((SUM($E110:Z110)),"0.0%")</f>
        <v>Cumm.= 822.4%</v>
      </c>
      <c r="AA111" s="472" t="str">
        <f ca="1">"Cumm.= "&amp;TEXT((SUM($E110:AA110)),"0.0%")</f>
        <v>Cumm.= 880.1%</v>
      </c>
      <c r="AB111" s="472" t="str">
        <f ca="1">"Cumm.= "&amp;TEXT((SUM($E110:AB110)),"0.0%")</f>
        <v>Cumm.= 941.0%</v>
      </c>
      <c r="AC111" s="472" t="str">
        <f ca="1">"Cumm.= "&amp;TEXT((SUM($E110:AC110)),"0.0%")</f>
        <v>Cumm.= 1005.4%</v>
      </c>
      <c r="AD111" s="472" t="str">
        <f ca="1">"Cumm.= "&amp;TEXT((SUM($E110:AD110)),"0.0%")</f>
        <v>Cumm.= 1073.3%</v>
      </c>
      <c r="AE111" s="472" t="str">
        <f ca="1">"Cumm.= "&amp;TEXT((SUM($E110:AE110)),"0.0%")</f>
        <v>Cumm.= 1145.0%</v>
      </c>
      <c r="AF111" s="472" t="str">
        <f ca="1">"Cumm.= "&amp;TEXT((SUM($E110:AF110)),"0.0%")</f>
        <v>Cumm.= 1220.4%</v>
      </c>
      <c r="AG111" s="472" t="str">
        <f ca="1">"Cumm.= "&amp;TEXT((SUM($E110:AG110)),"0.0%")</f>
        <v>Cumm.= 1299.9%</v>
      </c>
      <c r="AH111" s="472" t="str">
        <f ca="1">"Cumm.= "&amp;TEXT((SUM($E110:AH110)),"0.0%")</f>
        <v>Cumm.= 1383.5%</v>
      </c>
      <c r="AI111" s="472" t="str">
        <f ca="1">"Cumm.= "&amp;TEXT((SUM($E110:AI110)),"0.0%")</f>
        <v>Cumm.= 2855.3%</v>
      </c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</row>
    <row r="112" spans="2:77" x14ac:dyDescent="0.2">
      <c r="B112" s="38"/>
      <c r="C112" s="74"/>
      <c r="D112" s="92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73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</row>
    <row r="113" spans="2:77" x14ac:dyDescent="0.2">
      <c r="B113" s="38" t="s">
        <v>122</v>
      </c>
      <c r="C113"/>
      <c r="D113" s="83"/>
      <c r="E113" s="83"/>
      <c r="F113" s="83"/>
      <c r="G113" s="83"/>
      <c r="H113" s="83"/>
      <c r="I113" s="83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</row>
    <row r="114" spans="2:77" x14ac:dyDescent="0.2">
      <c r="B114" s="52" t="s">
        <v>162</v>
      </c>
      <c r="C114" s="83"/>
      <c r="D114" s="83"/>
      <c r="E114" s="83"/>
      <c r="F114" s="83"/>
      <c r="G114" s="83"/>
      <c r="H114" s="83"/>
      <c r="I114" s="83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</row>
    <row r="115" spans="2:77" x14ac:dyDescent="0.2">
      <c r="B115" s="59" t="s">
        <v>87</v>
      </c>
      <c r="C115" s="37"/>
      <c r="D115" s="83"/>
      <c r="E115" s="83">
        <f>C4*(1-C20)+C5</f>
        <v>1755849.19</v>
      </c>
      <c r="F115" s="83">
        <f t="shared" ref="F115:AI115" ca="1" si="127">E118</f>
        <v>1920839.9494999999</v>
      </c>
      <c r="G115" s="83">
        <f t="shared" ca="1" si="127"/>
        <v>2002669.8129749999</v>
      </c>
      <c r="H115" s="83">
        <f t="shared" ca="1" si="127"/>
        <v>1985920.8269437498</v>
      </c>
      <c r="I115" s="83">
        <f t="shared" ca="1" si="127"/>
        <v>1857544.0549173371</v>
      </c>
      <c r="J115" s="83">
        <f t="shared" ca="1" si="127"/>
        <v>0</v>
      </c>
      <c r="K115" s="83">
        <f t="shared" ca="1" si="127"/>
        <v>0</v>
      </c>
      <c r="L115" s="83">
        <f t="shared" ca="1" si="127"/>
        <v>0</v>
      </c>
      <c r="M115" s="83">
        <f t="shared" ca="1" si="127"/>
        <v>0</v>
      </c>
      <c r="N115" s="83">
        <f t="shared" ca="1" si="127"/>
        <v>0</v>
      </c>
      <c r="O115" s="83">
        <f t="shared" ca="1" si="127"/>
        <v>0</v>
      </c>
      <c r="P115" s="83">
        <f t="shared" ca="1" si="127"/>
        <v>0</v>
      </c>
      <c r="Q115" s="83">
        <f t="shared" ca="1" si="127"/>
        <v>0</v>
      </c>
      <c r="R115" s="83">
        <f t="shared" ca="1" si="127"/>
        <v>0</v>
      </c>
      <c r="S115" s="83">
        <f t="shared" ca="1" si="127"/>
        <v>0</v>
      </c>
      <c r="T115" s="83">
        <f t="shared" ca="1" si="127"/>
        <v>0</v>
      </c>
      <c r="U115" s="83">
        <f t="shared" ca="1" si="127"/>
        <v>0</v>
      </c>
      <c r="V115" s="83">
        <f t="shared" ca="1" si="127"/>
        <v>0</v>
      </c>
      <c r="W115" s="83">
        <f t="shared" ca="1" si="127"/>
        <v>0</v>
      </c>
      <c r="X115" s="83">
        <f t="shared" ca="1" si="127"/>
        <v>0</v>
      </c>
      <c r="Y115" s="83">
        <f t="shared" ca="1" si="127"/>
        <v>0</v>
      </c>
      <c r="Z115" s="83">
        <f t="shared" ca="1" si="127"/>
        <v>0</v>
      </c>
      <c r="AA115" s="83">
        <f t="shared" ca="1" si="127"/>
        <v>0</v>
      </c>
      <c r="AB115" s="83">
        <f t="shared" ca="1" si="127"/>
        <v>0</v>
      </c>
      <c r="AC115" s="83">
        <f t="shared" ca="1" si="127"/>
        <v>0</v>
      </c>
      <c r="AD115" s="83">
        <f t="shared" ca="1" si="127"/>
        <v>0</v>
      </c>
      <c r="AE115" s="83">
        <f t="shared" ca="1" si="127"/>
        <v>0</v>
      </c>
      <c r="AF115" s="83">
        <f t="shared" ca="1" si="127"/>
        <v>0</v>
      </c>
      <c r="AG115" s="83">
        <f t="shared" ca="1" si="127"/>
        <v>0</v>
      </c>
      <c r="AH115" s="83">
        <f t="shared" ca="1" si="127"/>
        <v>0</v>
      </c>
      <c r="AI115" s="83">
        <f t="shared" ca="1" si="127"/>
        <v>0</v>
      </c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</row>
    <row r="116" spans="2:77" x14ac:dyDescent="0.2">
      <c r="B116" s="59" t="s">
        <v>104</v>
      </c>
      <c r="C116" s="37"/>
      <c r="D116" s="83"/>
      <c r="E116" s="83">
        <f>E115*$H$21</f>
        <v>87792.459499999997</v>
      </c>
      <c r="F116" s="83">
        <f t="shared" ref="F116:AI116" ca="1" si="128">F115*$H$22</f>
        <v>96041.997474999996</v>
      </c>
      <c r="G116" s="83">
        <f t="shared" ca="1" si="128"/>
        <v>100133.49064875</v>
      </c>
      <c r="H116" s="83">
        <f t="shared" ca="1" si="128"/>
        <v>99296.041347187493</v>
      </c>
      <c r="I116" s="83">
        <f t="shared" ca="1" si="128"/>
        <v>92877.20274586686</v>
      </c>
      <c r="J116" s="83">
        <f t="shared" ca="1" si="128"/>
        <v>0</v>
      </c>
      <c r="K116" s="83">
        <f t="shared" ca="1" si="128"/>
        <v>0</v>
      </c>
      <c r="L116" s="83">
        <f t="shared" ca="1" si="128"/>
        <v>0</v>
      </c>
      <c r="M116" s="83">
        <f t="shared" ca="1" si="128"/>
        <v>0</v>
      </c>
      <c r="N116" s="83">
        <f t="shared" ca="1" si="128"/>
        <v>0</v>
      </c>
      <c r="O116" s="83">
        <f t="shared" ca="1" si="128"/>
        <v>0</v>
      </c>
      <c r="P116" s="83">
        <f t="shared" ca="1" si="128"/>
        <v>0</v>
      </c>
      <c r="Q116" s="83">
        <f t="shared" ca="1" si="128"/>
        <v>0</v>
      </c>
      <c r="R116" s="83">
        <f t="shared" ca="1" si="128"/>
        <v>0</v>
      </c>
      <c r="S116" s="83">
        <f t="shared" ca="1" si="128"/>
        <v>0</v>
      </c>
      <c r="T116" s="83">
        <f t="shared" ca="1" si="128"/>
        <v>0</v>
      </c>
      <c r="U116" s="83">
        <f t="shared" ca="1" si="128"/>
        <v>0</v>
      </c>
      <c r="V116" s="83">
        <f t="shared" ca="1" si="128"/>
        <v>0</v>
      </c>
      <c r="W116" s="83">
        <f t="shared" ca="1" si="128"/>
        <v>0</v>
      </c>
      <c r="X116" s="83">
        <f t="shared" ca="1" si="128"/>
        <v>0</v>
      </c>
      <c r="Y116" s="83">
        <f t="shared" ca="1" si="128"/>
        <v>0</v>
      </c>
      <c r="Z116" s="83">
        <f t="shared" ca="1" si="128"/>
        <v>0</v>
      </c>
      <c r="AA116" s="83">
        <f t="shared" ca="1" si="128"/>
        <v>0</v>
      </c>
      <c r="AB116" s="83">
        <f t="shared" ca="1" si="128"/>
        <v>0</v>
      </c>
      <c r="AC116" s="83">
        <f t="shared" ca="1" si="128"/>
        <v>0</v>
      </c>
      <c r="AD116" s="83">
        <f t="shared" ca="1" si="128"/>
        <v>0</v>
      </c>
      <c r="AE116" s="83">
        <f t="shared" ca="1" si="128"/>
        <v>0</v>
      </c>
      <c r="AF116" s="83">
        <f t="shared" ca="1" si="128"/>
        <v>0</v>
      </c>
      <c r="AG116" s="83">
        <f t="shared" ca="1" si="128"/>
        <v>0</v>
      </c>
      <c r="AH116" s="83">
        <f t="shared" ca="1" si="128"/>
        <v>0</v>
      </c>
      <c r="AI116" s="83">
        <f t="shared" ca="1" si="128"/>
        <v>0</v>
      </c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</row>
    <row r="117" spans="2:77" x14ac:dyDescent="0.2">
      <c r="B117" s="59" t="s">
        <v>88</v>
      </c>
      <c r="C117" s="37"/>
      <c r="D117" s="83"/>
      <c r="E117" s="83">
        <f t="shared" ref="E117:N117" ca="1" si="129">MAX(-E115-E116,-E109)</f>
        <v>77198.299999999988</v>
      </c>
      <c r="F117" s="83">
        <f t="shared" ca="1" si="129"/>
        <v>-14212.134000000078</v>
      </c>
      <c r="G117" s="83">
        <f t="shared" ca="1" si="129"/>
        <v>-116882.47667999999</v>
      </c>
      <c r="H117" s="83">
        <f t="shared" ca="1" si="129"/>
        <v>-227672.8133736001</v>
      </c>
      <c r="I117" s="83">
        <f t="shared" ca="1" si="129"/>
        <v>-1950421.2576632041</v>
      </c>
      <c r="J117" s="83">
        <f t="shared" ca="1" si="129"/>
        <v>0</v>
      </c>
      <c r="K117" s="83">
        <f t="shared" ca="1" si="129"/>
        <v>0</v>
      </c>
      <c r="L117" s="83">
        <f t="shared" ca="1" si="129"/>
        <v>0</v>
      </c>
      <c r="M117" s="83">
        <f t="shared" ca="1" si="129"/>
        <v>0</v>
      </c>
      <c r="N117" s="83">
        <f t="shared" ca="1" si="129"/>
        <v>0</v>
      </c>
      <c r="O117" s="83">
        <f t="shared" ref="O117:AI117" ca="1" si="130">MAX(-O115-O116,-O109-O93)</f>
        <v>0</v>
      </c>
      <c r="P117" s="83">
        <f t="shared" ca="1" si="130"/>
        <v>0</v>
      </c>
      <c r="Q117" s="83">
        <f t="shared" ca="1" si="130"/>
        <v>0</v>
      </c>
      <c r="R117" s="83">
        <f t="shared" ca="1" si="130"/>
        <v>0</v>
      </c>
      <c r="S117" s="83">
        <f t="shared" ca="1" si="130"/>
        <v>0</v>
      </c>
      <c r="T117" s="83">
        <f t="shared" ca="1" si="130"/>
        <v>0</v>
      </c>
      <c r="U117" s="83">
        <f t="shared" ca="1" si="130"/>
        <v>0</v>
      </c>
      <c r="V117" s="83">
        <f t="shared" ca="1" si="130"/>
        <v>0</v>
      </c>
      <c r="W117" s="83">
        <f t="shared" ca="1" si="130"/>
        <v>0</v>
      </c>
      <c r="X117" s="83">
        <f t="shared" ca="1" si="130"/>
        <v>0</v>
      </c>
      <c r="Y117" s="83">
        <f t="shared" ca="1" si="130"/>
        <v>0</v>
      </c>
      <c r="Z117" s="83">
        <f t="shared" ca="1" si="130"/>
        <v>0</v>
      </c>
      <c r="AA117" s="83">
        <f t="shared" ca="1" si="130"/>
        <v>0</v>
      </c>
      <c r="AB117" s="83">
        <f t="shared" ca="1" si="130"/>
        <v>0</v>
      </c>
      <c r="AC117" s="83">
        <f t="shared" ca="1" si="130"/>
        <v>0</v>
      </c>
      <c r="AD117" s="83">
        <f t="shared" ca="1" si="130"/>
        <v>0</v>
      </c>
      <c r="AE117" s="83">
        <f t="shared" ca="1" si="130"/>
        <v>0</v>
      </c>
      <c r="AF117" s="83">
        <f t="shared" ca="1" si="130"/>
        <v>0</v>
      </c>
      <c r="AG117" s="83">
        <f t="shared" ca="1" si="130"/>
        <v>0</v>
      </c>
      <c r="AH117" s="83">
        <f t="shared" ca="1" si="130"/>
        <v>0</v>
      </c>
      <c r="AI117" s="83">
        <f t="shared" ca="1" si="130"/>
        <v>0</v>
      </c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</row>
    <row r="118" spans="2:77" x14ac:dyDescent="0.2">
      <c r="B118" s="59" t="s">
        <v>91</v>
      </c>
      <c r="C118" s="37"/>
      <c r="D118" s="83"/>
      <c r="E118" s="94">
        <f t="shared" ref="E118:AI118" ca="1" si="131">E115+E116+E117</f>
        <v>1920839.9494999999</v>
      </c>
      <c r="F118" s="94">
        <f t="shared" ca="1" si="131"/>
        <v>2002669.8129749999</v>
      </c>
      <c r="G118" s="94">
        <f t="shared" ca="1" si="131"/>
        <v>1985920.8269437498</v>
      </c>
      <c r="H118" s="94">
        <f t="shared" ca="1" si="131"/>
        <v>1857544.0549173371</v>
      </c>
      <c r="I118" s="94">
        <f t="shared" ca="1" si="131"/>
        <v>0</v>
      </c>
      <c r="J118" s="94">
        <f t="shared" ca="1" si="131"/>
        <v>0</v>
      </c>
      <c r="K118" s="94">
        <f t="shared" ca="1" si="131"/>
        <v>0</v>
      </c>
      <c r="L118" s="94">
        <f t="shared" ca="1" si="131"/>
        <v>0</v>
      </c>
      <c r="M118" s="94">
        <f t="shared" ca="1" si="131"/>
        <v>0</v>
      </c>
      <c r="N118" s="94">
        <f t="shared" ca="1" si="131"/>
        <v>0</v>
      </c>
      <c r="O118" s="94">
        <f t="shared" ca="1" si="131"/>
        <v>0</v>
      </c>
      <c r="P118" s="94">
        <f t="shared" ca="1" si="131"/>
        <v>0</v>
      </c>
      <c r="Q118" s="94">
        <f t="shared" ca="1" si="131"/>
        <v>0</v>
      </c>
      <c r="R118" s="94">
        <f t="shared" ca="1" si="131"/>
        <v>0</v>
      </c>
      <c r="S118" s="94">
        <f t="shared" ca="1" si="131"/>
        <v>0</v>
      </c>
      <c r="T118" s="94">
        <f t="shared" ca="1" si="131"/>
        <v>0</v>
      </c>
      <c r="U118" s="94">
        <f t="shared" ca="1" si="131"/>
        <v>0</v>
      </c>
      <c r="V118" s="94">
        <f t="shared" ca="1" si="131"/>
        <v>0</v>
      </c>
      <c r="W118" s="94">
        <f t="shared" ca="1" si="131"/>
        <v>0</v>
      </c>
      <c r="X118" s="94">
        <f t="shared" ca="1" si="131"/>
        <v>0</v>
      </c>
      <c r="Y118" s="94">
        <f t="shared" ca="1" si="131"/>
        <v>0</v>
      </c>
      <c r="Z118" s="94">
        <f t="shared" ca="1" si="131"/>
        <v>0</v>
      </c>
      <c r="AA118" s="94">
        <f t="shared" ca="1" si="131"/>
        <v>0</v>
      </c>
      <c r="AB118" s="94">
        <f t="shared" ca="1" si="131"/>
        <v>0</v>
      </c>
      <c r="AC118" s="94">
        <f t="shared" ca="1" si="131"/>
        <v>0</v>
      </c>
      <c r="AD118" s="94">
        <f t="shared" ca="1" si="131"/>
        <v>0</v>
      </c>
      <c r="AE118" s="94">
        <f t="shared" ca="1" si="131"/>
        <v>0</v>
      </c>
      <c r="AF118" s="94">
        <f t="shared" ca="1" si="131"/>
        <v>0</v>
      </c>
      <c r="AG118" s="94">
        <f t="shared" ca="1" si="131"/>
        <v>0</v>
      </c>
      <c r="AH118" s="94">
        <f t="shared" ca="1" si="131"/>
        <v>0</v>
      </c>
      <c r="AI118" s="127">
        <f t="shared" ca="1" si="131"/>
        <v>0</v>
      </c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</row>
    <row r="119" spans="2:77" x14ac:dyDescent="0.2">
      <c r="B119" s="82" t="s">
        <v>105</v>
      </c>
      <c r="C119" s="37"/>
      <c r="D119" s="81"/>
      <c r="E119" s="83">
        <f t="shared" ref="E119:AI119" ca="1" si="132">E109+E117</f>
        <v>0</v>
      </c>
      <c r="F119" s="83">
        <f t="shared" ca="1" si="132"/>
        <v>0</v>
      </c>
      <c r="G119" s="83">
        <f t="shared" ca="1" si="132"/>
        <v>0</v>
      </c>
      <c r="H119" s="83">
        <f t="shared" ca="1" si="132"/>
        <v>0</v>
      </c>
      <c r="I119" s="83">
        <f t="shared" ca="1" si="132"/>
        <v>2134291.7430901807</v>
      </c>
      <c r="J119" s="83">
        <f t="shared" ca="1" si="132"/>
        <v>189279.68016184418</v>
      </c>
      <c r="K119" s="83">
        <f t="shared" ca="1" si="132"/>
        <v>330486.9244986159</v>
      </c>
      <c r="L119" s="83">
        <f t="shared" ca="1" si="132"/>
        <v>365464.37595254998</v>
      </c>
      <c r="M119" s="83">
        <f t="shared" ca="1" si="132"/>
        <v>398162.26095721259</v>
      </c>
      <c r="N119" s="83">
        <f t="shared" ca="1" si="132"/>
        <v>432092.90016460331</v>
      </c>
      <c r="O119" s="83">
        <f t="shared" ca="1" si="132"/>
        <v>467308.73007735942</v>
      </c>
      <c r="P119" s="83">
        <f t="shared" ca="1" si="132"/>
        <v>503864.29780901171</v>
      </c>
      <c r="Q119" s="83">
        <f t="shared" ca="1" si="132"/>
        <v>541816.34629656398</v>
      </c>
      <c r="R119" s="83">
        <f t="shared" ca="1" si="132"/>
        <v>581223.90293174156</v>
      </c>
      <c r="S119" s="83">
        <f t="shared" ca="1" si="132"/>
        <v>622148.37174791377</v>
      </c>
      <c r="T119" s="83">
        <f t="shared" ca="1" si="132"/>
        <v>664653.62930518796</v>
      </c>
      <c r="U119" s="83">
        <f t="shared" ca="1" si="132"/>
        <v>708806.12442187138</v>
      </c>
      <c r="V119" s="83">
        <f t="shared" ca="1" si="132"/>
        <v>754674.98190643615</v>
      </c>
      <c r="W119" s="83">
        <f t="shared" ca="1" si="132"/>
        <v>802332.11045028607</v>
      </c>
      <c r="X119" s="83">
        <f t="shared" ca="1" si="132"/>
        <v>851852.31484804559</v>
      </c>
      <c r="Y119" s="83">
        <f t="shared" ca="1" si="132"/>
        <v>903313.41271876427</v>
      </c>
      <c r="Z119" s="83">
        <f t="shared" ca="1" si="132"/>
        <v>956796.35590837034</v>
      </c>
      <c r="AA119" s="83">
        <f t="shared" ca="1" si="132"/>
        <v>1012385.3567609265</v>
      </c>
      <c r="AB119" s="83">
        <f t="shared" ca="1" si="132"/>
        <v>1070168.0194537458</v>
      </c>
      <c r="AC119" s="83">
        <f t="shared" ca="1" si="132"/>
        <v>1130235.4765992388</v>
      </c>
      <c r="AD119" s="83">
        <f t="shared" ca="1" si="132"/>
        <v>1192682.5313244821</v>
      </c>
      <c r="AE119" s="83">
        <f t="shared" ca="1" si="132"/>
        <v>1257607.805047933</v>
      </c>
      <c r="AF119" s="83">
        <f t="shared" ca="1" si="132"/>
        <v>1325113.8911815227</v>
      </c>
      <c r="AG119" s="83">
        <f t="shared" ca="1" si="132"/>
        <v>1395307.5149954655</v>
      </c>
      <c r="AH119" s="83">
        <f t="shared" ca="1" si="132"/>
        <v>1468299.6998926459</v>
      </c>
      <c r="AI119" s="83">
        <f t="shared" ca="1" si="132"/>
        <v>25841959.68084519</v>
      </c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</row>
    <row r="120" spans="2:77" x14ac:dyDescent="0.2">
      <c r="B120" s="98" t="s">
        <v>106</v>
      </c>
      <c r="C120" s="37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</row>
    <row r="121" spans="2:77" x14ac:dyDescent="0.2">
      <c r="B121" s="99" t="s">
        <v>163</v>
      </c>
      <c r="C121" s="37"/>
      <c r="D121" s="83"/>
      <c r="E121" s="83">
        <f t="shared" ref="E121:AI121" ca="1" si="133">E119*$H$19</f>
        <v>0</v>
      </c>
      <c r="F121" s="83">
        <f t="shared" ca="1" si="133"/>
        <v>0</v>
      </c>
      <c r="G121" s="83">
        <f t="shared" ca="1" si="133"/>
        <v>0</v>
      </c>
      <c r="H121" s="83">
        <f t="shared" ca="1" si="133"/>
        <v>0</v>
      </c>
      <c r="I121" s="83">
        <f t="shared" ca="1" si="133"/>
        <v>1067145.8715450903</v>
      </c>
      <c r="J121" s="83">
        <f t="shared" ca="1" si="133"/>
        <v>94639.840080922091</v>
      </c>
      <c r="K121" s="83">
        <f t="shared" ca="1" si="133"/>
        <v>165243.46224930795</v>
      </c>
      <c r="L121" s="83">
        <f t="shared" ca="1" si="133"/>
        <v>182732.18797627499</v>
      </c>
      <c r="M121" s="83">
        <f t="shared" ca="1" si="133"/>
        <v>199081.1304786063</v>
      </c>
      <c r="N121" s="83">
        <f t="shared" ca="1" si="133"/>
        <v>216046.45008230166</v>
      </c>
      <c r="O121" s="83">
        <f t="shared" ca="1" si="133"/>
        <v>233654.36503867971</v>
      </c>
      <c r="P121" s="83">
        <f t="shared" ca="1" si="133"/>
        <v>251932.14890450586</v>
      </c>
      <c r="Q121" s="83">
        <f t="shared" ca="1" si="133"/>
        <v>270908.17314828199</v>
      </c>
      <c r="R121" s="83">
        <f t="shared" ca="1" si="133"/>
        <v>290611.95146587078</v>
      </c>
      <c r="S121" s="83">
        <f t="shared" ca="1" si="133"/>
        <v>311074.18587395689</v>
      </c>
      <c r="T121" s="83">
        <f t="shared" ca="1" si="133"/>
        <v>332326.81465259398</v>
      </c>
      <c r="U121" s="83">
        <f t="shared" ca="1" si="133"/>
        <v>354403.06221093569</v>
      </c>
      <c r="V121" s="83">
        <f t="shared" ca="1" si="133"/>
        <v>377337.49095321808</v>
      </c>
      <c r="W121" s="83">
        <f t="shared" ca="1" si="133"/>
        <v>401166.05522514303</v>
      </c>
      <c r="X121" s="83">
        <f t="shared" ca="1" si="133"/>
        <v>425926.15742402279</v>
      </c>
      <c r="Y121" s="83">
        <f t="shared" ca="1" si="133"/>
        <v>451656.70635938214</v>
      </c>
      <c r="Z121" s="83">
        <f t="shared" ca="1" si="133"/>
        <v>478398.17795418517</v>
      </c>
      <c r="AA121" s="83">
        <f t="shared" ca="1" si="133"/>
        <v>506192.67838046327</v>
      </c>
      <c r="AB121" s="83">
        <f t="shared" ca="1" si="133"/>
        <v>535084.0097268729</v>
      </c>
      <c r="AC121" s="83">
        <f t="shared" ca="1" si="133"/>
        <v>565117.73829961941</v>
      </c>
      <c r="AD121" s="83">
        <f t="shared" ca="1" si="133"/>
        <v>596341.26566224103</v>
      </c>
      <c r="AE121" s="83">
        <f t="shared" ca="1" si="133"/>
        <v>628803.90252396651</v>
      </c>
      <c r="AF121" s="83">
        <f t="shared" ca="1" si="133"/>
        <v>662556.94559076137</v>
      </c>
      <c r="AG121" s="83">
        <f t="shared" ca="1" si="133"/>
        <v>697653.75749773276</v>
      </c>
      <c r="AH121" s="83">
        <f t="shared" ca="1" si="133"/>
        <v>734149.84994632297</v>
      </c>
      <c r="AI121" s="83">
        <f t="shared" ca="1" si="133"/>
        <v>12920979.840422595</v>
      </c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</row>
    <row r="122" spans="2:77" x14ac:dyDescent="0.2">
      <c r="B122" s="99" t="s">
        <v>48</v>
      </c>
      <c r="C122" s="37"/>
      <c r="D122" s="83"/>
      <c r="E122" s="83">
        <f t="shared" ref="E122:AI122" ca="1" si="134">E119*$H$20</f>
        <v>0</v>
      </c>
      <c r="F122" s="83">
        <f t="shared" ca="1" si="134"/>
        <v>0</v>
      </c>
      <c r="G122" s="83">
        <f t="shared" ca="1" si="134"/>
        <v>0</v>
      </c>
      <c r="H122" s="83">
        <f t="shared" ca="1" si="134"/>
        <v>0</v>
      </c>
      <c r="I122" s="83">
        <f t="shared" ca="1" si="134"/>
        <v>1067145.8715450903</v>
      </c>
      <c r="J122" s="83">
        <f t="shared" ca="1" si="134"/>
        <v>94639.840080922091</v>
      </c>
      <c r="K122" s="83">
        <f t="shared" ca="1" si="134"/>
        <v>165243.46224930795</v>
      </c>
      <c r="L122" s="83">
        <f t="shared" ca="1" si="134"/>
        <v>182732.18797627499</v>
      </c>
      <c r="M122" s="83">
        <f t="shared" ca="1" si="134"/>
        <v>199081.1304786063</v>
      </c>
      <c r="N122" s="83">
        <f t="shared" ca="1" si="134"/>
        <v>216046.45008230166</v>
      </c>
      <c r="O122" s="83">
        <f t="shared" ca="1" si="134"/>
        <v>233654.36503867971</v>
      </c>
      <c r="P122" s="83">
        <f t="shared" ca="1" si="134"/>
        <v>251932.14890450586</v>
      </c>
      <c r="Q122" s="83">
        <f t="shared" ca="1" si="134"/>
        <v>270908.17314828199</v>
      </c>
      <c r="R122" s="83">
        <f t="shared" ca="1" si="134"/>
        <v>290611.95146587078</v>
      </c>
      <c r="S122" s="83">
        <f t="shared" ca="1" si="134"/>
        <v>311074.18587395689</v>
      </c>
      <c r="T122" s="83">
        <f t="shared" ca="1" si="134"/>
        <v>332326.81465259398</v>
      </c>
      <c r="U122" s="83">
        <f t="shared" ca="1" si="134"/>
        <v>354403.06221093569</v>
      </c>
      <c r="V122" s="83">
        <f t="shared" ca="1" si="134"/>
        <v>377337.49095321808</v>
      </c>
      <c r="W122" s="83">
        <f t="shared" ca="1" si="134"/>
        <v>401166.05522514303</v>
      </c>
      <c r="X122" s="83">
        <f t="shared" ca="1" si="134"/>
        <v>425926.15742402279</v>
      </c>
      <c r="Y122" s="83">
        <f t="shared" ca="1" si="134"/>
        <v>451656.70635938214</v>
      </c>
      <c r="Z122" s="83">
        <f t="shared" ca="1" si="134"/>
        <v>478398.17795418517</v>
      </c>
      <c r="AA122" s="83">
        <f t="shared" ca="1" si="134"/>
        <v>506192.67838046327</v>
      </c>
      <c r="AB122" s="83">
        <f t="shared" ca="1" si="134"/>
        <v>535084.0097268729</v>
      </c>
      <c r="AC122" s="83">
        <f t="shared" ca="1" si="134"/>
        <v>565117.73829961941</v>
      </c>
      <c r="AD122" s="83">
        <f t="shared" ca="1" si="134"/>
        <v>596341.26566224103</v>
      </c>
      <c r="AE122" s="83">
        <f t="shared" ca="1" si="134"/>
        <v>628803.90252396651</v>
      </c>
      <c r="AF122" s="83">
        <f t="shared" ca="1" si="134"/>
        <v>662556.94559076137</v>
      </c>
      <c r="AG122" s="83">
        <f t="shared" ca="1" si="134"/>
        <v>697653.75749773276</v>
      </c>
      <c r="AH122" s="83">
        <f t="shared" ca="1" si="134"/>
        <v>734149.84994632297</v>
      </c>
      <c r="AI122" s="83">
        <f t="shared" ca="1" si="134"/>
        <v>12920979.840422595</v>
      </c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</row>
    <row r="123" spans="2:77" x14ac:dyDescent="0.2">
      <c r="B123" s="98" t="s">
        <v>22</v>
      </c>
      <c r="C123" s="37"/>
      <c r="D12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</row>
    <row r="124" spans="2:77" x14ac:dyDescent="0.2">
      <c r="B124" s="99" t="s">
        <v>163</v>
      </c>
      <c r="C124" s="102">
        <f ca="1">SUM(D124:AI124)</f>
        <v>24427305.411390658</v>
      </c>
      <c r="D124" s="95">
        <f>D109</f>
        <v>-1755849.19</v>
      </c>
      <c r="E124" s="83">
        <f t="shared" ref="E124:AI124" ca="1" si="135">-E117+E121</f>
        <v>-77198.299999999988</v>
      </c>
      <c r="F124" s="83">
        <f t="shared" ca="1" si="135"/>
        <v>14212.134000000078</v>
      </c>
      <c r="G124" s="83">
        <f t="shared" ca="1" si="135"/>
        <v>116882.47667999999</v>
      </c>
      <c r="H124" s="83">
        <f t="shared" ca="1" si="135"/>
        <v>227672.8133736001</v>
      </c>
      <c r="I124" s="83">
        <f t="shared" ca="1" si="135"/>
        <v>3017567.1292082947</v>
      </c>
      <c r="J124" s="83">
        <f t="shared" ca="1" si="135"/>
        <v>94639.840080922091</v>
      </c>
      <c r="K124" s="83">
        <f t="shared" ca="1" si="135"/>
        <v>165243.46224930795</v>
      </c>
      <c r="L124" s="83">
        <f t="shared" ca="1" si="135"/>
        <v>182732.18797627499</v>
      </c>
      <c r="M124" s="83">
        <f t="shared" ca="1" si="135"/>
        <v>199081.1304786063</v>
      </c>
      <c r="N124" s="83">
        <f t="shared" ca="1" si="135"/>
        <v>216046.45008230166</v>
      </c>
      <c r="O124" s="83">
        <f t="shared" ca="1" si="135"/>
        <v>233654.36503867971</v>
      </c>
      <c r="P124" s="83">
        <f t="shared" ca="1" si="135"/>
        <v>251932.14890450586</v>
      </c>
      <c r="Q124" s="83">
        <f t="shared" ca="1" si="135"/>
        <v>270908.17314828199</v>
      </c>
      <c r="R124" s="83">
        <f t="shared" ca="1" si="135"/>
        <v>290611.95146587078</v>
      </c>
      <c r="S124" s="83">
        <f t="shared" ca="1" si="135"/>
        <v>311074.18587395689</v>
      </c>
      <c r="T124" s="83">
        <f t="shared" ca="1" si="135"/>
        <v>332326.81465259398</v>
      </c>
      <c r="U124" s="83">
        <f t="shared" ca="1" si="135"/>
        <v>354403.06221093569</v>
      </c>
      <c r="V124" s="83">
        <f t="shared" ca="1" si="135"/>
        <v>377337.49095321808</v>
      </c>
      <c r="W124" s="83">
        <f t="shared" ca="1" si="135"/>
        <v>401166.05522514303</v>
      </c>
      <c r="X124" s="83">
        <f t="shared" ca="1" si="135"/>
        <v>425926.15742402279</v>
      </c>
      <c r="Y124" s="83">
        <f t="shared" ca="1" si="135"/>
        <v>451656.70635938214</v>
      </c>
      <c r="Z124" s="83">
        <f t="shared" ca="1" si="135"/>
        <v>478398.17795418517</v>
      </c>
      <c r="AA124" s="83">
        <f t="shared" ca="1" si="135"/>
        <v>506192.67838046327</v>
      </c>
      <c r="AB124" s="83">
        <f t="shared" ca="1" si="135"/>
        <v>535084.0097268729</v>
      </c>
      <c r="AC124" s="83">
        <f t="shared" ca="1" si="135"/>
        <v>565117.73829961941</v>
      </c>
      <c r="AD124" s="83">
        <f t="shared" ca="1" si="135"/>
        <v>596341.26566224103</v>
      </c>
      <c r="AE124" s="83">
        <f t="shared" ca="1" si="135"/>
        <v>628803.90252396651</v>
      </c>
      <c r="AF124" s="83">
        <f t="shared" ca="1" si="135"/>
        <v>662556.94559076137</v>
      </c>
      <c r="AG124" s="83">
        <f t="shared" ca="1" si="135"/>
        <v>697653.75749773276</v>
      </c>
      <c r="AH124" s="83">
        <f t="shared" ca="1" si="135"/>
        <v>734149.84994632297</v>
      </c>
      <c r="AI124" s="83">
        <f t="shared" ca="1" si="135"/>
        <v>12920979.840422595</v>
      </c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</row>
    <row r="125" spans="2:77" x14ac:dyDescent="0.2">
      <c r="B125" s="99" t="s">
        <v>48</v>
      </c>
      <c r="C125" s="102">
        <f ca="1">SUM(D125:AI125)</f>
        <v>23951164.219673853</v>
      </c>
      <c r="D125" s="95">
        <v>0</v>
      </c>
      <c r="E125" s="83">
        <f t="shared" ref="E125:AI125" ca="1" si="136">E122</f>
        <v>0</v>
      </c>
      <c r="F125" s="83">
        <f t="shared" ca="1" si="136"/>
        <v>0</v>
      </c>
      <c r="G125" s="83">
        <f t="shared" ca="1" si="136"/>
        <v>0</v>
      </c>
      <c r="H125" s="83">
        <f t="shared" ca="1" si="136"/>
        <v>0</v>
      </c>
      <c r="I125" s="83">
        <f t="shared" ca="1" si="136"/>
        <v>1067145.8715450903</v>
      </c>
      <c r="J125" s="83">
        <f t="shared" ca="1" si="136"/>
        <v>94639.840080922091</v>
      </c>
      <c r="K125" s="83">
        <f t="shared" ca="1" si="136"/>
        <v>165243.46224930795</v>
      </c>
      <c r="L125" s="83">
        <f t="shared" ca="1" si="136"/>
        <v>182732.18797627499</v>
      </c>
      <c r="M125" s="83">
        <f t="shared" ca="1" si="136"/>
        <v>199081.1304786063</v>
      </c>
      <c r="N125" s="83">
        <f t="shared" ca="1" si="136"/>
        <v>216046.45008230166</v>
      </c>
      <c r="O125" s="83">
        <f t="shared" ca="1" si="136"/>
        <v>233654.36503867971</v>
      </c>
      <c r="P125" s="83">
        <f t="shared" ca="1" si="136"/>
        <v>251932.14890450586</v>
      </c>
      <c r="Q125" s="83">
        <f t="shared" ca="1" si="136"/>
        <v>270908.17314828199</v>
      </c>
      <c r="R125" s="83">
        <f t="shared" ca="1" si="136"/>
        <v>290611.95146587078</v>
      </c>
      <c r="S125" s="83">
        <f t="shared" ca="1" si="136"/>
        <v>311074.18587395689</v>
      </c>
      <c r="T125" s="83">
        <f t="shared" ca="1" si="136"/>
        <v>332326.81465259398</v>
      </c>
      <c r="U125" s="83">
        <f t="shared" ca="1" si="136"/>
        <v>354403.06221093569</v>
      </c>
      <c r="V125" s="83">
        <f t="shared" ca="1" si="136"/>
        <v>377337.49095321808</v>
      </c>
      <c r="W125" s="83">
        <f t="shared" ca="1" si="136"/>
        <v>401166.05522514303</v>
      </c>
      <c r="X125" s="83">
        <f t="shared" ca="1" si="136"/>
        <v>425926.15742402279</v>
      </c>
      <c r="Y125" s="83">
        <f t="shared" ca="1" si="136"/>
        <v>451656.70635938214</v>
      </c>
      <c r="Z125" s="83">
        <f t="shared" ca="1" si="136"/>
        <v>478398.17795418517</v>
      </c>
      <c r="AA125" s="83">
        <f t="shared" ca="1" si="136"/>
        <v>506192.67838046327</v>
      </c>
      <c r="AB125" s="83">
        <f t="shared" ca="1" si="136"/>
        <v>535084.0097268729</v>
      </c>
      <c r="AC125" s="83">
        <f t="shared" ca="1" si="136"/>
        <v>565117.73829961941</v>
      </c>
      <c r="AD125" s="83">
        <f t="shared" ca="1" si="136"/>
        <v>596341.26566224103</v>
      </c>
      <c r="AE125" s="83">
        <f t="shared" ca="1" si="136"/>
        <v>628803.90252396651</v>
      </c>
      <c r="AF125" s="83">
        <f t="shared" ca="1" si="136"/>
        <v>662556.94559076137</v>
      </c>
      <c r="AG125" s="83">
        <f t="shared" ca="1" si="136"/>
        <v>697653.75749773276</v>
      </c>
      <c r="AH125" s="83">
        <f t="shared" ca="1" si="136"/>
        <v>734149.84994632297</v>
      </c>
      <c r="AI125" s="83">
        <f t="shared" ca="1" si="136"/>
        <v>12920979.840422595</v>
      </c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</row>
    <row r="126" spans="2:77" ht="15" x14ac:dyDescent="0.25">
      <c r="B126" s="230" t="s">
        <v>193</v>
      </c>
      <c r="C126" s="227"/>
      <c r="D126" s="229">
        <f t="shared" ref="D126" si="137">SUM(D124:D125)</f>
        <v>-1755849.19</v>
      </c>
      <c r="E126" s="231">
        <f t="shared" ref="E126:AI126" ca="1" si="138">SUM(E124:E125)</f>
        <v>-77198.299999999988</v>
      </c>
      <c r="F126" s="231">
        <f t="shared" ca="1" si="138"/>
        <v>14212.134000000078</v>
      </c>
      <c r="G126" s="231">
        <f t="shared" ca="1" si="138"/>
        <v>116882.47667999999</v>
      </c>
      <c r="H126" s="231">
        <f t="shared" ca="1" si="138"/>
        <v>227672.8133736001</v>
      </c>
      <c r="I126" s="231">
        <f t="shared" ca="1" si="138"/>
        <v>4084713.000753385</v>
      </c>
      <c r="J126" s="231">
        <f t="shared" ca="1" si="138"/>
        <v>189279.68016184418</v>
      </c>
      <c r="K126" s="231">
        <f t="shared" ca="1" si="138"/>
        <v>330486.9244986159</v>
      </c>
      <c r="L126" s="231">
        <f t="shared" ca="1" si="138"/>
        <v>365464.37595254998</v>
      </c>
      <c r="M126" s="231">
        <f t="shared" ca="1" si="138"/>
        <v>398162.26095721259</v>
      </c>
      <c r="N126" s="231">
        <f t="shared" ca="1" si="138"/>
        <v>432092.90016460331</v>
      </c>
      <c r="O126" s="231">
        <f t="shared" ca="1" si="138"/>
        <v>467308.73007735942</v>
      </c>
      <c r="P126" s="231">
        <f t="shared" ca="1" si="138"/>
        <v>503864.29780901171</v>
      </c>
      <c r="Q126" s="231">
        <f t="shared" ca="1" si="138"/>
        <v>541816.34629656398</v>
      </c>
      <c r="R126" s="231">
        <f t="shared" ca="1" si="138"/>
        <v>581223.90293174156</v>
      </c>
      <c r="S126" s="231">
        <f t="shared" ca="1" si="138"/>
        <v>622148.37174791377</v>
      </c>
      <c r="T126" s="231">
        <f t="shared" ca="1" si="138"/>
        <v>664653.62930518796</v>
      </c>
      <c r="U126" s="231">
        <f t="shared" ca="1" si="138"/>
        <v>708806.12442187138</v>
      </c>
      <c r="V126" s="231">
        <f t="shared" ca="1" si="138"/>
        <v>754674.98190643615</v>
      </c>
      <c r="W126" s="231">
        <f t="shared" ca="1" si="138"/>
        <v>802332.11045028607</v>
      </c>
      <c r="X126" s="231">
        <f t="shared" ca="1" si="138"/>
        <v>851852.31484804559</v>
      </c>
      <c r="Y126" s="231">
        <f t="shared" ca="1" si="138"/>
        <v>903313.41271876427</v>
      </c>
      <c r="Z126" s="231">
        <f t="shared" ca="1" si="138"/>
        <v>956796.35590837034</v>
      </c>
      <c r="AA126" s="231">
        <f t="shared" ca="1" si="138"/>
        <v>1012385.3567609265</v>
      </c>
      <c r="AB126" s="231">
        <f t="shared" ca="1" si="138"/>
        <v>1070168.0194537458</v>
      </c>
      <c r="AC126" s="231">
        <f t="shared" ca="1" si="138"/>
        <v>1130235.4765992388</v>
      </c>
      <c r="AD126" s="231">
        <f t="shared" ca="1" si="138"/>
        <v>1192682.5313244821</v>
      </c>
      <c r="AE126" s="231">
        <f t="shared" ca="1" si="138"/>
        <v>1257607.805047933</v>
      </c>
      <c r="AF126" s="231">
        <f t="shared" ca="1" si="138"/>
        <v>1325113.8911815227</v>
      </c>
      <c r="AG126" s="231">
        <f t="shared" ca="1" si="138"/>
        <v>1395307.5149954655</v>
      </c>
      <c r="AH126" s="231">
        <f t="shared" ca="1" si="138"/>
        <v>1468299.6998926459</v>
      </c>
      <c r="AI126" s="231">
        <f t="shared" ca="1" si="138"/>
        <v>25841959.68084519</v>
      </c>
    </row>
    <row r="127" spans="2:77" s="130" customFormat="1" ht="12" x14ac:dyDescent="0.2">
      <c r="B127" s="36" t="s">
        <v>130</v>
      </c>
      <c r="C127" s="100"/>
      <c r="D127" s="101"/>
      <c r="E127" s="90">
        <f t="shared" ref="E127:AI127" ca="1" si="139">E124/-$D$124</f>
        <v>-4.3966361370705184E-2</v>
      </c>
      <c r="F127" s="90">
        <f t="shared" ca="1" si="139"/>
        <v>8.0941655359365334E-3</v>
      </c>
      <c r="G127" s="90">
        <f t="shared" ca="1" si="139"/>
        <v>6.6567491869845605E-2</v>
      </c>
      <c r="H127" s="90">
        <f t="shared" ca="1" si="139"/>
        <v>0.12966535774840668</v>
      </c>
      <c r="I127" s="90">
        <f t="shared" ca="1" si="139"/>
        <v>1.7185799021886925</v>
      </c>
      <c r="J127" s="90">
        <f t="shared" ca="1" si="139"/>
        <v>5.3899754386606574E-2</v>
      </c>
      <c r="K127" s="90">
        <f t="shared" ca="1" si="139"/>
        <v>9.4110281902574991E-2</v>
      </c>
      <c r="L127" s="90">
        <f t="shared" ca="1" si="139"/>
        <v>0.10407054832327313</v>
      </c>
      <c r="M127" s="90">
        <f t="shared" ca="1" si="139"/>
        <v>0.11338167970940961</v>
      </c>
      <c r="N127" s="90">
        <f t="shared" ca="1" si="139"/>
        <v>0.12304385326071293</v>
      </c>
      <c r="O127" s="90">
        <f t="shared" ca="1" si="139"/>
        <v>0.133072000926617</v>
      </c>
      <c r="P127" s="90">
        <f t="shared" ca="1" si="139"/>
        <v>0.14348165567938431</v>
      </c>
      <c r="Q127" s="90">
        <f t="shared" ca="1" si="139"/>
        <v>0.15428897577945291</v>
      </c>
      <c r="R127" s="90">
        <f t="shared" ca="1" si="139"/>
        <v>0.16551077001429193</v>
      </c>
      <c r="S127" s="90">
        <f t="shared" ca="1" si="139"/>
        <v>0.17716452394978005</v>
      </c>
      <c r="T127" s="90">
        <f t="shared" ca="1" si="139"/>
        <v>0.18926842723468409</v>
      </c>
      <c r="U127" s="90">
        <f t="shared" ca="1" si="139"/>
        <v>0.20184140200043929</v>
      </c>
      <c r="V127" s="90">
        <f t="shared" ca="1" si="139"/>
        <v>0.21490313240012263</v>
      </c>
      <c r="W127" s="90">
        <f t="shared" ca="1" si="139"/>
        <v>0.22847409533226656</v>
      </c>
      <c r="X127" s="90">
        <f t="shared" ca="1" si="139"/>
        <v>0.24257559239698873</v>
      </c>
      <c r="Y127" s="90">
        <f t="shared" ca="1" si="139"/>
        <v>0.25722978313381351</v>
      </c>
      <c r="Z127" s="90">
        <f t="shared" ca="1" si="139"/>
        <v>0.27245971959253812</v>
      </c>
      <c r="AA127" s="90">
        <f t="shared" ca="1" si="139"/>
        <v>0.2882893822905504</v>
      </c>
      <c r="AB127" s="90">
        <f t="shared" ca="1" si="139"/>
        <v>0.30474371761214464</v>
      </c>
      <c r="AC127" s="90">
        <f t="shared" ca="1" si="139"/>
        <v>0.32184867670760459</v>
      </c>
      <c r="AD127" s="90">
        <f t="shared" ca="1" si="139"/>
        <v>0.33963125595213622</v>
      </c>
      <c r="AE127" s="90">
        <f t="shared" ca="1" si="139"/>
        <v>0.35811953902713395</v>
      </c>
      <c r="AF127" s="90">
        <f t="shared" ca="1" si="139"/>
        <v>0.3773427406887726</v>
      </c>
      <c r="AG127" s="90">
        <f t="shared" ca="1" si="139"/>
        <v>0.39733125229150962</v>
      </c>
      <c r="AH127" s="90">
        <f t="shared" ca="1" si="139"/>
        <v>0.41811668913679484</v>
      </c>
      <c r="AI127" s="90">
        <f t="shared" ca="1" si="139"/>
        <v>7.3588209705086323</v>
      </c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29"/>
      <c r="BY127" s="129"/>
    </row>
    <row r="128" spans="2:77" x14ac:dyDescent="0.2">
      <c r="B128" s="38" t="s">
        <v>164</v>
      </c>
      <c r="C128" s="92">
        <f ca="1">IRR(D124:AI124)</f>
        <v>0.20693334051628942</v>
      </c>
      <c r="E128" s="41"/>
      <c r="F128" s="472" t="str">
        <f ca="1">"Cumm.= "&amp;TEXT((SUM($E127:F127)),"0.0%")</f>
        <v>Cumm.= -3.6%</v>
      </c>
      <c r="G128" s="472" t="str">
        <f ca="1">"Cumm.= "&amp;TEXT((SUM($E127:G127)),"0.0%")</f>
        <v>Cumm.= 3.1%</v>
      </c>
      <c r="H128" s="472" t="str">
        <f ca="1">"Cumm.= "&amp;TEXT((SUM($E127:H127)),"0.0%")</f>
        <v>Cumm.= 16.0%</v>
      </c>
      <c r="I128" s="472" t="str">
        <f ca="1">"Cumm.= "&amp;TEXT((SUM($E127:I127)),"0.0%")</f>
        <v>Cumm.= 187.9%</v>
      </c>
      <c r="J128" s="472" t="str">
        <f ca="1">"Cumm.= "&amp;TEXT((SUM($E127:J127)),"0.0%")</f>
        <v>Cumm.= 193.3%</v>
      </c>
      <c r="K128" s="472" t="str">
        <f ca="1">"Cumm.= "&amp;TEXT((SUM($E127:K127)),"0.0%")</f>
        <v>Cumm.= 202.7%</v>
      </c>
      <c r="L128" s="472" t="str">
        <f ca="1">"Cumm.= "&amp;TEXT((SUM($E127:L127)),"0.0%")</f>
        <v>Cumm.= 213.1%</v>
      </c>
      <c r="M128" s="472" t="str">
        <f ca="1">"Cumm.= "&amp;TEXT((SUM($E127:M127)),"0.0%")</f>
        <v>Cumm.= 224.4%</v>
      </c>
      <c r="N128" s="472" t="str">
        <f ca="1">"Cumm.= "&amp;TEXT((SUM($E127:N127)),"0.0%")</f>
        <v>Cumm.= 236.7%</v>
      </c>
      <c r="O128" s="472" t="str">
        <f ca="1">"Cumm.= "&amp;TEXT((SUM($E127:O127)),"0.0%")</f>
        <v>Cumm.= 250.1%</v>
      </c>
      <c r="P128" s="472" t="str">
        <f ca="1">"Cumm.= "&amp;TEXT((SUM($E127:P127)),"0.0%")</f>
        <v>Cumm.= 264.4%</v>
      </c>
      <c r="Q128" s="472" t="str">
        <f ca="1">"Cumm.= "&amp;TEXT((SUM($E127:Q127)),"0.0%")</f>
        <v>Cumm.= 279.8%</v>
      </c>
      <c r="R128" s="472" t="str">
        <f ca="1">"Cumm.= "&amp;TEXT((SUM($E127:R127)),"0.0%")</f>
        <v>Cumm.= 296.4%</v>
      </c>
      <c r="S128" s="472" t="str">
        <f ca="1">"Cumm.= "&amp;TEXT((SUM($E127:S127)),"0.0%")</f>
        <v>Cumm.= 314.1%</v>
      </c>
      <c r="T128" s="472" t="str">
        <f ca="1">"Cumm.= "&amp;TEXT((SUM($E127:T127)),"0.0%")</f>
        <v>Cumm.= 333.0%</v>
      </c>
      <c r="U128" s="472" t="str">
        <f ca="1">"Cumm.= "&amp;TEXT((SUM($E127:U127)),"0.0%")</f>
        <v>Cumm.= 353.2%</v>
      </c>
      <c r="V128" s="472" t="str">
        <f ca="1">"Cumm.= "&amp;TEXT((SUM($E127:V127)),"0.0%")</f>
        <v>Cumm.= 374.7%</v>
      </c>
      <c r="W128" s="472" t="str">
        <f ca="1">"Cumm.= "&amp;TEXT((SUM($E127:W127)),"0.0%")</f>
        <v>Cumm.= 397.5%</v>
      </c>
      <c r="X128" s="472" t="str">
        <f ca="1">"Cumm.= "&amp;TEXT((SUM($E127:X127)),"0.0%")</f>
        <v>Cumm.= 421.8%</v>
      </c>
      <c r="Y128" s="472" t="str">
        <f ca="1">"Cumm.= "&amp;TEXT((SUM($E127:Y127)),"0.0%")</f>
        <v>Cumm.= 447.5%</v>
      </c>
      <c r="Z128" s="472" t="str">
        <f ca="1">"Cumm.= "&amp;TEXT((SUM($E127:Z127)),"0.0%")</f>
        <v>Cumm.= 474.8%</v>
      </c>
      <c r="AA128" s="472" t="str">
        <f ca="1">"Cumm.= "&amp;TEXT((SUM($E127:AA127)),"0.0%")</f>
        <v>Cumm.= 503.6%</v>
      </c>
      <c r="AB128" s="472" t="str">
        <f ca="1">"Cumm.= "&amp;TEXT((SUM($E127:AB127)),"0.0%")</f>
        <v>Cumm.= 534.1%</v>
      </c>
      <c r="AC128" s="472" t="str">
        <f ca="1">"Cumm.= "&amp;TEXT((SUM($E127:AC127)),"0.0%")</f>
        <v>Cumm.= 566.3%</v>
      </c>
      <c r="AD128" s="472" t="str">
        <f ca="1">"Cumm.= "&amp;TEXT((SUM($E127:AD127)),"0.0%")</f>
        <v>Cumm.= 600.2%</v>
      </c>
      <c r="AE128" s="472" t="str">
        <f ca="1">"Cumm.= "&amp;TEXT((SUM($E127:AE127)),"0.0%")</f>
        <v>Cumm.= 636.0%</v>
      </c>
      <c r="AF128" s="472" t="str">
        <f ca="1">"Cumm.= "&amp;TEXT((SUM($E127:AF127)),"0.0%")</f>
        <v>Cumm.= 673.8%</v>
      </c>
      <c r="AG128" s="472" t="str">
        <f ca="1">"Cumm.= "&amp;TEXT((SUM($E127:AG127)),"0.0%")</f>
        <v>Cumm.= 713.5%</v>
      </c>
      <c r="AH128" s="472" t="str">
        <f ca="1">"Cumm.= "&amp;TEXT((SUM($E127:AH127)),"0.0%")</f>
        <v>Cumm.= 755.3%</v>
      </c>
      <c r="AI128" s="472" t="str">
        <f ca="1">"Cumm.= "&amp;TEXT((SUM($E127:AI127)),"0.0%")</f>
        <v>Cumm.= 1491.2%</v>
      </c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</row>
    <row r="129" spans="2:77" x14ac:dyDescent="0.2">
      <c r="B129" s="38"/>
      <c r="C129" s="74"/>
      <c r="D129" s="75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</row>
    <row r="130" spans="2:77" x14ac:dyDescent="0.2">
      <c r="B130" s="37" t="s">
        <v>165</v>
      </c>
      <c r="C130" s="40">
        <f ca="1">SUM(E124:I124)</f>
        <v>3299136.2532618949</v>
      </c>
      <c r="D130" s="75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</row>
    <row r="131" spans="2:77" x14ac:dyDescent="0.2">
      <c r="B131" s="37" t="s">
        <v>154</v>
      </c>
      <c r="C131" s="40">
        <f ca="1">SUM(E125:I125)</f>
        <v>1067145.8715450903</v>
      </c>
      <c r="D131" s="75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</row>
    <row r="132" spans="2:77" x14ac:dyDescent="0.2">
      <c r="B132" s="43"/>
      <c r="C132" s="74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</row>
    <row r="133" spans="2:77" x14ac:dyDescent="0.2">
      <c r="B133" s="38" t="s">
        <v>186</v>
      </c>
      <c r="C133" s="74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</row>
    <row r="134" spans="2:77" x14ac:dyDescent="0.2">
      <c r="B134" s="52" t="s">
        <v>192</v>
      </c>
      <c r="D134" s="76"/>
      <c r="E134" s="40">
        <f>((((-$C$4*0.8)+Notes!$D$55+Notes!$D$52)/15)+((-Notes!$D$51)/27.5)+(-Notes!$D$45)/39.5)</f>
        <v>36460.606060606064</v>
      </c>
      <c r="F134" s="40">
        <f>((((-$C$4*0.8)+Notes!$D$55+Notes!$D$52)/15)+((-Notes!$D$51)/27.5)+(-Notes!$D$45)/39.5)</f>
        <v>36460.606060606064</v>
      </c>
      <c r="G134" s="40">
        <f>((((-$C$4*0.8)+Notes!$D$55+Notes!$D$52)/15)+((-Notes!$D$51)/27.5)+(-Notes!$D$45)/39.5)</f>
        <v>36460.606060606064</v>
      </c>
      <c r="H134" s="40">
        <f>((((-$C$4*0.8)+Notes!$D$55+Notes!$D$52)/15)+((-Notes!$D$51)/27.5)+(-Notes!$D$45)/39.5)</f>
        <v>36460.606060606064</v>
      </c>
      <c r="I134" s="40">
        <f>((((-$C$4*0.8)+Notes!$D$55+Notes!$D$52)/15)+((-Notes!$D$51)/27.5)+(-Notes!$D$45)/39.5)</f>
        <v>36460.606060606064</v>
      </c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</row>
    <row r="135" spans="2:77" x14ac:dyDescent="0.2">
      <c r="B135" s="226" t="s">
        <v>8</v>
      </c>
      <c r="C135" s="227"/>
      <c r="D135" s="228"/>
      <c r="E135" s="229">
        <f ca="1">E85-(E96)+E134</f>
        <v>-40737.693939393925</v>
      </c>
      <c r="F135" s="229">
        <f ca="1">F85-(F96)+F134</f>
        <v>50672.740060606142</v>
      </c>
      <c r="G135" s="229">
        <f ca="1">G85-(G96)+G134</f>
        <v>153343.08274060604</v>
      </c>
      <c r="H135" s="229">
        <f ca="1">H85-(H96)+H134</f>
        <v>264133.41943420615</v>
      </c>
      <c r="I135" s="229">
        <f ca="1">I85-(I96)+I134</f>
        <v>383527.72377167805</v>
      </c>
      <c r="J135" s="229">
        <f t="shared" ref="J135:AH135" ca="1" si="140">(J85-J96)+(J134/2)</f>
        <v>229085.10302962529</v>
      </c>
      <c r="K135" s="229">
        <f t="shared" ca="1" si="140"/>
        <v>369868.42499941424</v>
      </c>
      <c r="L135" s="229">
        <f t="shared" ca="1" si="140"/>
        <v>404426.46880220773</v>
      </c>
      <c r="M135" s="229">
        <f t="shared" ca="1" si="140"/>
        <v>436709.41279045923</v>
      </c>
      <c r="N135" s="229">
        <f t="shared" ca="1" si="140"/>
        <v>470229.53004711284</v>
      </c>
      <c r="O135" s="229">
        <f t="shared" ca="1" si="140"/>
        <v>505039.21001235448</v>
      </c>
      <c r="P135" s="229">
        <f t="shared" ca="1" si="140"/>
        <v>541192.95323847223</v>
      </c>
      <c r="Q135" s="229">
        <f t="shared" ca="1" si="140"/>
        <v>578747.45659709803</v>
      </c>
      <c r="R135" s="229">
        <f t="shared" ca="1" si="140"/>
        <v>617761.70190517558</v>
      </c>
      <c r="S135" s="229">
        <f t="shared" ca="1" si="140"/>
        <v>658297.04810665757</v>
      </c>
      <c r="T135" s="229">
        <f t="shared" ca="1" si="140"/>
        <v>700417.32715243101</v>
      </c>
      <c r="U135" s="229">
        <f t="shared" ca="1" si="140"/>
        <v>744188.94372666511</v>
      </c>
      <c r="V135" s="229">
        <f t="shared" ca="1" si="140"/>
        <v>789680.97897371626</v>
      </c>
      <c r="W135" s="229">
        <f t="shared" ca="1" si="140"/>
        <v>836965.29838588974</v>
      </c>
      <c r="X135" s="229">
        <f t="shared" ca="1" si="140"/>
        <v>886116.66401877557</v>
      </c>
      <c r="Y135" s="229">
        <f t="shared" ca="1" si="140"/>
        <v>937212.85120755457</v>
      </c>
      <c r="Z135" s="229">
        <f t="shared" ca="1" si="140"/>
        <v>990334.76996460289</v>
      </c>
      <c r="AA135" s="229">
        <f t="shared" ca="1" si="140"/>
        <v>1045566.5912459537</v>
      </c>
      <c r="AB135" s="229">
        <f t="shared" ca="1" si="140"/>
        <v>1102995.8782816664</v>
      </c>
      <c r="AC135" s="229">
        <f t="shared" ca="1" si="140"/>
        <v>1162713.7231729815</v>
      </c>
      <c r="AD135" s="229">
        <f t="shared" ca="1" si="140"/>
        <v>1224814.8889672435</v>
      </c>
      <c r="AE135" s="229">
        <f t="shared" ca="1" si="140"/>
        <v>1289397.9574300218</v>
      </c>
      <c r="AF135" s="229">
        <f t="shared" ca="1" si="140"/>
        <v>1356565.482742657</v>
      </c>
      <c r="AG135" s="229">
        <f t="shared" ca="1" si="140"/>
        <v>1426424.1513625735</v>
      </c>
      <c r="AH135" s="229">
        <f t="shared" ca="1" si="140"/>
        <v>1499084.9482932172</v>
      </c>
      <c r="AI135" s="229"/>
    </row>
    <row r="136" spans="2:77" x14ac:dyDescent="0.2">
      <c r="B136" s="52" t="s">
        <v>108</v>
      </c>
      <c r="C136" s="178">
        <v>0.4</v>
      </c>
      <c r="D136" s="45"/>
      <c r="E136" s="40">
        <f>-E134*$C$136</f>
        <v>-14584.242424242426</v>
      </c>
      <c r="F136" s="40">
        <f t="shared" ref="F136:AI136" si="141">-F134*$C$136</f>
        <v>-14584.242424242426</v>
      </c>
      <c r="G136" s="40">
        <f t="shared" si="141"/>
        <v>-14584.242424242426</v>
      </c>
      <c r="H136" s="40">
        <f t="shared" si="141"/>
        <v>-14584.242424242426</v>
      </c>
      <c r="I136" s="40">
        <f t="shared" si="141"/>
        <v>-14584.242424242426</v>
      </c>
      <c r="J136" s="40">
        <f t="shared" si="141"/>
        <v>0</v>
      </c>
      <c r="K136" s="40">
        <f t="shared" si="141"/>
        <v>0</v>
      </c>
      <c r="L136" s="40">
        <f t="shared" si="141"/>
        <v>0</v>
      </c>
      <c r="M136" s="40">
        <f t="shared" si="141"/>
        <v>0</v>
      </c>
      <c r="N136" s="40">
        <f t="shared" si="141"/>
        <v>0</v>
      </c>
      <c r="O136" s="40">
        <f t="shared" si="141"/>
        <v>0</v>
      </c>
      <c r="P136" s="40">
        <f t="shared" si="141"/>
        <v>0</v>
      </c>
      <c r="Q136" s="40">
        <f t="shared" si="141"/>
        <v>0</v>
      </c>
      <c r="R136" s="40">
        <f t="shared" si="141"/>
        <v>0</v>
      </c>
      <c r="S136" s="40">
        <f t="shared" si="141"/>
        <v>0</v>
      </c>
      <c r="T136" s="40">
        <f t="shared" si="141"/>
        <v>0</v>
      </c>
      <c r="U136" s="40">
        <f t="shared" si="141"/>
        <v>0</v>
      </c>
      <c r="V136" s="40">
        <f t="shared" si="141"/>
        <v>0</v>
      </c>
      <c r="W136" s="40">
        <f t="shared" si="141"/>
        <v>0</v>
      </c>
      <c r="X136" s="40">
        <f t="shared" si="141"/>
        <v>0</v>
      </c>
      <c r="Y136" s="40">
        <f t="shared" si="141"/>
        <v>0</v>
      </c>
      <c r="Z136" s="40">
        <f t="shared" si="141"/>
        <v>0</v>
      </c>
      <c r="AA136" s="40">
        <f t="shared" si="141"/>
        <v>0</v>
      </c>
      <c r="AB136" s="40">
        <f t="shared" si="141"/>
        <v>0</v>
      </c>
      <c r="AC136" s="40">
        <f t="shared" si="141"/>
        <v>0</v>
      </c>
      <c r="AD136" s="40">
        <f t="shared" si="141"/>
        <v>0</v>
      </c>
      <c r="AE136" s="40">
        <f t="shared" si="141"/>
        <v>0</v>
      </c>
      <c r="AF136" s="40">
        <f t="shared" si="141"/>
        <v>0</v>
      </c>
      <c r="AG136" s="40">
        <f t="shared" si="141"/>
        <v>0</v>
      </c>
      <c r="AH136" s="40">
        <f t="shared" si="141"/>
        <v>0</v>
      </c>
      <c r="AI136" s="40">
        <f t="shared" si="141"/>
        <v>0</v>
      </c>
    </row>
    <row r="137" spans="2:77" x14ac:dyDescent="0.2">
      <c r="B137" s="52" t="s">
        <v>166</v>
      </c>
      <c r="C137" s="179"/>
      <c r="D137" s="279">
        <f>D124</f>
        <v>-1755849.19</v>
      </c>
      <c r="E137" s="279">
        <f t="shared" ref="E137:AI137" ca="1" si="142">E124+E136</f>
        <v>-91782.54242424242</v>
      </c>
      <c r="F137" s="279">
        <f t="shared" ca="1" si="142"/>
        <v>-372.10842424234761</v>
      </c>
      <c r="G137" s="279">
        <f t="shared" ca="1" si="142"/>
        <v>102298.23425575756</v>
      </c>
      <c r="H137" s="279">
        <f t="shared" ca="1" si="142"/>
        <v>213088.57094935767</v>
      </c>
      <c r="I137" s="279">
        <f t="shared" ca="1" si="142"/>
        <v>3002982.8867840525</v>
      </c>
      <c r="J137" s="279">
        <f t="shared" ca="1" si="142"/>
        <v>94639.840080922091</v>
      </c>
      <c r="K137" s="279">
        <f t="shared" ca="1" si="142"/>
        <v>165243.46224930795</v>
      </c>
      <c r="L137" s="279">
        <f t="shared" ca="1" si="142"/>
        <v>182732.18797627499</v>
      </c>
      <c r="M137" s="279">
        <f t="shared" ca="1" si="142"/>
        <v>199081.1304786063</v>
      </c>
      <c r="N137" s="279">
        <f t="shared" ca="1" si="142"/>
        <v>216046.45008230166</v>
      </c>
      <c r="O137" s="279">
        <f t="shared" ca="1" si="142"/>
        <v>233654.36503867971</v>
      </c>
      <c r="P137" s="279">
        <f t="shared" ca="1" si="142"/>
        <v>251932.14890450586</v>
      </c>
      <c r="Q137" s="279">
        <f t="shared" ca="1" si="142"/>
        <v>270908.17314828199</v>
      </c>
      <c r="R137" s="279">
        <f t="shared" ca="1" si="142"/>
        <v>290611.95146587078</v>
      </c>
      <c r="S137" s="279">
        <f t="shared" ca="1" si="142"/>
        <v>311074.18587395689</v>
      </c>
      <c r="T137" s="279">
        <f t="shared" ca="1" si="142"/>
        <v>332326.81465259398</v>
      </c>
      <c r="U137" s="279">
        <f t="shared" ca="1" si="142"/>
        <v>354403.06221093569</v>
      </c>
      <c r="V137" s="279">
        <f t="shared" ca="1" si="142"/>
        <v>377337.49095321808</v>
      </c>
      <c r="W137" s="279">
        <f t="shared" ca="1" si="142"/>
        <v>401166.05522514303</v>
      </c>
      <c r="X137" s="279">
        <f t="shared" ca="1" si="142"/>
        <v>425926.15742402279</v>
      </c>
      <c r="Y137" s="279">
        <f t="shared" ca="1" si="142"/>
        <v>451656.70635938214</v>
      </c>
      <c r="Z137" s="279">
        <f t="shared" ca="1" si="142"/>
        <v>478398.17795418517</v>
      </c>
      <c r="AA137" s="279">
        <f t="shared" ca="1" si="142"/>
        <v>506192.67838046327</v>
      </c>
      <c r="AB137" s="279">
        <f t="shared" ca="1" si="142"/>
        <v>535084.0097268729</v>
      </c>
      <c r="AC137" s="279">
        <f t="shared" ca="1" si="142"/>
        <v>565117.73829961941</v>
      </c>
      <c r="AD137" s="279">
        <f t="shared" ca="1" si="142"/>
        <v>596341.26566224103</v>
      </c>
      <c r="AE137" s="279">
        <f t="shared" ca="1" si="142"/>
        <v>628803.90252396651</v>
      </c>
      <c r="AF137" s="279">
        <f t="shared" ca="1" si="142"/>
        <v>662556.94559076137</v>
      </c>
      <c r="AG137" s="279">
        <f t="shared" ca="1" si="142"/>
        <v>697653.75749773276</v>
      </c>
      <c r="AH137" s="279">
        <f t="shared" ca="1" si="142"/>
        <v>734149.84994632297</v>
      </c>
      <c r="AI137" s="279">
        <f t="shared" ca="1" si="142"/>
        <v>12920979.840422595</v>
      </c>
    </row>
    <row r="138" spans="2:77" x14ac:dyDescent="0.2">
      <c r="B138" s="180" t="s">
        <v>167</v>
      </c>
      <c r="C138" s="92">
        <f ca="1">IRR(D137:AI137)</f>
        <v>0.20300903926032987</v>
      </c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</row>
    <row r="139" spans="2:77" x14ac:dyDescent="0.2">
      <c r="E139" s="42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</row>
    <row r="140" spans="2:77" x14ac:dyDescent="0.2">
      <c r="I140" s="50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</row>
    <row r="141" spans="2:77" x14ac:dyDescent="0.2">
      <c r="C141" s="3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</row>
    <row r="142" spans="2:77" x14ac:dyDescent="0.2">
      <c r="C142" s="3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</row>
    <row r="143" spans="2:77" x14ac:dyDescent="0.2">
      <c r="C143" s="3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</row>
    <row r="144" spans="2:77" x14ac:dyDescent="0.2">
      <c r="C144" s="3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</row>
    <row r="145" spans="3:20" x14ac:dyDescent="0.2">
      <c r="C145" s="3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</row>
    <row r="146" spans="3:20" x14ac:dyDescent="0.2">
      <c r="C146" s="3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</row>
    <row r="147" spans="3:20" x14ac:dyDescent="0.2">
      <c r="C147" s="3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</row>
    <row r="148" spans="3:20" x14ac:dyDescent="0.2">
      <c r="C148" s="3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</row>
    <row r="149" spans="3:20" x14ac:dyDescent="0.2">
      <c r="C149" s="3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</row>
    <row r="150" spans="3:20" x14ac:dyDescent="0.2">
      <c r="C150" s="3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</row>
    <row r="151" spans="3:20" x14ac:dyDescent="0.2">
      <c r="C151" s="3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</row>
    <row r="152" spans="3:20" x14ac:dyDescent="0.2">
      <c r="C152" s="3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</row>
    <row r="153" spans="3:20" x14ac:dyDescent="0.2">
      <c r="C153" s="3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</row>
    <row r="154" spans="3:20" x14ac:dyDescent="0.2">
      <c r="C154" s="3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</row>
    <row r="155" spans="3:20" x14ac:dyDescent="0.2">
      <c r="C155" s="3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</row>
    <row r="156" spans="3:20" x14ac:dyDescent="0.2">
      <c r="C156" s="3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</row>
    <row r="157" spans="3:20" x14ac:dyDescent="0.2">
      <c r="C157" s="3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</row>
    <row r="158" spans="3:20" x14ac:dyDescent="0.2">
      <c r="C158" s="3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</row>
    <row r="159" spans="3:20" x14ac:dyDescent="0.2">
      <c r="C159" s="3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</row>
    <row r="160" spans="3:20" x14ac:dyDescent="0.2">
      <c r="C160" s="3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</row>
    <row r="161" spans="3:20" x14ac:dyDescent="0.2">
      <c r="C161" s="3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</row>
    <row r="162" spans="3:20" x14ac:dyDescent="0.2">
      <c r="C162" s="3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</row>
    <row r="163" spans="3:20" x14ac:dyDescent="0.2">
      <c r="C163" s="3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</row>
    <row r="164" spans="3:20" x14ac:dyDescent="0.2">
      <c r="C164" s="3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</row>
    <row r="165" spans="3:20" x14ac:dyDescent="0.2">
      <c r="C165" s="3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</row>
    <row r="166" spans="3:20" x14ac:dyDescent="0.2">
      <c r="C166" s="3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</row>
    <row r="167" spans="3:20" x14ac:dyDescent="0.2">
      <c r="C167" s="3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</row>
    <row r="168" spans="3:20" x14ac:dyDescent="0.2">
      <c r="C168" s="3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</row>
    <row r="169" spans="3:20" x14ac:dyDescent="0.2">
      <c r="C169" s="3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</row>
    <row r="170" spans="3:20" x14ac:dyDescent="0.2">
      <c r="C170" s="3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</row>
    <row r="171" spans="3:20" x14ac:dyDescent="0.2">
      <c r="C171" s="3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</row>
    <row r="172" spans="3:20" x14ac:dyDescent="0.2">
      <c r="C172" s="3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</row>
    <row r="173" spans="3:20" x14ac:dyDescent="0.2">
      <c r="C173" s="3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</row>
    <row r="174" spans="3:20" x14ac:dyDescent="0.2">
      <c r="C174" s="3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</row>
    <row r="175" spans="3:20" x14ac:dyDescent="0.2">
      <c r="C175" s="3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</row>
    <row r="176" spans="3:20" x14ac:dyDescent="0.2">
      <c r="C176" s="3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</row>
    <row r="177" spans="3:27" x14ac:dyDescent="0.2">
      <c r="C177" s="3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</row>
    <row r="178" spans="3:27" x14ac:dyDescent="0.2">
      <c r="C178" s="3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</row>
    <row r="179" spans="3:27" x14ac:dyDescent="0.2">
      <c r="C179" s="3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</row>
    <row r="180" spans="3:27" x14ac:dyDescent="0.2">
      <c r="C180" s="3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</row>
    <row r="181" spans="3:27" x14ac:dyDescent="0.2">
      <c r="C181" s="3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</row>
    <row r="182" spans="3:27" x14ac:dyDescent="0.2">
      <c r="C182" s="3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</row>
    <row r="183" spans="3:27" x14ac:dyDescent="0.2">
      <c r="C183" s="3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</row>
    <row r="184" spans="3:27" x14ac:dyDescent="0.2">
      <c r="C184" s="3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</row>
    <row r="185" spans="3:27" x14ac:dyDescent="0.2">
      <c r="C185" s="3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</row>
    <row r="186" spans="3:27" x14ac:dyDescent="0.2">
      <c r="C186" s="3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</row>
    <row r="187" spans="3:27" x14ac:dyDescent="0.2">
      <c r="C187" s="3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</row>
    <row r="188" spans="3:27" x14ac:dyDescent="0.2">
      <c r="C188" s="3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</row>
    <row r="189" spans="3:27" x14ac:dyDescent="0.2">
      <c r="C189" s="3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</row>
    <row r="190" spans="3:27" x14ac:dyDescent="0.2">
      <c r="C190" s="3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</row>
    <row r="191" spans="3:27" x14ac:dyDescent="0.2">
      <c r="C191" s="3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</row>
    <row r="192" spans="3:27" x14ac:dyDescent="0.2">
      <c r="C192" s="3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</row>
    <row r="193" spans="3:27" x14ac:dyDescent="0.2">
      <c r="C193" s="3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</row>
    <row r="194" spans="3:27" x14ac:dyDescent="0.2">
      <c r="C194" s="3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</row>
    <row r="195" spans="3:27" x14ac:dyDescent="0.2">
      <c r="C195" s="3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</row>
    <row r="196" spans="3:27" x14ac:dyDescent="0.2">
      <c r="C196" s="3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</row>
    <row r="197" spans="3:27" x14ac:dyDescent="0.2">
      <c r="C197" s="3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</row>
    <row r="198" spans="3:27" x14ac:dyDescent="0.2">
      <c r="C198" s="3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</row>
    <row r="199" spans="3:27" x14ac:dyDescent="0.2">
      <c r="C199" s="3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</row>
    <row r="200" spans="3:27" x14ac:dyDescent="0.2">
      <c r="C200" s="3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</row>
    <row r="201" spans="3:27" x14ac:dyDescent="0.2">
      <c r="C201" s="3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</row>
    <row r="202" spans="3:27" x14ac:dyDescent="0.2">
      <c r="C202" s="3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</row>
    <row r="203" spans="3:27" x14ac:dyDescent="0.2">
      <c r="C203" s="3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</row>
    <row r="204" spans="3:27" x14ac:dyDescent="0.2">
      <c r="C204" s="3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</row>
    <row r="205" spans="3:27" x14ac:dyDescent="0.2">
      <c r="C205" s="3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</row>
    <row r="206" spans="3:27" x14ac:dyDescent="0.2">
      <c r="C206" s="3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</row>
    <row r="207" spans="3:27" x14ac:dyDescent="0.2">
      <c r="C207" s="3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</row>
    <row r="208" spans="3:27" x14ac:dyDescent="0.2">
      <c r="C208" s="3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</row>
    <row r="209" spans="3:27" x14ac:dyDescent="0.2">
      <c r="C209" s="3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</row>
    <row r="210" spans="3:27" x14ac:dyDescent="0.2">
      <c r="C210" s="3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</row>
    <row r="211" spans="3:27" x14ac:dyDescent="0.2">
      <c r="C211" s="3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</row>
  </sheetData>
  <sheetProtection algorithmName="SHA-512" hashValue="YFe2Ei4bLs7Ro5RGn8i1BseU+AiLNs+/ut4OhHRFuLTY1XfgG0zBYnBxfn0nMRd7iOZywCWVI9AyV8h52CEigA==" saltValue="4oU9PJFHVUIZbgVCdQ0jtQ==" spinCount="100000" sheet="1" objects="1" scenarios="1"/>
  <mergeCells count="1">
    <mergeCell ref="C19:D19"/>
  </mergeCells>
  <phoneticPr fontId="0" type="noConversion"/>
  <conditionalFormatting sqref="E27:AI31">
    <cfRule type="expression" dxfId="15" priority="16">
      <formula>IF(_xlfn.ISFORMULA(E27),FALSE,TRUE)</formula>
    </cfRule>
  </conditionalFormatting>
  <conditionalFormatting sqref="F28:AI28">
    <cfRule type="expression" dxfId="14" priority="15">
      <formula>IF(_xlfn.ISFORMULA(F28),FALSE,TRUE)</formula>
    </cfRule>
  </conditionalFormatting>
  <conditionalFormatting sqref="E34:AI40">
    <cfRule type="expression" dxfId="13" priority="14">
      <formula>IF(_xlfn.ISFORMULA(E34),FALSE,TRUE)</formula>
    </cfRule>
  </conditionalFormatting>
  <conditionalFormatting sqref="E34:AI40">
    <cfRule type="expression" dxfId="12" priority="13">
      <formula>IF(_xlfn.ISFORMULA(E34),FALSE,TRUE)</formula>
    </cfRule>
  </conditionalFormatting>
  <conditionalFormatting sqref="E44:AI49">
    <cfRule type="expression" dxfId="11" priority="12">
      <formula>IF(_xlfn.ISFORMULA(E44),FALSE,TRUE)</formula>
    </cfRule>
  </conditionalFormatting>
  <conditionalFormatting sqref="E44:AI49">
    <cfRule type="expression" dxfId="10" priority="11">
      <formula>IF(_xlfn.ISFORMULA(E44),FALSE,TRUE)</formula>
    </cfRule>
  </conditionalFormatting>
  <conditionalFormatting sqref="E51:AI51">
    <cfRule type="expression" dxfId="9" priority="10">
      <formula>IF(_xlfn.ISFORMULA(E51),FALSE,TRUE)</formula>
    </cfRule>
  </conditionalFormatting>
  <conditionalFormatting sqref="E51:AI51">
    <cfRule type="expression" dxfId="8" priority="9">
      <formula>IF(_xlfn.ISFORMULA(E51),FALSE,TRUE)</formula>
    </cfRule>
  </conditionalFormatting>
  <conditionalFormatting sqref="E56:AI79">
    <cfRule type="expression" dxfId="7" priority="8">
      <formula>IF(_xlfn.ISFORMULA(E56),FALSE,TRUE)</formula>
    </cfRule>
  </conditionalFormatting>
  <conditionalFormatting sqref="E56:AI79">
    <cfRule type="expression" dxfId="6" priority="7">
      <formula>IF(_xlfn.ISFORMULA(E56),FALSE,TRUE)</formula>
    </cfRule>
  </conditionalFormatting>
  <conditionalFormatting sqref="D56:D79">
    <cfRule type="expression" dxfId="5" priority="6">
      <formula>IF(_xlfn.ISFORMULA(D56),FALSE,TRUE)</formula>
    </cfRule>
  </conditionalFormatting>
  <conditionalFormatting sqref="D56:D79">
    <cfRule type="expression" dxfId="4" priority="5">
      <formula>IF(_xlfn.ISFORMULA(D56),FALSE,TRUE)</formula>
    </cfRule>
  </conditionalFormatting>
  <conditionalFormatting sqref="C56:C79">
    <cfRule type="expression" dxfId="3" priority="4">
      <formula>IF(_xlfn.ISFORMULA(C56),FALSE,TRUE)</formula>
    </cfRule>
  </conditionalFormatting>
  <conditionalFormatting sqref="C56:C79">
    <cfRule type="expression" dxfId="2" priority="3">
      <formula>IF(_xlfn.ISFORMULA(C56),FALSE,TRUE)</formula>
    </cfRule>
  </conditionalFormatting>
  <conditionalFormatting sqref="E91">
    <cfRule type="notContainsBlanks" dxfId="1" priority="2">
      <formula>LEN(TRIM(E91))&gt;0</formula>
    </cfRule>
  </conditionalFormatting>
  <conditionalFormatting sqref="F91:AH91">
    <cfRule type="notContainsBlanks" dxfId="0" priority="1">
      <formula>LEN(TRIM(F91))&gt;0</formula>
    </cfRule>
  </conditionalFormatting>
  <pageMargins left="0.25" right="0.25" top="0.75" bottom="0.75" header="0.3" footer="0.3"/>
  <pageSetup scale="58" fitToHeight="0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1B1154-E6F8-47C9-8843-14200EE6274A}">
          <x14:formula1>
            <xm:f>'IE Data Entry'!$P$2:$P$5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76"/>
  <sheetViews>
    <sheetView workbookViewId="0">
      <selection activeCell="C15" sqref="C15"/>
    </sheetView>
  </sheetViews>
  <sheetFormatPr defaultColWidth="8.85546875" defaultRowHeight="12.75" x14ac:dyDescent="0.2"/>
  <cols>
    <col min="1" max="1" width="28.5703125" customWidth="1"/>
    <col min="2" max="2" width="18.140625" customWidth="1"/>
    <col min="3" max="3" width="15.7109375" bestFit="1" customWidth="1"/>
    <col min="4" max="4" width="15.28515625" customWidth="1"/>
    <col min="5" max="5" width="11.42578125" customWidth="1"/>
    <col min="6" max="6" width="14.28515625" customWidth="1"/>
    <col min="7" max="7" width="21.5703125" customWidth="1"/>
    <col min="8" max="8" width="65.28515625" customWidth="1"/>
    <col min="9" max="9" width="20" customWidth="1"/>
    <col min="10" max="10" width="33.28515625" customWidth="1"/>
    <col min="11" max="11" width="18.140625" customWidth="1"/>
    <col min="12" max="12" width="12.5703125" customWidth="1"/>
    <col min="13" max="13" width="19.28515625" customWidth="1"/>
  </cols>
  <sheetData>
    <row r="1" spans="1:10" x14ac:dyDescent="0.2">
      <c r="A1" s="391" t="s">
        <v>7</v>
      </c>
      <c r="B1" s="392"/>
      <c r="C1" s="393"/>
      <c r="D1" s="393"/>
      <c r="G1" s="537"/>
      <c r="H1" s="538"/>
      <c r="I1" s="539"/>
      <c r="J1" s="537"/>
    </row>
    <row r="2" spans="1:10" ht="12.75" customHeight="1" x14ac:dyDescent="0.2">
      <c r="A2" s="394" t="s">
        <v>350</v>
      </c>
      <c r="B2" s="395"/>
      <c r="C2" s="396">
        <v>75000</v>
      </c>
      <c r="D2" s="446"/>
      <c r="E2" s="436"/>
      <c r="G2" s="537"/>
      <c r="H2" s="538"/>
      <c r="I2" s="539"/>
      <c r="J2" s="537"/>
    </row>
    <row r="3" spans="1:10" ht="12.75" customHeight="1" x14ac:dyDescent="0.2">
      <c r="A3" s="238" t="s">
        <v>351</v>
      </c>
      <c r="B3" s="37"/>
      <c r="C3" s="244">
        <v>75000</v>
      </c>
      <c r="D3" s="447"/>
      <c r="E3" s="436"/>
      <c r="G3" s="537"/>
      <c r="H3" s="538"/>
      <c r="I3" s="540"/>
      <c r="J3" s="537"/>
    </row>
    <row r="4" spans="1:10" ht="12.75" customHeight="1" x14ac:dyDescent="0.2">
      <c r="A4" s="238" t="s">
        <v>352</v>
      </c>
      <c r="C4" s="397">
        <v>150000</v>
      </c>
      <c r="D4" s="447"/>
      <c r="E4" s="436"/>
      <c r="G4" s="537"/>
      <c r="H4" s="538"/>
      <c r="I4" s="539"/>
      <c r="J4" s="537"/>
    </row>
    <row r="5" spans="1:10" ht="12.75" customHeight="1" x14ac:dyDescent="0.2">
      <c r="A5" s="398" t="s">
        <v>353</v>
      </c>
      <c r="C5" s="244">
        <f>2000*40</f>
        <v>80000</v>
      </c>
      <c r="D5" s="447"/>
      <c r="E5" s="436"/>
      <c r="G5" s="537"/>
      <c r="H5" s="538"/>
      <c r="I5" s="539"/>
      <c r="J5" s="537"/>
    </row>
    <row r="6" spans="1:10" ht="12.75" customHeight="1" x14ac:dyDescent="0.2">
      <c r="A6" s="398" t="s">
        <v>354</v>
      </c>
      <c r="C6" s="244">
        <f>100*3000</f>
        <v>300000</v>
      </c>
      <c r="D6" s="447"/>
      <c r="E6" s="436"/>
      <c r="G6" s="537"/>
      <c r="H6" s="538"/>
      <c r="I6" s="540"/>
      <c r="J6" s="537"/>
    </row>
    <row r="7" spans="1:10" x14ac:dyDescent="0.2">
      <c r="A7" s="238" t="s">
        <v>608</v>
      </c>
      <c r="C7" s="399">
        <f>7500*12</f>
        <v>90000</v>
      </c>
      <c r="D7" s="447"/>
      <c r="E7" s="436"/>
      <c r="G7" s="537"/>
      <c r="H7" s="538"/>
      <c r="I7" s="541"/>
      <c r="J7" s="537"/>
    </row>
    <row r="8" spans="1:10" x14ac:dyDescent="0.2">
      <c r="A8" s="400" t="s">
        <v>609</v>
      </c>
      <c r="C8" s="401">
        <v>25000</v>
      </c>
      <c r="D8" s="544"/>
      <c r="G8" s="537"/>
      <c r="H8" s="538"/>
      <c r="I8" s="539"/>
      <c r="J8" s="537"/>
    </row>
    <row r="9" spans="1:10" x14ac:dyDescent="0.2">
      <c r="A9" s="400" t="s">
        <v>610</v>
      </c>
      <c r="C9" s="401">
        <v>5000</v>
      </c>
      <c r="D9" s="544"/>
      <c r="G9" s="537"/>
      <c r="H9" s="538"/>
      <c r="I9" s="542"/>
      <c r="J9" s="537"/>
    </row>
    <row r="10" spans="1:10" x14ac:dyDescent="0.2">
      <c r="A10" s="549" t="s">
        <v>640</v>
      </c>
      <c r="C10" s="401"/>
      <c r="D10" s="544"/>
      <c r="G10" s="543"/>
      <c r="H10" s="543"/>
      <c r="I10" s="543"/>
      <c r="J10" s="543"/>
    </row>
    <row r="11" spans="1:10" x14ac:dyDescent="0.2">
      <c r="A11" s="550" t="s">
        <v>641</v>
      </c>
      <c r="C11" s="278">
        <f>410+150+15+25+500+275</f>
        <v>1375</v>
      </c>
      <c r="D11" s="544"/>
    </row>
    <row r="12" spans="1:10" x14ac:dyDescent="0.2">
      <c r="A12" s="550" t="s">
        <v>642</v>
      </c>
      <c r="C12" s="278">
        <v>-8000</v>
      </c>
      <c r="D12" s="544"/>
    </row>
    <row r="13" spans="1:10" x14ac:dyDescent="0.2">
      <c r="A13" s="550" t="s">
        <v>643</v>
      </c>
      <c r="C13" s="399">
        <v>-7525.81</v>
      </c>
      <c r="D13" s="402"/>
      <c r="E13" s="41"/>
    </row>
    <row r="14" spans="1:10" x14ac:dyDescent="0.2">
      <c r="A14" s="241"/>
      <c r="B14" s="174"/>
      <c r="C14" s="403"/>
      <c r="D14" s="404"/>
      <c r="E14" s="41"/>
    </row>
    <row r="15" spans="1:10" x14ac:dyDescent="0.2">
      <c r="A15" s="241"/>
      <c r="B15" s="405" t="s">
        <v>644</v>
      </c>
      <c r="C15" s="403">
        <f>SUM(C2:C13)</f>
        <v>785849.19</v>
      </c>
      <c r="D15" s="403"/>
      <c r="E15" s="437"/>
    </row>
    <row r="16" spans="1:10" x14ac:dyDescent="0.2">
      <c r="F16" s="437"/>
    </row>
    <row r="18" spans="1:5" x14ac:dyDescent="0.2">
      <c r="A18" s="406" t="s">
        <v>329</v>
      </c>
      <c r="B18" s="407"/>
      <c r="C18" s="407"/>
      <c r="D18" s="408"/>
    </row>
    <row r="19" spans="1:5" x14ac:dyDescent="0.2">
      <c r="A19" s="238"/>
      <c r="B19" s="409">
        <v>2017</v>
      </c>
      <c r="C19" s="135">
        <v>2017</v>
      </c>
      <c r="D19" s="410" t="s">
        <v>622</v>
      </c>
      <c r="E19" s="252"/>
    </row>
    <row r="20" spans="1:5" x14ac:dyDescent="0.2">
      <c r="A20" s="411"/>
      <c r="B20" s="412" t="s">
        <v>616</v>
      </c>
      <c r="C20" s="413" t="s">
        <v>617</v>
      </c>
      <c r="D20" s="413"/>
      <c r="E20" s="438"/>
    </row>
    <row r="21" spans="1:5" x14ac:dyDescent="0.2">
      <c r="A21" s="398" t="s">
        <v>615</v>
      </c>
      <c r="B21" s="415">
        <v>1391</v>
      </c>
      <c r="C21" s="526">
        <v>47.55</v>
      </c>
      <c r="D21" s="535">
        <f>C21/B21</f>
        <v>3.4184040258806614E-2</v>
      </c>
      <c r="E21" s="401"/>
    </row>
    <row r="22" spans="1:5" x14ac:dyDescent="0.2">
      <c r="A22" s="398" t="s">
        <v>618</v>
      </c>
      <c r="B22" s="415">
        <v>1451400</v>
      </c>
      <c r="C22" s="245">
        <v>25505</v>
      </c>
      <c r="D22" s="535">
        <f t="shared" ref="D22:D25" si="0">C22/B22</f>
        <v>1.7572688438748794E-2</v>
      </c>
      <c r="E22" s="401"/>
    </row>
    <row r="23" spans="1:5" x14ac:dyDescent="0.2">
      <c r="A23" s="398" t="s">
        <v>619</v>
      </c>
      <c r="B23" s="415">
        <v>16548</v>
      </c>
      <c r="C23" s="245">
        <v>290.77999999999997</v>
      </c>
      <c r="D23" s="535">
        <f t="shared" si="0"/>
        <v>1.7571912013536379E-2</v>
      </c>
      <c r="E23" s="401"/>
    </row>
    <row r="24" spans="1:5" x14ac:dyDescent="0.2">
      <c r="A24" s="527" t="s">
        <v>620</v>
      </c>
      <c r="B24" s="415">
        <v>70626</v>
      </c>
      <c r="C24" s="415">
        <v>1241</v>
      </c>
      <c r="D24" s="535">
        <f t="shared" si="0"/>
        <v>1.7571432616883299E-2</v>
      </c>
      <c r="E24" s="438"/>
    </row>
    <row r="25" spans="1:5" x14ac:dyDescent="0.2">
      <c r="A25" s="527" t="s">
        <v>621</v>
      </c>
      <c r="B25" s="415">
        <v>4226</v>
      </c>
      <c r="C25" s="415">
        <v>74.27</v>
      </c>
      <c r="D25" s="535">
        <f t="shared" si="0"/>
        <v>1.7574538570752484E-2</v>
      </c>
      <c r="E25" s="438"/>
    </row>
    <row r="26" spans="1:5" x14ac:dyDescent="0.2">
      <c r="A26" s="533"/>
      <c r="B26" s="530"/>
      <c r="C26" s="531"/>
      <c r="D26" s="532"/>
      <c r="E26" s="438"/>
    </row>
    <row r="27" spans="1:5" x14ac:dyDescent="0.2">
      <c r="A27" s="528" t="s">
        <v>22</v>
      </c>
      <c r="B27" s="534">
        <f>SUM(B21:B25)</f>
        <v>1544191</v>
      </c>
      <c r="C27" s="529">
        <f>SUM(C21:C25)</f>
        <v>27158.6</v>
      </c>
      <c r="D27" s="536">
        <f>C27/B27</f>
        <v>1.7587591172335545E-2</v>
      </c>
      <c r="E27" s="439"/>
    </row>
    <row r="28" spans="1:5" x14ac:dyDescent="0.2">
      <c r="A28" s="239"/>
      <c r="C28" s="415"/>
      <c r="D28" s="240"/>
    </row>
    <row r="29" spans="1:5" x14ac:dyDescent="0.2">
      <c r="A29" s="239" t="s">
        <v>18</v>
      </c>
      <c r="B29" s="37"/>
      <c r="C29" s="248"/>
      <c r="D29" s="244">
        <v>970000</v>
      </c>
    </row>
    <row r="30" spans="1:5" x14ac:dyDescent="0.2">
      <c r="A30" s="239" t="s">
        <v>630</v>
      </c>
      <c r="C30" s="248"/>
      <c r="D30" s="399">
        <f>D29</f>
        <v>970000</v>
      </c>
      <c r="E30" s="440"/>
    </row>
    <row r="31" spans="1:5" x14ac:dyDescent="0.2">
      <c r="A31" s="239"/>
      <c r="C31" s="417"/>
      <c r="D31" s="240"/>
    </row>
    <row r="32" spans="1:5" x14ac:dyDescent="0.2">
      <c r="A32" s="398" t="s">
        <v>631</v>
      </c>
      <c r="C32" s="414"/>
      <c r="D32" s="399">
        <f>D30*D27</f>
        <v>17059.963437165479</v>
      </c>
      <c r="E32" s="441"/>
    </row>
    <row r="33" spans="1:5" x14ac:dyDescent="0.2">
      <c r="A33" s="418"/>
      <c r="B33" s="419"/>
      <c r="C33" s="416"/>
      <c r="D33" s="420"/>
      <c r="E33" s="441"/>
    </row>
    <row r="34" spans="1:5" x14ac:dyDescent="0.2">
      <c r="C34" s="242"/>
    </row>
    <row r="35" spans="1:5" x14ac:dyDescent="0.2">
      <c r="A35" s="391" t="s">
        <v>17</v>
      </c>
      <c r="B35" s="392"/>
      <c r="C35" s="421" t="s">
        <v>18</v>
      </c>
      <c r="D35" s="422">
        <f>Proforma!C4</f>
        <v>970000</v>
      </c>
      <c r="E35" s="442"/>
    </row>
    <row r="36" spans="1:5" x14ac:dyDescent="0.2">
      <c r="A36" s="423"/>
      <c r="B36" s="424"/>
      <c r="C36" s="425"/>
      <c r="D36" s="426"/>
      <c r="E36" s="442"/>
    </row>
    <row r="37" spans="1:5" x14ac:dyDescent="0.2">
      <c r="A37" s="236" t="s">
        <v>330</v>
      </c>
      <c r="B37" s="427" t="s">
        <v>331</v>
      </c>
      <c r="C37" s="427"/>
      <c r="D37" s="237" t="s">
        <v>16</v>
      </c>
      <c r="E37" s="443"/>
    </row>
    <row r="38" spans="1:5" x14ac:dyDescent="0.2">
      <c r="A38" s="394"/>
      <c r="B38" s="395"/>
      <c r="C38" s="395"/>
      <c r="D38" s="232"/>
    </row>
    <row r="39" spans="1:5" x14ac:dyDescent="0.2">
      <c r="A39" s="233" t="s">
        <v>332</v>
      </c>
      <c r="B39" s="60"/>
      <c r="D39" s="428">
        <f>D35*0.2</f>
        <v>194000</v>
      </c>
      <c r="E39" s="444"/>
    </row>
    <row r="40" spans="1:5" x14ac:dyDescent="0.2">
      <c r="A40" s="234"/>
      <c r="B40" s="429"/>
      <c r="C40" s="174"/>
      <c r="D40" s="430"/>
    </row>
    <row r="41" spans="1:5" x14ac:dyDescent="0.2">
      <c r="A41" s="448" t="s">
        <v>333</v>
      </c>
      <c r="B41" s="431" t="s">
        <v>334</v>
      </c>
      <c r="C41" s="395"/>
      <c r="D41" s="232"/>
    </row>
    <row r="42" spans="1:5" x14ac:dyDescent="0.2">
      <c r="A42" s="432" t="s">
        <v>170</v>
      </c>
      <c r="D42" s="245">
        <v>0</v>
      </c>
      <c r="E42" s="401"/>
    </row>
    <row r="43" spans="1:5" x14ac:dyDescent="0.2">
      <c r="A43" s="432" t="s">
        <v>335</v>
      </c>
      <c r="C43" s="176"/>
      <c r="D43" s="245">
        <v>0</v>
      </c>
      <c r="E43" s="401"/>
    </row>
    <row r="44" spans="1:5" x14ac:dyDescent="0.2">
      <c r="A44" s="432" t="s">
        <v>336</v>
      </c>
      <c r="C44" s="176"/>
      <c r="D44" s="245">
        <v>0</v>
      </c>
      <c r="E44" s="401"/>
    </row>
    <row r="45" spans="1:5" x14ac:dyDescent="0.2">
      <c r="A45" s="234"/>
      <c r="B45" s="174"/>
      <c r="C45" s="405" t="s">
        <v>11</v>
      </c>
      <c r="D45" s="247">
        <f>SUM(D42:D44)</f>
        <v>0</v>
      </c>
      <c r="E45" s="437"/>
    </row>
    <row r="46" spans="1:5" x14ac:dyDescent="0.2">
      <c r="A46" s="448" t="s">
        <v>337</v>
      </c>
      <c r="B46" s="431" t="s">
        <v>338</v>
      </c>
      <c r="C46" s="431" t="s">
        <v>339</v>
      </c>
      <c r="D46" s="232"/>
    </row>
    <row r="47" spans="1:5" x14ac:dyDescent="0.2">
      <c r="A47" s="432" t="s">
        <v>340</v>
      </c>
      <c r="B47" s="177">
        <v>9</v>
      </c>
      <c r="C47" s="401">
        <v>10000</v>
      </c>
      <c r="D47" s="433">
        <f>B47*C47</f>
        <v>90000</v>
      </c>
      <c r="E47" s="40"/>
    </row>
    <row r="48" spans="1:5" x14ac:dyDescent="0.2">
      <c r="A48" s="432"/>
      <c r="B48" s="177"/>
      <c r="D48" s="433">
        <f>B48*C48</f>
        <v>0</v>
      </c>
      <c r="E48" s="40"/>
    </row>
    <row r="49" spans="1:7" x14ac:dyDescent="0.2">
      <c r="A49" s="432"/>
      <c r="B49" s="177"/>
      <c r="D49" s="433">
        <f>B49*C49</f>
        <v>0</v>
      </c>
      <c r="E49" s="40"/>
    </row>
    <row r="50" spans="1:7" x14ac:dyDescent="0.2">
      <c r="A50" s="238"/>
      <c r="C50" s="176"/>
      <c r="D50" s="245"/>
      <c r="E50" s="401"/>
    </row>
    <row r="51" spans="1:7" x14ac:dyDescent="0.2">
      <c r="A51" s="241"/>
      <c r="B51" s="174"/>
      <c r="C51" s="176" t="s">
        <v>11</v>
      </c>
      <c r="D51" s="245">
        <f>SUM(D47:D49)</f>
        <v>90000</v>
      </c>
      <c r="E51" s="401"/>
    </row>
    <row r="52" spans="1:7" x14ac:dyDescent="0.2">
      <c r="A52" s="448" t="s">
        <v>341</v>
      </c>
      <c r="B52" s="431" t="s">
        <v>342</v>
      </c>
      <c r="C52" s="395"/>
      <c r="D52" s="243">
        <f>D35-D39-D45-D51</f>
        <v>686000</v>
      </c>
      <c r="E52" s="437"/>
    </row>
    <row r="53" spans="1:7" x14ac:dyDescent="0.2">
      <c r="A53" s="241"/>
      <c r="B53" s="174"/>
      <c r="C53" s="174"/>
      <c r="D53" s="430"/>
    </row>
    <row r="54" spans="1:7" x14ac:dyDescent="0.2">
      <c r="A54" s="238"/>
    </row>
    <row r="55" spans="1:7" x14ac:dyDescent="0.2">
      <c r="A55" s="448" t="s">
        <v>343</v>
      </c>
      <c r="B55" s="395"/>
      <c r="C55" s="434"/>
      <c r="D55" s="396">
        <f>D52</f>
        <v>686000</v>
      </c>
      <c r="E55" s="437"/>
    </row>
    <row r="56" spans="1:7" x14ac:dyDescent="0.2">
      <c r="A56" s="443" t="s">
        <v>344</v>
      </c>
      <c r="B56" s="38"/>
      <c r="D56" s="244">
        <f ca="1">Proforma!E85</f>
        <v>-77198.299999999988</v>
      </c>
      <c r="E56" s="401"/>
    </row>
    <row r="57" spans="1:7" x14ac:dyDescent="0.2">
      <c r="A57" s="449" t="s">
        <v>345</v>
      </c>
      <c r="B57" s="235"/>
      <c r="C57" s="174"/>
      <c r="D57" s="435">
        <f ca="1">D56-D55</f>
        <v>-763198.3</v>
      </c>
      <c r="E57" s="445"/>
    </row>
    <row r="58" spans="1:7" x14ac:dyDescent="0.2">
      <c r="A58" s="238"/>
      <c r="C58" s="240"/>
      <c r="D58" s="249"/>
      <c r="E58" s="37"/>
    </row>
    <row r="59" spans="1:7" x14ac:dyDescent="0.2">
      <c r="A59" s="241"/>
      <c r="B59" s="174"/>
      <c r="C59" s="250" t="s">
        <v>11</v>
      </c>
      <c r="D59" s="251">
        <f ca="1">SUM(D57:D58)</f>
        <v>-763198.3</v>
      </c>
      <c r="E59" s="401"/>
    </row>
    <row r="60" spans="1:7" x14ac:dyDescent="0.2">
      <c r="G60" s="437"/>
    </row>
    <row r="176" ht="12.75" customHeight="1" x14ac:dyDescent="0.2"/>
  </sheetData>
  <sheetProtection algorithmName="SHA-512" hashValue="9EPzQIsmfAv80/EiASg2k45Ruc3tcZBJXJ+My8uMNeydEK/wmAkHNygyxryO+08z9KcrsWVG4s1myywYXf6+iw==" saltValue="eJbB6+yPo7ClWpwUXtiU5w==" spinCount="100000" sheet="1" objects="1" scenario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10"/>
  <sheetViews>
    <sheetView workbookViewId="0">
      <pane ySplit="2" topLeftCell="A3" activePane="bottomLeft" state="frozen"/>
      <selection pane="bottomLeft" activeCell="B5" sqref="B5"/>
    </sheetView>
  </sheetViews>
  <sheetFormatPr defaultColWidth="8.85546875" defaultRowHeight="14.25" x14ac:dyDescent="0.2"/>
  <cols>
    <col min="1" max="1" width="17.85546875" style="163" customWidth="1"/>
    <col min="2" max="2" width="27.5703125" style="162" customWidth="1"/>
    <col min="3" max="3" width="11.28515625" style="162" bestFit="1" customWidth="1"/>
    <col min="4" max="5" width="11" style="162" customWidth="1"/>
    <col min="6" max="6" width="55" style="490" bestFit="1" customWidth="1"/>
    <col min="7" max="7" width="15.42578125" style="494" bestFit="1" customWidth="1"/>
    <col min="8" max="8" width="10.28515625" style="502" customWidth="1"/>
    <col min="9" max="9" width="10.28515625" style="506" customWidth="1"/>
    <col min="10" max="12" width="10.28515625" style="494" bestFit="1" customWidth="1"/>
    <col min="13" max="13" width="11" style="494" customWidth="1"/>
    <col min="14" max="14" width="14.42578125" style="494" customWidth="1"/>
    <col min="15" max="15" width="14.5703125" style="494" bestFit="1" customWidth="1"/>
    <col min="16" max="16384" width="8.85546875" style="161"/>
  </cols>
  <sheetData>
    <row r="1" spans="1:15" x14ac:dyDescent="0.2">
      <c r="A1"/>
      <c r="B1" s="480"/>
      <c r="C1"/>
      <c r="D1"/>
      <c r="E1"/>
      <c r="F1" s="484"/>
    </row>
    <row r="2" spans="1:15" ht="39" thickBot="1" x14ac:dyDescent="0.25">
      <c r="A2" s="483" t="s">
        <v>355</v>
      </c>
      <c r="B2" s="483" t="s">
        <v>356</v>
      </c>
      <c r="C2" s="475" t="s">
        <v>357</v>
      </c>
      <c r="D2" s="475" t="s">
        <v>358</v>
      </c>
      <c r="E2" s="476" t="s">
        <v>359</v>
      </c>
      <c r="F2" s="485" t="s">
        <v>360</v>
      </c>
      <c r="G2" s="498" t="s">
        <v>596</v>
      </c>
      <c r="H2" s="503" t="s">
        <v>597</v>
      </c>
      <c r="I2" s="507" t="s">
        <v>598</v>
      </c>
      <c r="J2" s="499" t="s">
        <v>590</v>
      </c>
      <c r="K2" s="499" t="s">
        <v>591</v>
      </c>
      <c r="L2" s="499" t="s">
        <v>592</v>
      </c>
      <c r="M2" s="499" t="s">
        <v>593</v>
      </c>
      <c r="N2" s="499" t="s">
        <v>594</v>
      </c>
      <c r="O2" s="499" t="s">
        <v>595</v>
      </c>
    </row>
    <row r="3" spans="1:15" x14ac:dyDescent="0.2">
      <c r="A3" s="477" t="s">
        <v>361</v>
      </c>
      <c r="B3" s="477" t="s">
        <v>362</v>
      </c>
      <c r="C3" s="477" t="s">
        <v>363</v>
      </c>
      <c r="D3" s="508">
        <v>350</v>
      </c>
      <c r="E3" s="508">
        <v>2550</v>
      </c>
      <c r="F3" s="486" t="s">
        <v>364</v>
      </c>
      <c r="G3" s="495">
        <v>0</v>
      </c>
      <c r="H3" s="504"/>
      <c r="I3" s="500"/>
      <c r="J3" s="495"/>
      <c r="O3" s="494">
        <f>SUM(J3:N3)</f>
        <v>0</v>
      </c>
    </row>
    <row r="4" spans="1:15" x14ac:dyDescent="0.2">
      <c r="A4" s="478" t="s">
        <v>485</v>
      </c>
      <c r="B4" s="478" t="s">
        <v>486</v>
      </c>
      <c r="C4" s="478" t="s">
        <v>487</v>
      </c>
      <c r="D4" s="509">
        <v>450</v>
      </c>
      <c r="E4" s="509">
        <v>2400.4299999999998</v>
      </c>
      <c r="F4" s="487" t="s">
        <v>488</v>
      </c>
      <c r="G4" s="495">
        <v>255</v>
      </c>
      <c r="H4" s="504">
        <v>1</v>
      </c>
      <c r="I4" s="500"/>
      <c r="J4" s="495">
        <v>450</v>
      </c>
      <c r="K4" s="494">
        <v>450</v>
      </c>
      <c r="L4" s="494">
        <v>450</v>
      </c>
      <c r="M4" s="494">
        <v>450</v>
      </c>
      <c r="O4" s="494">
        <f t="shared" ref="O4:O67" si="0">SUM(J4:N4)</f>
        <v>1800</v>
      </c>
    </row>
    <row r="5" spans="1:15" x14ac:dyDescent="0.2">
      <c r="A5" s="478" t="s">
        <v>365</v>
      </c>
      <c r="B5" s="478" t="s">
        <v>366</v>
      </c>
      <c r="C5" s="478" t="s">
        <v>367</v>
      </c>
      <c r="D5" s="509">
        <v>350</v>
      </c>
      <c r="E5" s="509">
        <v>3500</v>
      </c>
      <c r="F5" s="487" t="s">
        <v>368</v>
      </c>
      <c r="G5" s="495">
        <v>255</v>
      </c>
      <c r="H5" s="504">
        <v>1</v>
      </c>
      <c r="I5" s="500"/>
      <c r="J5" s="495"/>
      <c r="O5" s="494">
        <f t="shared" si="0"/>
        <v>0</v>
      </c>
    </row>
    <row r="6" spans="1:15" x14ac:dyDescent="0.2">
      <c r="A6" s="479" t="s">
        <v>584</v>
      </c>
      <c r="B6" s="479" t="s">
        <v>585</v>
      </c>
      <c r="C6" s="493" t="s">
        <v>586</v>
      </c>
      <c r="D6" s="510">
        <v>400</v>
      </c>
      <c r="E6" s="510">
        <v>2500</v>
      </c>
      <c r="F6" s="492"/>
      <c r="G6" s="495">
        <v>0</v>
      </c>
      <c r="H6" s="504"/>
      <c r="I6" s="500"/>
      <c r="J6" s="495"/>
      <c r="O6" s="494">
        <f t="shared" si="0"/>
        <v>0</v>
      </c>
    </row>
    <row r="7" spans="1:15" x14ac:dyDescent="0.2">
      <c r="A7" s="479" t="s">
        <v>538</v>
      </c>
      <c r="B7" s="479" t="s">
        <v>539</v>
      </c>
      <c r="C7" s="479" t="s">
        <v>540</v>
      </c>
      <c r="D7" s="510">
        <v>300</v>
      </c>
      <c r="E7" s="510">
        <v>7895.9</v>
      </c>
      <c r="F7" s="488" t="s">
        <v>541</v>
      </c>
      <c r="G7" s="495">
        <v>270</v>
      </c>
      <c r="H7" s="504">
        <v>1</v>
      </c>
      <c r="I7" s="500"/>
      <c r="J7" s="495"/>
      <c r="O7" s="494">
        <f t="shared" si="0"/>
        <v>0</v>
      </c>
    </row>
    <row r="8" spans="1:15" x14ac:dyDescent="0.2">
      <c r="A8" s="479" t="s">
        <v>482</v>
      </c>
      <c r="B8" s="479" t="s">
        <v>483</v>
      </c>
      <c r="C8" s="479" t="s">
        <v>484</v>
      </c>
      <c r="D8" s="510">
        <v>400</v>
      </c>
      <c r="E8" s="510">
        <v>11300</v>
      </c>
      <c r="F8" s="488" t="s">
        <v>395</v>
      </c>
      <c r="G8" s="495">
        <v>270</v>
      </c>
      <c r="H8" s="504">
        <v>1</v>
      </c>
      <c r="I8" s="500"/>
      <c r="J8" s="495"/>
      <c r="O8" s="494">
        <f t="shared" si="0"/>
        <v>0</v>
      </c>
    </row>
    <row r="9" spans="1:15" x14ac:dyDescent="0.2">
      <c r="A9" s="478" t="s">
        <v>446</v>
      </c>
      <c r="B9" s="478" t="s">
        <v>447</v>
      </c>
      <c r="C9" s="478" t="s">
        <v>398</v>
      </c>
      <c r="D9" s="509">
        <v>350</v>
      </c>
      <c r="E9" s="509">
        <v>350</v>
      </c>
      <c r="F9" s="487" t="s">
        <v>448</v>
      </c>
      <c r="G9" s="495">
        <v>270</v>
      </c>
      <c r="H9" s="504">
        <v>1</v>
      </c>
      <c r="I9" s="500"/>
      <c r="J9" s="495">
        <v>350</v>
      </c>
      <c r="K9" s="494">
        <v>350</v>
      </c>
      <c r="L9" s="494">
        <v>350</v>
      </c>
      <c r="M9" s="494">
        <v>350</v>
      </c>
      <c r="N9" s="494">
        <v>350</v>
      </c>
      <c r="O9" s="494">
        <f t="shared" si="0"/>
        <v>1750</v>
      </c>
    </row>
    <row r="10" spans="1:15" x14ac:dyDescent="0.2">
      <c r="A10" s="478" t="s">
        <v>587</v>
      </c>
      <c r="B10" s="478" t="s">
        <v>588</v>
      </c>
      <c r="C10" s="491"/>
      <c r="D10" s="510">
        <v>0</v>
      </c>
      <c r="E10" s="509">
        <v>400</v>
      </c>
      <c r="F10" s="492"/>
      <c r="G10" s="496">
        <v>0</v>
      </c>
      <c r="H10" s="505">
        <v>1</v>
      </c>
      <c r="I10" s="501"/>
      <c r="J10" s="495"/>
      <c r="L10" s="494">
        <v>350</v>
      </c>
      <c r="O10" s="494">
        <f t="shared" si="0"/>
        <v>350</v>
      </c>
    </row>
    <row r="11" spans="1:15" x14ac:dyDescent="0.2">
      <c r="A11" s="478" t="s">
        <v>369</v>
      </c>
      <c r="B11" s="478" t="s">
        <v>370</v>
      </c>
      <c r="C11" s="478" t="s">
        <v>371</v>
      </c>
      <c r="D11" s="509">
        <v>400</v>
      </c>
      <c r="E11" s="510">
        <v>8108.66</v>
      </c>
      <c r="F11" s="487" t="s">
        <v>372</v>
      </c>
      <c r="G11" s="495">
        <v>255</v>
      </c>
      <c r="H11" s="504">
        <v>1</v>
      </c>
      <c r="I11" s="500"/>
      <c r="J11" s="495"/>
      <c r="O11" s="494">
        <f t="shared" si="0"/>
        <v>0</v>
      </c>
    </row>
    <row r="12" spans="1:15" x14ac:dyDescent="0.2">
      <c r="A12" s="478" t="s">
        <v>457</v>
      </c>
      <c r="B12" s="478" t="s">
        <v>458</v>
      </c>
      <c r="C12" s="478" t="s">
        <v>459</v>
      </c>
      <c r="D12" s="509">
        <v>700</v>
      </c>
      <c r="E12" s="510">
        <v>800</v>
      </c>
      <c r="F12" s="487" t="s">
        <v>460</v>
      </c>
      <c r="G12" s="495">
        <v>265</v>
      </c>
      <c r="H12" s="504"/>
      <c r="I12" s="500"/>
      <c r="J12" s="495">
        <f>450+400+400</f>
        <v>1250</v>
      </c>
      <c r="L12" s="494">
        <v>400</v>
      </c>
      <c r="N12" s="494">
        <v>400</v>
      </c>
      <c r="O12" s="494">
        <f t="shared" si="0"/>
        <v>2050</v>
      </c>
    </row>
    <row r="13" spans="1:15" x14ac:dyDescent="0.2">
      <c r="A13" s="478" t="s">
        <v>373</v>
      </c>
      <c r="B13" s="478" t="s">
        <v>374</v>
      </c>
      <c r="C13" s="478" t="s">
        <v>375</v>
      </c>
      <c r="D13" s="509">
        <v>310</v>
      </c>
      <c r="E13" s="509">
        <v>13148.8</v>
      </c>
      <c r="F13" s="487" t="s">
        <v>376</v>
      </c>
      <c r="G13" s="495">
        <v>200</v>
      </c>
      <c r="H13" s="504"/>
      <c r="I13" s="500"/>
      <c r="J13" s="495"/>
      <c r="O13" s="494">
        <f t="shared" si="0"/>
        <v>0</v>
      </c>
    </row>
    <row r="14" spans="1:15" x14ac:dyDescent="0.2">
      <c r="A14" s="479" t="s">
        <v>568</v>
      </c>
      <c r="B14" s="479" t="s">
        <v>569</v>
      </c>
      <c r="C14" s="479" t="s">
        <v>570</v>
      </c>
      <c r="D14" s="510">
        <v>1000</v>
      </c>
      <c r="E14" s="510">
        <v>8300</v>
      </c>
      <c r="F14" s="488" t="s">
        <v>571</v>
      </c>
      <c r="G14" s="495">
        <v>400</v>
      </c>
      <c r="H14" s="504">
        <v>1</v>
      </c>
      <c r="I14" s="500"/>
      <c r="J14" s="495"/>
      <c r="O14" s="494">
        <f t="shared" si="0"/>
        <v>0</v>
      </c>
    </row>
    <row r="15" spans="1:15" x14ac:dyDescent="0.2">
      <c r="A15" s="478" t="s">
        <v>377</v>
      </c>
      <c r="B15" s="478" t="s">
        <v>378</v>
      </c>
      <c r="C15" s="478" t="s">
        <v>379</v>
      </c>
      <c r="D15" s="509">
        <v>450</v>
      </c>
      <c r="E15" s="509">
        <v>11978.88</v>
      </c>
      <c r="F15" s="487" t="s">
        <v>380</v>
      </c>
      <c r="G15" s="495">
        <v>255</v>
      </c>
      <c r="H15" s="504">
        <v>1</v>
      </c>
      <c r="I15" s="500"/>
      <c r="J15" s="495"/>
      <c r="O15" s="494">
        <f t="shared" si="0"/>
        <v>0</v>
      </c>
    </row>
    <row r="16" spans="1:15" x14ac:dyDescent="0.2">
      <c r="A16" s="478" t="s">
        <v>575</v>
      </c>
      <c r="B16" s="478" t="s">
        <v>576</v>
      </c>
      <c r="C16" s="478"/>
      <c r="D16" s="510">
        <v>0</v>
      </c>
      <c r="E16" s="509">
        <v>6650</v>
      </c>
      <c r="F16" s="487" t="s">
        <v>541</v>
      </c>
      <c r="G16" s="495">
        <v>550</v>
      </c>
      <c r="H16" s="504">
        <v>1</v>
      </c>
      <c r="I16" s="500"/>
      <c r="J16" s="495"/>
      <c r="O16" s="494">
        <f t="shared" si="0"/>
        <v>0</v>
      </c>
    </row>
    <row r="17" spans="1:15" x14ac:dyDescent="0.2">
      <c r="A17" s="478" t="s">
        <v>506</v>
      </c>
      <c r="B17" s="478" t="s">
        <v>507</v>
      </c>
      <c r="C17" s="478" t="s">
        <v>508</v>
      </c>
      <c r="D17" s="509">
        <v>450</v>
      </c>
      <c r="E17" s="509">
        <v>4950</v>
      </c>
      <c r="F17" s="487" t="s">
        <v>407</v>
      </c>
      <c r="G17" s="495">
        <v>270</v>
      </c>
      <c r="H17" s="504">
        <v>1</v>
      </c>
      <c r="I17" s="500"/>
      <c r="J17" s="495"/>
      <c r="O17" s="494">
        <f t="shared" si="0"/>
        <v>0</v>
      </c>
    </row>
    <row r="18" spans="1:15" x14ac:dyDescent="0.2">
      <c r="A18" s="478" t="s">
        <v>496</v>
      </c>
      <c r="B18" s="478" t="s">
        <v>497</v>
      </c>
      <c r="C18" s="478" t="s">
        <v>498</v>
      </c>
      <c r="D18" s="509">
        <v>125</v>
      </c>
      <c r="E18" s="509">
        <v>29196.06</v>
      </c>
      <c r="F18" s="487" t="s">
        <v>499</v>
      </c>
      <c r="G18" s="496">
        <v>270</v>
      </c>
      <c r="H18" s="505">
        <v>1</v>
      </c>
      <c r="I18" s="501"/>
      <c r="J18" s="495"/>
      <c r="O18" s="494">
        <f t="shared" si="0"/>
        <v>0</v>
      </c>
    </row>
    <row r="19" spans="1:15" x14ac:dyDescent="0.2">
      <c r="A19" s="478" t="s">
        <v>534</v>
      </c>
      <c r="B19" s="478" t="s">
        <v>535</v>
      </c>
      <c r="C19" s="478" t="s">
        <v>536</v>
      </c>
      <c r="D19" s="509">
        <v>400</v>
      </c>
      <c r="E19" s="509">
        <v>15118.8</v>
      </c>
      <c r="F19" s="487" t="s">
        <v>537</v>
      </c>
      <c r="G19" s="495">
        <v>270</v>
      </c>
      <c r="H19" s="504">
        <v>1</v>
      </c>
      <c r="I19" s="500"/>
      <c r="J19" s="495"/>
      <c r="O19" s="494">
        <f t="shared" si="0"/>
        <v>0</v>
      </c>
    </row>
    <row r="20" spans="1:15" x14ac:dyDescent="0.2">
      <c r="A20" s="478" t="s">
        <v>577</v>
      </c>
      <c r="B20" s="478" t="s">
        <v>578</v>
      </c>
      <c r="C20" s="478" t="s">
        <v>579</v>
      </c>
      <c r="D20" s="510">
        <v>100</v>
      </c>
      <c r="E20" s="509">
        <v>7250</v>
      </c>
      <c r="F20" s="487" t="s">
        <v>541</v>
      </c>
      <c r="G20" s="495">
        <v>400</v>
      </c>
      <c r="H20" s="504">
        <v>1</v>
      </c>
      <c r="I20" s="500"/>
      <c r="J20" s="495"/>
      <c r="O20" s="494">
        <f t="shared" si="0"/>
        <v>0</v>
      </c>
    </row>
    <row r="21" spans="1:15" ht="13.9" customHeight="1" x14ac:dyDescent="0.2">
      <c r="A21" s="478" t="s">
        <v>561</v>
      </c>
      <c r="B21" s="478" t="s">
        <v>562</v>
      </c>
      <c r="C21" s="478"/>
      <c r="D21" s="510">
        <v>0</v>
      </c>
      <c r="E21" s="509">
        <v>14550</v>
      </c>
      <c r="F21" s="487" t="s">
        <v>528</v>
      </c>
      <c r="G21" s="495">
        <v>450</v>
      </c>
      <c r="H21" s="504">
        <v>1</v>
      </c>
      <c r="I21" s="500"/>
      <c r="J21" s="495"/>
      <c r="O21" s="494">
        <f t="shared" si="0"/>
        <v>0</v>
      </c>
    </row>
    <row r="22" spans="1:15" x14ac:dyDescent="0.2">
      <c r="A22" s="478" t="s">
        <v>475</v>
      </c>
      <c r="B22" s="478" t="s">
        <v>476</v>
      </c>
      <c r="C22" s="478" t="s">
        <v>477</v>
      </c>
      <c r="D22" s="509">
        <v>400</v>
      </c>
      <c r="E22" s="509">
        <v>24295.46</v>
      </c>
      <c r="F22" s="487" t="s">
        <v>478</v>
      </c>
      <c r="G22" s="495">
        <v>270</v>
      </c>
      <c r="H22" s="504"/>
      <c r="I22" s="500"/>
      <c r="J22" s="495"/>
      <c r="O22" s="494">
        <f t="shared" si="0"/>
        <v>0</v>
      </c>
    </row>
    <row r="23" spans="1:15" x14ac:dyDescent="0.2">
      <c r="A23" s="479" t="s">
        <v>468</v>
      </c>
      <c r="B23" s="480" t="s">
        <v>589</v>
      </c>
      <c r="C23" s="479" t="s">
        <v>469</v>
      </c>
      <c r="D23" s="510">
        <v>300</v>
      </c>
      <c r="E23" s="510">
        <v>18368.54</v>
      </c>
      <c r="F23" s="488" t="s">
        <v>470</v>
      </c>
      <c r="G23" s="495">
        <v>265</v>
      </c>
      <c r="H23" s="504">
        <v>1</v>
      </c>
      <c r="I23" s="500"/>
      <c r="J23" s="495"/>
      <c r="O23" s="494">
        <f t="shared" si="0"/>
        <v>0</v>
      </c>
    </row>
    <row r="24" spans="1:15" x14ac:dyDescent="0.2">
      <c r="A24" s="478" t="s">
        <v>500</v>
      </c>
      <c r="B24" s="478" t="s">
        <v>501</v>
      </c>
      <c r="C24" s="478" t="s">
        <v>473</v>
      </c>
      <c r="D24" s="509">
        <v>350</v>
      </c>
      <c r="E24" s="509">
        <v>350</v>
      </c>
      <c r="F24" s="487" t="s">
        <v>399</v>
      </c>
      <c r="G24" s="495">
        <v>350</v>
      </c>
      <c r="H24" s="504">
        <v>1</v>
      </c>
      <c r="I24" s="500"/>
      <c r="J24" s="494">
        <v>350</v>
      </c>
      <c r="K24" s="494">
        <v>350</v>
      </c>
      <c r="L24" s="494">
        <v>350</v>
      </c>
      <c r="M24" s="494">
        <v>350</v>
      </c>
      <c r="N24" s="494">
        <v>350</v>
      </c>
      <c r="O24" s="494">
        <f t="shared" si="0"/>
        <v>1750</v>
      </c>
    </row>
    <row r="25" spans="1:15" x14ac:dyDescent="0.2">
      <c r="A25" s="478" t="s">
        <v>461</v>
      </c>
      <c r="B25" s="478" t="s">
        <v>462</v>
      </c>
      <c r="C25" s="478" t="s">
        <v>463</v>
      </c>
      <c r="D25" s="509">
        <v>300</v>
      </c>
      <c r="E25" s="509">
        <v>3657.14</v>
      </c>
      <c r="F25" s="487" t="s">
        <v>464</v>
      </c>
      <c r="G25" s="495">
        <v>0</v>
      </c>
      <c r="H25" s="504">
        <v>1</v>
      </c>
      <c r="I25" s="500"/>
      <c r="J25" s="495">
        <v>350</v>
      </c>
      <c r="L25" s="494">
        <f>350+340+20</f>
        <v>710</v>
      </c>
      <c r="M25" s="494">
        <v>350</v>
      </c>
      <c r="N25" s="494">
        <v>350</v>
      </c>
      <c r="O25" s="494">
        <f t="shared" si="0"/>
        <v>1760</v>
      </c>
    </row>
    <row r="26" spans="1:15" x14ac:dyDescent="0.2">
      <c r="A26" s="479" t="s">
        <v>492</v>
      </c>
      <c r="B26" s="479" t="s">
        <v>493</v>
      </c>
      <c r="C26" s="479" t="s">
        <v>494</v>
      </c>
      <c r="D26" s="510">
        <v>50</v>
      </c>
      <c r="E26" s="510">
        <v>19527.169999999998</v>
      </c>
      <c r="F26" s="488" t="s">
        <v>495</v>
      </c>
      <c r="G26" s="495">
        <v>270</v>
      </c>
      <c r="H26" s="504"/>
      <c r="I26" s="500"/>
      <c r="J26" s="495"/>
      <c r="O26" s="494">
        <f t="shared" si="0"/>
        <v>0</v>
      </c>
    </row>
    <row r="27" spans="1:15" x14ac:dyDescent="0.2">
      <c r="A27" s="478" t="s">
        <v>381</v>
      </c>
      <c r="B27" s="478" t="s">
        <v>382</v>
      </c>
      <c r="C27" s="478" t="s">
        <v>379</v>
      </c>
      <c r="D27" s="509">
        <v>300</v>
      </c>
      <c r="E27" s="509">
        <v>12895.22</v>
      </c>
      <c r="F27" s="487" t="s">
        <v>383</v>
      </c>
      <c r="G27" s="495">
        <v>325</v>
      </c>
      <c r="H27" s="504">
        <v>1</v>
      </c>
      <c r="I27" s="500"/>
      <c r="J27" s="495"/>
      <c r="O27" s="494">
        <f t="shared" si="0"/>
        <v>0</v>
      </c>
    </row>
    <row r="28" spans="1:15" x14ac:dyDescent="0.2">
      <c r="A28" s="478" t="s">
        <v>532</v>
      </c>
      <c r="B28" s="478" t="s">
        <v>533</v>
      </c>
      <c r="C28" s="478" t="s">
        <v>371</v>
      </c>
      <c r="D28" s="509">
        <v>400</v>
      </c>
      <c r="E28" s="509">
        <v>3650</v>
      </c>
      <c r="F28" s="487" t="s">
        <v>431</v>
      </c>
      <c r="G28" s="495">
        <v>270</v>
      </c>
      <c r="H28" s="504">
        <v>1</v>
      </c>
      <c r="I28" s="500"/>
      <c r="J28" s="495"/>
      <c r="O28" s="494">
        <f t="shared" si="0"/>
        <v>0</v>
      </c>
    </row>
    <row r="29" spans="1:15" x14ac:dyDescent="0.2">
      <c r="A29" s="478" t="s">
        <v>522</v>
      </c>
      <c r="B29" s="478" t="s">
        <v>523</v>
      </c>
      <c r="C29" s="478" t="s">
        <v>524</v>
      </c>
      <c r="D29" s="509">
        <v>425</v>
      </c>
      <c r="E29" s="509">
        <v>17315</v>
      </c>
      <c r="F29" s="487" t="s">
        <v>525</v>
      </c>
      <c r="G29" s="495">
        <v>270</v>
      </c>
      <c r="H29" s="504">
        <v>1</v>
      </c>
      <c r="I29" s="500"/>
      <c r="J29" s="495"/>
      <c r="O29" s="494">
        <f t="shared" si="0"/>
        <v>0</v>
      </c>
    </row>
    <row r="30" spans="1:15" ht="13.9" customHeight="1" x14ac:dyDescent="0.2">
      <c r="A30" s="479" t="s">
        <v>546</v>
      </c>
      <c r="B30" s="479" t="s">
        <v>547</v>
      </c>
      <c r="C30" s="479" t="s">
        <v>548</v>
      </c>
      <c r="D30" s="510">
        <v>200</v>
      </c>
      <c r="E30" s="510">
        <v>14970</v>
      </c>
      <c r="F30" s="488" t="s">
        <v>549</v>
      </c>
      <c r="G30" s="495">
        <v>270</v>
      </c>
      <c r="H30" s="504">
        <v>1</v>
      </c>
      <c r="I30" s="500"/>
      <c r="J30" s="495"/>
      <c r="O30" s="494">
        <f t="shared" si="0"/>
        <v>0</v>
      </c>
    </row>
    <row r="31" spans="1:15" x14ac:dyDescent="0.2">
      <c r="A31" s="478" t="s">
        <v>384</v>
      </c>
      <c r="B31" s="478" t="s">
        <v>385</v>
      </c>
      <c r="C31" s="478" t="s">
        <v>386</v>
      </c>
      <c r="D31" s="509">
        <v>400</v>
      </c>
      <c r="E31" s="509">
        <v>14073.49</v>
      </c>
      <c r="F31" s="487" t="s">
        <v>387</v>
      </c>
      <c r="G31" s="495">
        <v>255</v>
      </c>
      <c r="H31" s="504">
        <v>1</v>
      </c>
      <c r="I31" s="500"/>
      <c r="J31" s="495"/>
      <c r="O31" s="494">
        <f t="shared" si="0"/>
        <v>0</v>
      </c>
    </row>
    <row r="32" spans="1:15" x14ac:dyDescent="0.2">
      <c r="A32" s="478" t="s">
        <v>388</v>
      </c>
      <c r="B32" s="478" t="s">
        <v>389</v>
      </c>
      <c r="C32" s="478" t="s">
        <v>390</v>
      </c>
      <c r="D32" s="510">
        <v>200</v>
      </c>
      <c r="E32" s="509">
        <v>19292.72</v>
      </c>
      <c r="F32" s="487" t="s">
        <v>391</v>
      </c>
      <c r="G32" s="495">
        <v>200</v>
      </c>
      <c r="H32" s="504"/>
      <c r="I32" s="500"/>
      <c r="J32" s="495"/>
      <c r="O32" s="494">
        <f t="shared" si="0"/>
        <v>0</v>
      </c>
    </row>
    <row r="33" spans="1:15" x14ac:dyDescent="0.2">
      <c r="A33" s="479" t="s">
        <v>529</v>
      </c>
      <c r="B33" s="479" t="s">
        <v>530</v>
      </c>
      <c r="C33" s="479" t="s">
        <v>531</v>
      </c>
      <c r="D33" s="510">
        <v>400</v>
      </c>
      <c r="E33" s="510">
        <v>650</v>
      </c>
      <c r="F33" s="488" t="s">
        <v>460</v>
      </c>
      <c r="G33" s="495">
        <v>270</v>
      </c>
      <c r="H33" s="504">
        <v>1</v>
      </c>
      <c r="I33" s="500"/>
      <c r="J33" s="495"/>
      <c r="O33" s="494">
        <f t="shared" si="0"/>
        <v>0</v>
      </c>
    </row>
    <row r="34" spans="1:15" x14ac:dyDescent="0.2">
      <c r="A34" s="479" t="s">
        <v>557</v>
      </c>
      <c r="B34" s="479" t="s">
        <v>558</v>
      </c>
      <c r="C34" s="479" t="s">
        <v>559</v>
      </c>
      <c r="D34" s="510">
        <v>500</v>
      </c>
      <c r="E34" s="510">
        <v>11200</v>
      </c>
      <c r="F34" s="488" t="s">
        <v>560</v>
      </c>
      <c r="G34" s="495">
        <v>400</v>
      </c>
      <c r="H34" s="504"/>
      <c r="I34" s="500"/>
      <c r="J34" s="495"/>
      <c r="O34" s="494">
        <f t="shared" si="0"/>
        <v>0</v>
      </c>
    </row>
    <row r="35" spans="1:15" x14ac:dyDescent="0.2">
      <c r="A35" s="478" t="s">
        <v>471</v>
      </c>
      <c r="B35" s="478" t="s">
        <v>472</v>
      </c>
      <c r="C35" s="478" t="s">
        <v>473</v>
      </c>
      <c r="D35" s="509">
        <v>350</v>
      </c>
      <c r="E35" s="509">
        <v>350.05</v>
      </c>
      <c r="F35" s="487" t="s">
        <v>474</v>
      </c>
      <c r="G35" s="495">
        <v>270</v>
      </c>
      <c r="H35" s="504">
        <v>1</v>
      </c>
      <c r="I35" s="500"/>
      <c r="J35" s="495">
        <v>350</v>
      </c>
      <c r="K35" s="494">
        <v>350</v>
      </c>
      <c r="L35" s="494">
        <v>350</v>
      </c>
      <c r="M35" s="494">
        <v>350</v>
      </c>
      <c r="N35" s="494">
        <v>350</v>
      </c>
      <c r="O35" s="494">
        <f t="shared" si="0"/>
        <v>1750</v>
      </c>
    </row>
    <row r="36" spans="1:15" x14ac:dyDescent="0.2">
      <c r="A36" s="479" t="s">
        <v>553</v>
      </c>
      <c r="B36" s="479" t="s">
        <v>554</v>
      </c>
      <c r="C36" s="479" t="s">
        <v>555</v>
      </c>
      <c r="D36" s="510">
        <v>200</v>
      </c>
      <c r="E36" s="510">
        <v>9840</v>
      </c>
      <c r="F36" s="488" t="s">
        <v>556</v>
      </c>
      <c r="G36" s="495">
        <v>325</v>
      </c>
      <c r="H36" s="504"/>
      <c r="I36" s="500"/>
      <c r="J36" s="495"/>
      <c r="O36" s="494">
        <f t="shared" si="0"/>
        <v>0</v>
      </c>
    </row>
    <row r="37" spans="1:15" x14ac:dyDescent="0.2">
      <c r="A37" s="478" t="s">
        <v>392</v>
      </c>
      <c r="B37" s="478" t="s">
        <v>393</v>
      </c>
      <c r="C37" s="478" t="s">
        <v>394</v>
      </c>
      <c r="D37" s="509">
        <v>400</v>
      </c>
      <c r="E37" s="509">
        <v>12896.41</v>
      </c>
      <c r="F37" s="487" t="s">
        <v>395</v>
      </c>
      <c r="G37" s="495">
        <v>355</v>
      </c>
      <c r="H37" s="504">
        <v>1</v>
      </c>
      <c r="I37" s="500"/>
      <c r="J37" s="495"/>
      <c r="K37" s="494">
        <v>2000</v>
      </c>
      <c r="L37" s="494">
        <v>860</v>
      </c>
      <c r="N37" s="494">
        <v>350</v>
      </c>
      <c r="O37" s="494">
        <f t="shared" si="0"/>
        <v>3210</v>
      </c>
    </row>
    <row r="38" spans="1:15" x14ac:dyDescent="0.2">
      <c r="A38" s="478" t="s">
        <v>513</v>
      </c>
      <c r="B38" s="478" t="s">
        <v>514</v>
      </c>
      <c r="C38" s="478" t="s">
        <v>515</v>
      </c>
      <c r="D38" s="510">
        <v>200</v>
      </c>
      <c r="E38" s="509">
        <v>22237.07</v>
      </c>
      <c r="F38" s="487" t="s">
        <v>495</v>
      </c>
      <c r="G38" s="495">
        <v>270</v>
      </c>
      <c r="H38" s="504"/>
      <c r="I38" s="500"/>
      <c r="J38" s="495"/>
      <c r="O38" s="494">
        <f t="shared" si="0"/>
        <v>0</v>
      </c>
    </row>
    <row r="39" spans="1:15" x14ac:dyDescent="0.2">
      <c r="A39" s="479" t="s">
        <v>516</v>
      </c>
      <c r="B39" s="479" t="s">
        <v>517</v>
      </c>
      <c r="C39" s="479" t="s">
        <v>518</v>
      </c>
      <c r="D39" s="510">
        <v>220</v>
      </c>
      <c r="E39" s="510">
        <v>22533.119999999999</v>
      </c>
      <c r="F39" s="488" t="s">
        <v>519</v>
      </c>
      <c r="G39" s="495">
        <v>270</v>
      </c>
      <c r="H39" s="504"/>
      <c r="I39" s="500"/>
      <c r="J39" s="495"/>
      <c r="O39" s="494">
        <f t="shared" si="0"/>
        <v>0</v>
      </c>
    </row>
    <row r="40" spans="1:15" x14ac:dyDescent="0.2">
      <c r="A40" s="479" t="s">
        <v>509</v>
      </c>
      <c r="B40" s="479" t="s">
        <v>510</v>
      </c>
      <c r="C40" s="479" t="s">
        <v>511</v>
      </c>
      <c r="D40" s="510">
        <v>450</v>
      </c>
      <c r="E40" s="510">
        <v>5300.75</v>
      </c>
      <c r="F40" s="488" t="s">
        <v>512</v>
      </c>
      <c r="G40" s="495">
        <v>0</v>
      </c>
      <c r="H40" s="504">
        <v>1</v>
      </c>
      <c r="I40" s="500"/>
      <c r="J40" s="495"/>
      <c r="O40" s="494">
        <f t="shared" si="0"/>
        <v>0</v>
      </c>
    </row>
    <row r="41" spans="1:15" x14ac:dyDescent="0.2">
      <c r="A41" s="478" t="s">
        <v>396</v>
      </c>
      <c r="B41" s="478" t="s">
        <v>397</v>
      </c>
      <c r="C41" s="478" t="s">
        <v>398</v>
      </c>
      <c r="D41" s="509">
        <v>350</v>
      </c>
      <c r="E41" s="509">
        <v>350</v>
      </c>
      <c r="F41" s="487" t="s">
        <v>399</v>
      </c>
      <c r="G41" s="495">
        <v>0</v>
      </c>
      <c r="H41" s="504">
        <v>1</v>
      </c>
      <c r="I41" s="500"/>
      <c r="J41" s="495">
        <v>350</v>
      </c>
      <c r="K41" s="494">
        <v>350</v>
      </c>
      <c r="L41" s="494">
        <v>350</v>
      </c>
      <c r="M41" s="494">
        <v>350</v>
      </c>
      <c r="N41" s="494">
        <v>350</v>
      </c>
      <c r="O41" s="494">
        <f t="shared" si="0"/>
        <v>1750</v>
      </c>
    </row>
    <row r="42" spans="1:15" x14ac:dyDescent="0.2">
      <c r="A42" s="479" t="s">
        <v>400</v>
      </c>
      <c r="B42" s="479" t="s">
        <v>401</v>
      </c>
      <c r="C42" s="479" t="s">
        <v>402</v>
      </c>
      <c r="D42" s="510">
        <v>300</v>
      </c>
      <c r="E42" s="510">
        <v>16869.400000000001</v>
      </c>
      <c r="F42" s="488" t="s">
        <v>403</v>
      </c>
      <c r="G42" s="495">
        <v>200</v>
      </c>
      <c r="H42" s="504"/>
      <c r="I42" s="500"/>
      <c r="J42" s="495"/>
      <c r="O42" s="494">
        <f t="shared" si="0"/>
        <v>0</v>
      </c>
    </row>
    <row r="43" spans="1:15" x14ac:dyDescent="0.2">
      <c r="A43" s="478" t="s">
        <v>526</v>
      </c>
      <c r="B43" s="478" t="s">
        <v>527</v>
      </c>
      <c r="C43" s="478" t="s">
        <v>518</v>
      </c>
      <c r="D43" s="510">
        <v>1000</v>
      </c>
      <c r="E43" s="509">
        <v>13905.6</v>
      </c>
      <c r="F43" s="487" t="s">
        <v>528</v>
      </c>
      <c r="G43" s="495">
        <v>270</v>
      </c>
      <c r="H43" s="504">
        <v>1</v>
      </c>
      <c r="I43" s="500"/>
      <c r="J43" s="495"/>
      <c r="O43" s="494">
        <f t="shared" si="0"/>
        <v>0</v>
      </c>
    </row>
    <row r="44" spans="1:15" x14ac:dyDescent="0.2">
      <c r="A44" s="479" t="s">
        <v>404</v>
      </c>
      <c r="B44" s="479" t="s">
        <v>405</v>
      </c>
      <c r="C44" s="479" t="s">
        <v>406</v>
      </c>
      <c r="D44" s="510">
        <v>700</v>
      </c>
      <c r="E44" s="510">
        <v>4200</v>
      </c>
      <c r="F44" s="488" t="s">
        <v>407</v>
      </c>
      <c r="G44" s="495">
        <v>250</v>
      </c>
      <c r="H44" s="504">
        <v>1</v>
      </c>
      <c r="I44" s="500"/>
      <c r="J44" s="495"/>
      <c r="K44" s="494">
        <v>500</v>
      </c>
      <c r="M44" s="494">
        <v>700</v>
      </c>
      <c r="O44" s="494">
        <f t="shared" si="0"/>
        <v>1200</v>
      </c>
    </row>
    <row r="45" spans="1:15" x14ac:dyDescent="0.2">
      <c r="A45" s="479" t="s">
        <v>520</v>
      </c>
      <c r="B45" s="479" t="s">
        <v>521</v>
      </c>
      <c r="C45" s="479" t="s">
        <v>430</v>
      </c>
      <c r="D45" s="510">
        <v>350</v>
      </c>
      <c r="E45" s="510">
        <v>349.76</v>
      </c>
      <c r="F45" s="488" t="s">
        <v>399</v>
      </c>
      <c r="G45" s="495">
        <v>270</v>
      </c>
      <c r="H45" s="504">
        <v>1</v>
      </c>
      <c r="I45" s="500"/>
      <c r="J45" s="495">
        <f>350+219</f>
        <v>569</v>
      </c>
      <c r="M45" s="494">
        <v>350</v>
      </c>
      <c r="N45" s="494">
        <v>350</v>
      </c>
      <c r="O45" s="494">
        <f t="shared" si="0"/>
        <v>1269</v>
      </c>
    </row>
    <row r="46" spans="1:15" x14ac:dyDescent="0.2">
      <c r="A46" s="478" t="s">
        <v>412</v>
      </c>
      <c r="B46" s="478" t="s">
        <v>413</v>
      </c>
      <c r="C46" s="478" t="s">
        <v>414</v>
      </c>
      <c r="D46" s="509">
        <v>300</v>
      </c>
      <c r="E46" s="509">
        <v>23664.66</v>
      </c>
      <c r="F46" s="487" t="s">
        <v>415</v>
      </c>
      <c r="G46" s="495">
        <v>255</v>
      </c>
      <c r="H46" s="504">
        <v>1</v>
      </c>
      <c r="I46" s="500"/>
      <c r="J46" s="495"/>
      <c r="O46" s="494">
        <f t="shared" si="0"/>
        <v>0</v>
      </c>
    </row>
    <row r="47" spans="1:15" x14ac:dyDescent="0.2">
      <c r="A47" s="478" t="s">
        <v>416</v>
      </c>
      <c r="B47" s="478" t="s">
        <v>417</v>
      </c>
      <c r="C47" s="478" t="s">
        <v>418</v>
      </c>
      <c r="D47" s="509">
        <v>400</v>
      </c>
      <c r="E47" s="509">
        <v>25258.77</v>
      </c>
      <c r="F47" s="487" t="s">
        <v>419</v>
      </c>
      <c r="G47" s="495">
        <v>0</v>
      </c>
      <c r="H47" s="504">
        <v>1</v>
      </c>
      <c r="I47" s="500"/>
      <c r="J47" s="495"/>
      <c r="O47" s="494">
        <f t="shared" si="0"/>
        <v>0</v>
      </c>
    </row>
    <row r="48" spans="1:15" x14ac:dyDescent="0.2">
      <c r="A48" s="478" t="s">
        <v>420</v>
      </c>
      <c r="B48" s="478" t="s">
        <v>421</v>
      </c>
      <c r="C48" s="478" t="s">
        <v>422</v>
      </c>
      <c r="D48" s="510">
        <v>1000</v>
      </c>
      <c r="E48" s="509">
        <v>8880.2999999999993</v>
      </c>
      <c r="F48" s="487" t="s">
        <v>423</v>
      </c>
      <c r="G48" s="495">
        <v>239</v>
      </c>
      <c r="H48" s="504">
        <v>1</v>
      </c>
      <c r="I48" s="500"/>
      <c r="J48" s="495">
        <v>1000</v>
      </c>
      <c r="N48" s="494">
        <v>400</v>
      </c>
      <c r="O48" s="494">
        <f t="shared" si="0"/>
        <v>1400</v>
      </c>
    </row>
    <row r="49" spans="1:15" x14ac:dyDescent="0.2">
      <c r="A49" s="478" t="s">
        <v>424</v>
      </c>
      <c r="B49" s="478" t="s">
        <v>425</v>
      </c>
      <c r="C49" s="478" t="s">
        <v>426</v>
      </c>
      <c r="D49" s="509">
        <v>400</v>
      </c>
      <c r="E49" s="509">
        <v>7000</v>
      </c>
      <c r="F49" s="487" t="s">
        <v>427</v>
      </c>
      <c r="G49" s="495">
        <v>255</v>
      </c>
      <c r="H49" s="504"/>
      <c r="I49" s="500"/>
      <c r="J49" s="495"/>
      <c r="O49" s="494">
        <f t="shared" si="0"/>
        <v>0</v>
      </c>
    </row>
    <row r="50" spans="1:15" ht="13.9" customHeight="1" x14ac:dyDescent="0.2">
      <c r="A50" s="478" t="s">
        <v>572</v>
      </c>
      <c r="B50" s="478" t="s">
        <v>573</v>
      </c>
      <c r="C50" s="478" t="s">
        <v>574</v>
      </c>
      <c r="D50" s="509">
        <v>300</v>
      </c>
      <c r="E50" s="509">
        <v>8300</v>
      </c>
      <c r="F50" s="487" t="s">
        <v>571</v>
      </c>
      <c r="G50" s="495">
        <v>450</v>
      </c>
      <c r="H50" s="504"/>
      <c r="I50" s="500"/>
      <c r="J50" s="495"/>
      <c r="O50" s="494">
        <f t="shared" si="0"/>
        <v>0</v>
      </c>
    </row>
    <row r="51" spans="1:15" x14ac:dyDescent="0.2">
      <c r="A51" s="478" t="s">
        <v>428</v>
      </c>
      <c r="B51" s="478" t="s">
        <v>429</v>
      </c>
      <c r="C51" s="478" t="s">
        <v>430</v>
      </c>
      <c r="D51" s="509">
        <v>355</v>
      </c>
      <c r="E51" s="510">
        <v>2812.22</v>
      </c>
      <c r="F51" s="487" t="s">
        <v>431</v>
      </c>
      <c r="G51" s="495">
        <v>239</v>
      </c>
      <c r="H51" s="504">
        <v>1</v>
      </c>
      <c r="I51" s="500"/>
      <c r="J51" s="495">
        <v>355</v>
      </c>
      <c r="L51" s="494">
        <v>355</v>
      </c>
      <c r="M51" s="494">
        <v>355</v>
      </c>
      <c r="N51" s="494">
        <v>355</v>
      </c>
      <c r="O51" s="494">
        <f t="shared" si="0"/>
        <v>1420</v>
      </c>
    </row>
    <row r="52" spans="1:15" x14ac:dyDescent="0.2">
      <c r="A52" s="478" t="s">
        <v>465</v>
      </c>
      <c r="B52" s="478" t="s">
        <v>466</v>
      </c>
      <c r="C52" s="478" t="s">
        <v>463</v>
      </c>
      <c r="D52" s="509">
        <v>400</v>
      </c>
      <c r="E52" s="509">
        <v>400</v>
      </c>
      <c r="F52" s="487" t="s">
        <v>467</v>
      </c>
      <c r="G52" s="495">
        <v>215</v>
      </c>
      <c r="H52" s="504">
        <v>1</v>
      </c>
      <c r="I52" s="500"/>
      <c r="J52" s="495">
        <v>400</v>
      </c>
      <c r="K52" s="494">
        <v>400</v>
      </c>
      <c r="L52" s="494">
        <v>2800</v>
      </c>
      <c r="M52" s="494">
        <v>400</v>
      </c>
      <c r="O52" s="494">
        <f t="shared" si="0"/>
        <v>4000</v>
      </c>
    </row>
    <row r="53" spans="1:15" x14ac:dyDescent="0.2">
      <c r="A53" s="479" t="s">
        <v>479</v>
      </c>
      <c r="B53" s="479" t="s">
        <v>480</v>
      </c>
      <c r="C53" s="479" t="s">
        <v>481</v>
      </c>
      <c r="D53" s="510">
        <v>40</v>
      </c>
      <c r="E53" s="510">
        <v>360</v>
      </c>
      <c r="F53" s="488" t="s">
        <v>399</v>
      </c>
      <c r="G53" s="495">
        <v>270</v>
      </c>
      <c r="H53" s="504"/>
      <c r="I53" s="500">
        <v>1</v>
      </c>
      <c r="J53" s="495">
        <v>400</v>
      </c>
      <c r="K53" s="494">
        <v>400</v>
      </c>
      <c r="L53" s="494">
        <v>400</v>
      </c>
      <c r="M53" s="494">
        <v>400</v>
      </c>
      <c r="N53" s="494">
        <v>400</v>
      </c>
      <c r="O53" s="494">
        <f t="shared" si="0"/>
        <v>2000</v>
      </c>
    </row>
    <row r="54" spans="1:15" x14ac:dyDescent="0.2">
      <c r="A54" s="479" t="s">
        <v>542</v>
      </c>
      <c r="B54" s="479" t="s">
        <v>543</v>
      </c>
      <c r="C54" s="479" t="s">
        <v>544</v>
      </c>
      <c r="D54" s="510">
        <v>400</v>
      </c>
      <c r="E54" s="510">
        <v>4890</v>
      </c>
      <c r="F54" s="488" t="s">
        <v>545</v>
      </c>
      <c r="G54" s="495">
        <v>325</v>
      </c>
      <c r="H54" s="504">
        <v>1</v>
      </c>
      <c r="I54" s="500"/>
      <c r="J54" s="495"/>
      <c r="O54" s="494">
        <f t="shared" si="0"/>
        <v>0</v>
      </c>
    </row>
    <row r="55" spans="1:15" x14ac:dyDescent="0.2">
      <c r="A55" s="478" t="s">
        <v>442</v>
      </c>
      <c r="B55" s="478" t="s">
        <v>443</v>
      </c>
      <c r="C55" s="478" t="s">
        <v>444</v>
      </c>
      <c r="D55" s="509">
        <v>307.41000000000003</v>
      </c>
      <c r="E55" s="509">
        <v>22813.16</v>
      </c>
      <c r="F55" s="487" t="s">
        <v>445</v>
      </c>
      <c r="G55" s="495"/>
      <c r="H55" s="504"/>
      <c r="I55" s="500"/>
      <c r="J55" s="495"/>
      <c r="O55" s="494">
        <f t="shared" si="0"/>
        <v>0</v>
      </c>
    </row>
    <row r="56" spans="1:15" x14ac:dyDescent="0.2">
      <c r="A56" s="478" t="s">
        <v>449</v>
      </c>
      <c r="B56" s="478" t="s">
        <v>450</v>
      </c>
      <c r="C56" s="478" t="s">
        <v>451</v>
      </c>
      <c r="D56" s="509">
        <v>400</v>
      </c>
      <c r="E56" s="509">
        <v>9195.44</v>
      </c>
      <c r="F56" s="487" t="s">
        <v>452</v>
      </c>
      <c r="G56" s="495">
        <v>350</v>
      </c>
      <c r="H56" s="504"/>
      <c r="I56" s="500"/>
      <c r="J56" s="495"/>
      <c r="O56" s="494">
        <f t="shared" si="0"/>
        <v>0</v>
      </c>
    </row>
    <row r="57" spans="1:15" x14ac:dyDescent="0.2">
      <c r="A57" s="479" t="s">
        <v>432</v>
      </c>
      <c r="B57" s="479" t="s">
        <v>433</v>
      </c>
      <c r="C57" s="479" t="s">
        <v>371</v>
      </c>
      <c r="D57" s="510">
        <v>395</v>
      </c>
      <c r="E57" s="510">
        <v>395</v>
      </c>
      <c r="F57" s="488" t="s">
        <v>399</v>
      </c>
      <c r="G57" s="495">
        <v>200</v>
      </c>
      <c r="H57" s="504"/>
      <c r="I57" s="500">
        <v>1</v>
      </c>
      <c r="J57" s="495"/>
      <c r="O57" s="494">
        <f t="shared" si="0"/>
        <v>0</v>
      </c>
    </row>
    <row r="58" spans="1:15" x14ac:dyDescent="0.2">
      <c r="A58" s="478" t="s">
        <v>580</v>
      </c>
      <c r="B58" s="478" t="s">
        <v>581</v>
      </c>
      <c r="C58" s="478" t="s">
        <v>582</v>
      </c>
      <c r="D58" s="510">
        <v>100</v>
      </c>
      <c r="E58" s="509">
        <v>1645</v>
      </c>
      <c r="F58" s="487" t="s">
        <v>583</v>
      </c>
      <c r="G58" s="495">
        <v>350</v>
      </c>
      <c r="H58" s="504"/>
      <c r="I58" s="500"/>
      <c r="J58" s="495"/>
      <c r="K58" s="494">
        <v>350</v>
      </c>
      <c r="O58" s="494">
        <f t="shared" si="0"/>
        <v>350</v>
      </c>
    </row>
    <row r="59" spans="1:15" x14ac:dyDescent="0.2">
      <c r="A59" s="478" t="s">
        <v>502</v>
      </c>
      <c r="B59" s="478" t="s">
        <v>503</v>
      </c>
      <c r="C59" s="478" t="s">
        <v>504</v>
      </c>
      <c r="D59" s="509">
        <v>450</v>
      </c>
      <c r="E59" s="509">
        <v>6300</v>
      </c>
      <c r="F59" s="487" t="s">
        <v>505</v>
      </c>
      <c r="G59" s="495">
        <v>270</v>
      </c>
      <c r="H59" s="504">
        <v>1</v>
      </c>
      <c r="I59" s="500"/>
      <c r="J59" s="495"/>
      <c r="O59" s="494">
        <f t="shared" si="0"/>
        <v>0</v>
      </c>
    </row>
    <row r="60" spans="1:15" x14ac:dyDescent="0.2">
      <c r="A60" s="478" t="s">
        <v>563</v>
      </c>
      <c r="B60" s="478" t="s">
        <v>564</v>
      </c>
      <c r="C60" s="478" t="s">
        <v>565</v>
      </c>
      <c r="D60" s="510">
        <v>200</v>
      </c>
      <c r="E60" s="509">
        <v>13300</v>
      </c>
      <c r="F60" s="487" t="s">
        <v>528</v>
      </c>
      <c r="G60" s="495">
        <v>450</v>
      </c>
      <c r="H60" s="504"/>
      <c r="I60" s="500"/>
      <c r="J60" s="495"/>
      <c r="O60" s="494">
        <f t="shared" si="0"/>
        <v>0</v>
      </c>
    </row>
    <row r="61" spans="1:15" x14ac:dyDescent="0.2">
      <c r="A61" s="478" t="s">
        <v>489</v>
      </c>
      <c r="B61" s="478" t="s">
        <v>490</v>
      </c>
      <c r="C61" s="478" t="s">
        <v>491</v>
      </c>
      <c r="D61" s="509">
        <v>400</v>
      </c>
      <c r="E61" s="509">
        <v>11355.2</v>
      </c>
      <c r="F61" s="487" t="s">
        <v>395</v>
      </c>
      <c r="G61" s="495">
        <v>270</v>
      </c>
      <c r="H61" s="504">
        <v>1</v>
      </c>
      <c r="I61" s="500"/>
      <c r="J61" s="495"/>
      <c r="O61" s="494">
        <f t="shared" si="0"/>
        <v>0</v>
      </c>
    </row>
    <row r="62" spans="1:15" x14ac:dyDescent="0.2">
      <c r="A62" s="478" t="s">
        <v>453</v>
      </c>
      <c r="B62" s="478" t="s">
        <v>454</v>
      </c>
      <c r="C62" s="478" t="s">
        <v>455</v>
      </c>
      <c r="D62" s="510">
        <v>80</v>
      </c>
      <c r="E62" s="509">
        <v>12095</v>
      </c>
      <c r="F62" s="487" t="s">
        <v>456</v>
      </c>
      <c r="G62" s="495">
        <v>265</v>
      </c>
      <c r="H62" s="504"/>
      <c r="I62" s="500"/>
      <c r="J62" s="495"/>
      <c r="O62" s="494">
        <f t="shared" si="0"/>
        <v>0</v>
      </c>
    </row>
    <row r="63" spans="1:15" x14ac:dyDescent="0.2">
      <c r="A63" s="478" t="s">
        <v>434</v>
      </c>
      <c r="B63" s="478" t="s">
        <v>435</v>
      </c>
      <c r="C63" s="478" t="s">
        <v>436</v>
      </c>
      <c r="D63" s="509">
        <v>450</v>
      </c>
      <c r="E63" s="509">
        <v>25835.91</v>
      </c>
      <c r="F63" s="487" t="s">
        <v>437</v>
      </c>
      <c r="G63" s="496">
        <v>255</v>
      </c>
      <c r="H63" s="505"/>
      <c r="I63" s="501"/>
      <c r="J63" s="496"/>
      <c r="O63" s="494">
        <f t="shared" si="0"/>
        <v>0</v>
      </c>
    </row>
    <row r="64" spans="1:15" x14ac:dyDescent="0.2">
      <c r="A64" s="478" t="s">
        <v>438</v>
      </c>
      <c r="B64" s="478" t="s">
        <v>439</v>
      </c>
      <c r="C64" s="478" t="s">
        <v>440</v>
      </c>
      <c r="D64" s="509">
        <v>350</v>
      </c>
      <c r="E64" s="509">
        <v>5250</v>
      </c>
      <c r="F64" s="487" t="s">
        <v>441</v>
      </c>
      <c r="G64" s="495">
        <v>0</v>
      </c>
      <c r="H64" s="504"/>
      <c r="I64" s="500"/>
      <c r="J64" s="495"/>
      <c r="O64" s="494">
        <f t="shared" si="0"/>
        <v>0</v>
      </c>
    </row>
    <row r="65" spans="1:15" x14ac:dyDescent="0.2">
      <c r="A65" s="479" t="s">
        <v>550</v>
      </c>
      <c r="B65" s="479" t="s">
        <v>551</v>
      </c>
      <c r="C65" s="479" t="s">
        <v>552</v>
      </c>
      <c r="D65" s="510">
        <v>200</v>
      </c>
      <c r="E65" s="510">
        <v>10750</v>
      </c>
      <c r="F65" s="488" t="s">
        <v>372</v>
      </c>
      <c r="G65" s="495">
        <v>0</v>
      </c>
      <c r="H65" s="504"/>
      <c r="I65" s="500"/>
      <c r="J65" s="495"/>
      <c r="O65" s="494">
        <f t="shared" si="0"/>
        <v>0</v>
      </c>
    </row>
    <row r="66" spans="1:15" x14ac:dyDescent="0.2">
      <c r="A66" s="478" t="s">
        <v>408</v>
      </c>
      <c r="B66" s="478" t="s">
        <v>409</v>
      </c>
      <c r="C66" s="478" t="s">
        <v>410</v>
      </c>
      <c r="D66" s="509">
        <v>450</v>
      </c>
      <c r="E66" s="509">
        <v>1598.19</v>
      </c>
      <c r="F66" s="487" t="s">
        <v>411</v>
      </c>
      <c r="G66" s="495">
        <v>255</v>
      </c>
      <c r="H66" s="504">
        <v>1</v>
      </c>
      <c r="I66" s="500"/>
      <c r="J66" s="495">
        <f>450*3</f>
        <v>1350</v>
      </c>
      <c r="O66" s="494">
        <f t="shared" si="0"/>
        <v>1350</v>
      </c>
    </row>
    <row r="67" spans="1:15" ht="15" thickBot="1" x14ac:dyDescent="0.25">
      <c r="A67" s="481" t="s">
        <v>566</v>
      </c>
      <c r="B67" s="481" t="s">
        <v>551</v>
      </c>
      <c r="C67" s="481" t="s">
        <v>567</v>
      </c>
      <c r="D67" s="520">
        <v>450</v>
      </c>
      <c r="E67" s="520">
        <v>12200</v>
      </c>
      <c r="F67" s="483" t="s">
        <v>380</v>
      </c>
      <c r="G67" s="511">
        <v>450</v>
      </c>
      <c r="H67" s="512">
        <v>1</v>
      </c>
      <c r="I67" s="513"/>
      <c r="J67" s="511"/>
      <c r="K67" s="514"/>
      <c r="L67" s="514"/>
      <c r="M67" s="514"/>
      <c r="N67" s="514"/>
      <c r="O67" s="514">
        <f t="shared" si="0"/>
        <v>0</v>
      </c>
    </row>
    <row r="68" spans="1:15" x14ac:dyDescent="0.2">
      <c r="A68" s="166"/>
      <c r="B68" s="165"/>
      <c r="C68" s="167"/>
      <c r="D68" s="167"/>
      <c r="E68" s="167"/>
      <c r="F68" s="489"/>
      <c r="G68" s="495"/>
      <c r="H68" s="504"/>
      <c r="I68" s="500"/>
      <c r="J68" s="495"/>
    </row>
    <row r="69" spans="1:15" x14ac:dyDescent="0.2">
      <c r="A69" s="166"/>
      <c r="B69" s="165"/>
      <c r="C69" s="167"/>
      <c r="D69" s="167"/>
      <c r="E69" s="167"/>
      <c r="F69" s="519" t="s">
        <v>600</v>
      </c>
      <c r="G69" s="516">
        <f ca="1">SUMIF(H3:I67,"=1",G3:G67)</f>
        <v>10648</v>
      </c>
      <c r="H69" s="517">
        <v>41</v>
      </c>
      <c r="I69" s="518">
        <v>2</v>
      </c>
      <c r="J69" s="516">
        <f>SUM(J3:J66)</f>
        <v>7524</v>
      </c>
      <c r="K69" s="516">
        <f t="shared" ref="K69:O69" si="1">SUM(K3:K66)</f>
        <v>5500</v>
      </c>
      <c r="L69" s="516">
        <f t="shared" si="1"/>
        <v>7725</v>
      </c>
      <c r="M69" s="516">
        <f t="shared" si="1"/>
        <v>4405</v>
      </c>
      <c r="N69" s="516">
        <f t="shared" si="1"/>
        <v>4005</v>
      </c>
      <c r="O69" s="516">
        <f t="shared" si="1"/>
        <v>29159</v>
      </c>
    </row>
    <row r="70" spans="1:15" x14ac:dyDescent="0.2">
      <c r="A70" s="166"/>
      <c r="B70" s="165"/>
      <c r="C70" s="167"/>
      <c r="D70" s="167"/>
      <c r="E70" s="167"/>
      <c r="F70" s="489"/>
      <c r="G70" s="495"/>
      <c r="H70" s="504"/>
      <c r="I70" s="500"/>
      <c r="J70" s="495"/>
    </row>
    <row r="71" spans="1:15" x14ac:dyDescent="0.2">
      <c r="A71" s="166"/>
      <c r="B71" s="165"/>
      <c r="C71" s="167"/>
      <c r="D71" s="167"/>
      <c r="E71" s="167"/>
      <c r="F71" s="489"/>
      <c r="G71" s="495"/>
      <c r="H71" s="504"/>
      <c r="I71" s="500"/>
      <c r="J71" s="495"/>
      <c r="L71" s="521" t="s">
        <v>599</v>
      </c>
      <c r="M71" s="161"/>
      <c r="O71" s="515">
        <f>COUNTIF(O3:O67,"&gt;0")</f>
        <v>17</v>
      </c>
    </row>
    <row r="72" spans="1:15" x14ac:dyDescent="0.2">
      <c r="A72" s="166"/>
      <c r="B72" s="165"/>
      <c r="C72" s="167"/>
      <c r="D72" s="167"/>
      <c r="E72" s="167"/>
      <c r="F72" s="489"/>
      <c r="G72" s="495"/>
      <c r="H72" s="504"/>
      <c r="I72" s="500"/>
      <c r="J72" s="495"/>
    </row>
    <row r="73" spans="1:15" x14ac:dyDescent="0.2">
      <c r="A73" s="166"/>
      <c r="B73" s="165"/>
      <c r="C73" s="167"/>
      <c r="D73" s="167"/>
      <c r="E73" s="167"/>
      <c r="F73" s="489"/>
      <c r="G73" s="495"/>
      <c r="H73" s="504"/>
      <c r="I73" s="500"/>
      <c r="J73" s="495"/>
    </row>
    <row r="74" spans="1:15" ht="13.9" customHeight="1" x14ac:dyDescent="0.2">
      <c r="A74" s="166"/>
      <c r="B74" s="165"/>
      <c r="C74" s="167"/>
      <c r="D74" s="167"/>
      <c r="E74" s="167"/>
      <c r="F74" s="489"/>
      <c r="G74" s="495"/>
      <c r="H74" s="504"/>
      <c r="I74" s="500"/>
      <c r="J74" s="495"/>
    </row>
    <row r="75" spans="1:15" x14ac:dyDescent="0.2">
      <c r="A75" s="166"/>
      <c r="B75" s="165"/>
      <c r="C75" s="167"/>
      <c r="D75" s="167"/>
      <c r="E75" s="167"/>
      <c r="F75" s="489"/>
      <c r="G75" s="495"/>
      <c r="H75" s="504"/>
      <c r="I75" s="500"/>
      <c r="J75" s="495"/>
    </row>
    <row r="76" spans="1:15" x14ac:dyDescent="0.2">
      <c r="A76" s="166"/>
      <c r="B76" s="165"/>
      <c r="C76" s="167"/>
      <c r="D76" s="167"/>
      <c r="E76" s="167"/>
      <c r="F76" s="489"/>
      <c r="G76" s="495"/>
      <c r="H76" s="504"/>
      <c r="I76" s="500"/>
      <c r="J76" s="495"/>
    </row>
    <row r="77" spans="1:15" x14ac:dyDescent="0.2">
      <c r="A77" s="166"/>
      <c r="B77" s="165"/>
      <c r="C77" s="167"/>
      <c r="D77" s="167"/>
      <c r="E77" s="167"/>
      <c r="F77" s="489"/>
      <c r="G77" s="495"/>
      <c r="H77" s="504"/>
      <c r="I77" s="500"/>
      <c r="J77" s="495"/>
    </row>
    <row r="78" spans="1:15" x14ac:dyDescent="0.2">
      <c r="A78" s="166"/>
      <c r="B78" s="165"/>
      <c r="C78" s="167"/>
      <c r="D78" s="167"/>
      <c r="E78" s="167"/>
      <c r="F78" s="489"/>
      <c r="G78" s="495"/>
      <c r="H78" s="504"/>
      <c r="I78" s="500"/>
      <c r="J78" s="495"/>
    </row>
    <row r="79" spans="1:15" x14ac:dyDescent="0.2">
      <c r="A79" s="166"/>
      <c r="B79" s="165"/>
      <c r="C79" s="167"/>
      <c r="D79" s="167"/>
      <c r="E79" s="167"/>
      <c r="F79" s="489"/>
      <c r="G79" s="495"/>
      <c r="H79" s="504"/>
      <c r="I79" s="500"/>
      <c r="J79" s="495"/>
    </row>
    <row r="80" spans="1:15" x14ac:dyDescent="0.2">
      <c r="A80" s="166"/>
      <c r="B80" s="165"/>
      <c r="C80" s="167"/>
      <c r="D80" s="167"/>
      <c r="E80" s="167"/>
      <c r="F80" s="489"/>
      <c r="G80" s="495"/>
      <c r="H80" s="504"/>
      <c r="I80" s="500"/>
      <c r="J80" s="495"/>
    </row>
    <row r="81" spans="1:10" x14ac:dyDescent="0.2">
      <c r="A81" s="166"/>
      <c r="B81" s="165"/>
      <c r="C81" s="167"/>
      <c r="D81" s="167"/>
      <c r="E81" s="167"/>
      <c r="F81" s="489"/>
      <c r="G81" s="495"/>
      <c r="H81" s="504"/>
      <c r="I81" s="500"/>
      <c r="J81" s="495"/>
    </row>
    <row r="82" spans="1:10" x14ac:dyDescent="0.2">
      <c r="A82" s="166"/>
      <c r="B82" s="165"/>
      <c r="C82" s="167"/>
      <c r="D82" s="167"/>
      <c r="E82" s="167"/>
      <c r="F82" s="489"/>
      <c r="G82" s="495"/>
      <c r="H82" s="504"/>
      <c r="I82" s="500"/>
      <c r="J82" s="495"/>
    </row>
    <row r="83" spans="1:10" x14ac:dyDescent="0.2">
      <c r="A83" s="166"/>
      <c r="B83" s="165"/>
      <c r="C83" s="167"/>
      <c r="D83" s="167"/>
      <c r="E83" s="167"/>
      <c r="F83" s="489"/>
      <c r="G83" s="495"/>
      <c r="H83" s="504"/>
      <c r="I83" s="500"/>
      <c r="J83" s="495"/>
    </row>
    <row r="84" spans="1:10" x14ac:dyDescent="0.2">
      <c r="A84" s="166"/>
      <c r="B84" s="165"/>
      <c r="C84" s="167"/>
      <c r="D84" s="167"/>
      <c r="E84" s="167"/>
      <c r="F84" s="489"/>
      <c r="G84" s="495"/>
      <c r="H84" s="504"/>
      <c r="I84" s="500"/>
      <c r="J84" s="495"/>
    </row>
    <row r="85" spans="1:10" x14ac:dyDescent="0.2">
      <c r="A85" s="166"/>
      <c r="B85" s="165"/>
      <c r="C85" s="165"/>
      <c r="D85" s="165"/>
      <c r="E85" s="165"/>
      <c r="F85" s="489"/>
      <c r="G85" s="497"/>
      <c r="H85" s="504"/>
      <c r="I85" s="500"/>
      <c r="J85" s="495"/>
    </row>
    <row r="86" spans="1:10" x14ac:dyDescent="0.2">
      <c r="A86" s="166"/>
      <c r="B86" s="165"/>
      <c r="C86" s="165"/>
      <c r="D86" s="165"/>
      <c r="E86" s="165"/>
      <c r="F86" s="489"/>
      <c r="G86" s="497"/>
      <c r="H86" s="504"/>
      <c r="I86" s="500"/>
      <c r="J86" s="495"/>
    </row>
    <row r="87" spans="1:10" x14ac:dyDescent="0.2">
      <c r="A87" s="166"/>
      <c r="B87" s="165"/>
      <c r="C87" s="165"/>
      <c r="D87" s="165"/>
      <c r="E87" s="165"/>
      <c r="F87" s="489"/>
      <c r="G87" s="497"/>
      <c r="H87" s="504"/>
      <c r="I87" s="500"/>
      <c r="J87" s="495"/>
    </row>
    <row r="88" spans="1:10" x14ac:dyDescent="0.2">
      <c r="A88" s="169"/>
      <c r="B88" s="482"/>
      <c r="C88" s="165"/>
      <c r="D88" s="165"/>
      <c r="E88" s="165"/>
      <c r="F88" s="489"/>
      <c r="G88" s="497"/>
      <c r="H88" s="504"/>
      <c r="I88" s="500"/>
      <c r="J88" s="495"/>
    </row>
    <row r="89" spans="1:10" ht="13.9" customHeight="1" x14ac:dyDescent="0.2">
      <c r="A89" s="166"/>
      <c r="B89" s="165"/>
      <c r="C89" s="165"/>
      <c r="D89" s="165"/>
      <c r="E89" s="165"/>
      <c r="F89" s="489"/>
      <c r="G89" s="497"/>
      <c r="H89" s="504"/>
      <c r="I89" s="500"/>
      <c r="J89" s="495"/>
    </row>
    <row r="90" spans="1:10" x14ac:dyDescent="0.2">
      <c r="A90" s="166"/>
      <c r="B90" s="165"/>
      <c r="C90" s="165"/>
      <c r="D90" s="165"/>
      <c r="E90" s="165"/>
      <c r="F90" s="489"/>
      <c r="G90" s="497"/>
      <c r="H90" s="504"/>
      <c r="I90" s="500"/>
      <c r="J90" s="495"/>
    </row>
    <row r="91" spans="1:10" x14ac:dyDescent="0.2">
      <c r="A91" s="166"/>
      <c r="B91" s="165"/>
      <c r="C91" s="165"/>
      <c r="D91" s="165"/>
      <c r="E91" s="165"/>
      <c r="F91" s="489"/>
      <c r="G91" s="497"/>
      <c r="H91" s="504"/>
      <c r="I91" s="500"/>
      <c r="J91" s="495"/>
    </row>
    <row r="92" spans="1:10" x14ac:dyDescent="0.2">
      <c r="A92" s="166"/>
      <c r="B92" s="165"/>
      <c r="C92" s="165"/>
      <c r="D92" s="165"/>
      <c r="E92" s="165"/>
      <c r="F92" s="489"/>
      <c r="G92" s="497"/>
      <c r="H92" s="504"/>
      <c r="I92" s="500"/>
      <c r="J92" s="495"/>
    </row>
    <row r="93" spans="1:10" x14ac:dyDescent="0.2">
      <c r="A93" s="166"/>
      <c r="B93" s="165"/>
      <c r="C93" s="165"/>
      <c r="D93" s="165"/>
      <c r="E93" s="165"/>
      <c r="F93" s="489"/>
      <c r="G93" s="497"/>
      <c r="H93" s="504"/>
      <c r="I93" s="500"/>
      <c r="J93" s="495"/>
    </row>
    <row r="94" spans="1:10" x14ac:dyDescent="0.2">
      <c r="A94" s="166"/>
      <c r="B94" s="165"/>
      <c r="C94" s="165"/>
      <c r="D94" s="165"/>
      <c r="E94" s="165"/>
      <c r="F94" s="489"/>
      <c r="G94" s="497"/>
      <c r="H94" s="504"/>
      <c r="I94" s="500"/>
      <c r="J94" s="495"/>
    </row>
    <row r="95" spans="1:10" x14ac:dyDescent="0.2">
      <c r="A95" s="166"/>
      <c r="B95" s="165"/>
      <c r="C95" s="165"/>
      <c r="D95" s="165"/>
      <c r="E95" s="165"/>
      <c r="F95" s="489"/>
      <c r="G95" s="497"/>
      <c r="H95" s="504"/>
      <c r="I95" s="500"/>
      <c r="J95" s="495"/>
    </row>
    <row r="96" spans="1:10" x14ac:dyDescent="0.2">
      <c r="A96" s="166"/>
      <c r="B96" s="165"/>
      <c r="C96" s="165"/>
      <c r="D96" s="165"/>
      <c r="E96" s="165"/>
      <c r="F96" s="489"/>
      <c r="G96" s="497"/>
      <c r="H96" s="504"/>
      <c r="I96" s="500"/>
      <c r="J96" s="495"/>
    </row>
    <row r="97" spans="1:10" x14ac:dyDescent="0.2">
      <c r="A97" s="166"/>
      <c r="B97" s="165"/>
      <c r="C97" s="165"/>
      <c r="D97" s="165"/>
      <c r="E97" s="165"/>
      <c r="F97" s="489"/>
      <c r="G97" s="497"/>
      <c r="H97" s="504"/>
      <c r="I97" s="500"/>
      <c r="J97" s="495"/>
    </row>
    <row r="98" spans="1:10" x14ac:dyDescent="0.2">
      <c r="A98" s="166"/>
      <c r="B98" s="165"/>
      <c r="C98" s="165"/>
      <c r="D98" s="165"/>
      <c r="E98" s="165"/>
      <c r="F98" s="489"/>
      <c r="G98" s="497"/>
      <c r="H98" s="504"/>
      <c r="I98" s="500"/>
      <c r="J98" s="495"/>
    </row>
    <row r="99" spans="1:10" x14ac:dyDescent="0.2">
      <c r="A99" s="166"/>
      <c r="B99" s="165"/>
      <c r="C99" s="165"/>
      <c r="D99" s="165"/>
      <c r="E99" s="165"/>
      <c r="F99" s="489"/>
      <c r="G99" s="497"/>
      <c r="H99" s="504"/>
      <c r="I99" s="500"/>
      <c r="J99" s="495"/>
    </row>
    <row r="100" spans="1:10" x14ac:dyDescent="0.2">
      <c r="A100" s="166"/>
      <c r="B100" s="165"/>
      <c r="C100" s="165"/>
      <c r="D100" s="165"/>
      <c r="E100" s="165"/>
      <c r="F100" s="489"/>
      <c r="G100" s="497"/>
      <c r="H100" s="504"/>
      <c r="I100" s="500"/>
      <c r="J100" s="495"/>
    </row>
    <row r="101" spans="1:10" x14ac:dyDescent="0.2">
      <c r="A101" s="166"/>
      <c r="B101" s="165"/>
      <c r="C101" s="165"/>
      <c r="D101" s="165"/>
      <c r="E101" s="165"/>
      <c r="F101" s="489"/>
      <c r="G101" s="497"/>
      <c r="H101" s="504"/>
      <c r="I101" s="500"/>
      <c r="J101" s="495"/>
    </row>
    <row r="102" spans="1:10" x14ac:dyDescent="0.2">
      <c r="A102" s="166"/>
      <c r="B102" s="165"/>
      <c r="C102" s="165"/>
      <c r="D102" s="165"/>
      <c r="E102" s="165"/>
      <c r="F102" s="489"/>
      <c r="G102" s="497"/>
      <c r="H102" s="504"/>
      <c r="I102" s="500"/>
      <c r="J102" s="495"/>
    </row>
    <row r="103" spans="1:10" x14ac:dyDescent="0.2">
      <c r="A103" s="166"/>
      <c r="B103" s="165"/>
      <c r="C103" s="165"/>
      <c r="D103" s="165"/>
      <c r="E103" s="165"/>
      <c r="F103" s="489"/>
      <c r="G103" s="497"/>
      <c r="H103" s="504"/>
      <c r="I103" s="500"/>
      <c r="J103" s="495"/>
    </row>
    <row r="104" spans="1:10" x14ac:dyDescent="0.2">
      <c r="A104" s="166"/>
      <c r="B104" s="165"/>
      <c r="C104" s="165"/>
      <c r="D104" s="165"/>
      <c r="E104" s="165"/>
      <c r="F104" s="489"/>
      <c r="G104" s="497"/>
      <c r="H104" s="504"/>
      <c r="I104" s="500"/>
      <c r="J104" s="495"/>
    </row>
    <row r="105" spans="1:10" x14ac:dyDescent="0.2">
      <c r="A105" s="166"/>
      <c r="B105" s="165"/>
      <c r="C105" s="165"/>
      <c r="D105" s="165"/>
      <c r="E105" s="165"/>
      <c r="F105" s="489"/>
      <c r="G105" s="497"/>
      <c r="H105" s="504"/>
      <c r="I105" s="500"/>
      <c r="J105" s="495"/>
    </row>
    <row r="106" spans="1:10" x14ac:dyDescent="0.2">
      <c r="A106" s="166"/>
      <c r="B106" s="165"/>
      <c r="C106" s="165"/>
      <c r="D106" s="165"/>
      <c r="E106" s="165"/>
      <c r="F106" s="489"/>
      <c r="G106" s="497"/>
      <c r="H106" s="504"/>
      <c r="I106" s="500"/>
      <c r="J106" s="495"/>
    </row>
    <row r="107" spans="1:10" x14ac:dyDescent="0.2">
      <c r="A107" s="166"/>
      <c r="B107" s="165"/>
      <c r="C107" s="165"/>
      <c r="D107" s="165"/>
      <c r="E107" s="165"/>
      <c r="F107" s="489"/>
      <c r="G107" s="497"/>
      <c r="H107" s="504"/>
      <c r="I107" s="500"/>
      <c r="J107" s="495"/>
    </row>
    <row r="108" spans="1:10" x14ac:dyDescent="0.2">
      <c r="A108" s="166"/>
      <c r="B108" s="165"/>
      <c r="C108" s="165"/>
      <c r="D108" s="165"/>
      <c r="E108" s="165"/>
      <c r="F108" s="489"/>
      <c r="G108" s="497"/>
      <c r="H108" s="504"/>
      <c r="I108" s="500"/>
      <c r="J108" s="495"/>
    </row>
    <row r="109" spans="1:10" x14ac:dyDescent="0.2">
      <c r="A109" s="166"/>
      <c r="B109" s="165"/>
      <c r="C109" s="165"/>
      <c r="D109" s="165"/>
      <c r="E109" s="165"/>
      <c r="F109" s="489"/>
      <c r="G109" s="497"/>
      <c r="H109" s="504"/>
      <c r="I109" s="500"/>
      <c r="J109" s="495"/>
    </row>
    <row r="110" spans="1:10" x14ac:dyDescent="0.2">
      <c r="A110" s="166"/>
      <c r="B110" s="165"/>
      <c r="C110" s="165"/>
      <c r="D110" s="165"/>
      <c r="E110" s="165"/>
      <c r="F110" s="489"/>
      <c r="G110" s="497"/>
      <c r="H110" s="504"/>
      <c r="I110" s="500"/>
      <c r="J110" s="495"/>
    </row>
    <row r="111" spans="1:10" x14ac:dyDescent="0.2">
      <c r="A111" s="166"/>
      <c r="B111" s="165"/>
      <c r="C111" s="165"/>
      <c r="D111" s="165"/>
      <c r="E111" s="165"/>
      <c r="F111" s="489"/>
      <c r="G111" s="497"/>
      <c r="H111" s="504"/>
      <c r="I111" s="500"/>
      <c r="J111" s="495"/>
    </row>
    <row r="112" spans="1:10" x14ac:dyDescent="0.2">
      <c r="A112" s="166"/>
      <c r="B112" s="165"/>
      <c r="C112" s="165"/>
      <c r="D112" s="165"/>
      <c r="E112" s="165"/>
      <c r="F112" s="489"/>
      <c r="G112" s="497"/>
      <c r="H112" s="504"/>
      <c r="I112" s="500"/>
      <c r="J112" s="495"/>
    </row>
    <row r="113" spans="1:10" x14ac:dyDescent="0.2">
      <c r="A113" s="166"/>
      <c r="B113" s="165"/>
      <c r="C113" s="165"/>
      <c r="D113" s="165"/>
      <c r="E113" s="165"/>
      <c r="F113" s="489"/>
      <c r="G113" s="497"/>
      <c r="H113" s="504"/>
      <c r="I113" s="500"/>
      <c r="J113" s="495"/>
    </row>
    <row r="114" spans="1:10" x14ac:dyDescent="0.2">
      <c r="A114" s="166"/>
      <c r="B114" s="165"/>
      <c r="C114" s="165"/>
      <c r="D114" s="165"/>
      <c r="E114" s="165"/>
      <c r="F114" s="489"/>
      <c r="G114" s="497"/>
      <c r="H114" s="504"/>
      <c r="I114" s="500"/>
      <c r="J114" s="495"/>
    </row>
    <row r="115" spans="1:10" x14ac:dyDescent="0.2">
      <c r="A115" s="166"/>
      <c r="B115" s="165"/>
      <c r="C115" s="165"/>
      <c r="D115" s="165"/>
      <c r="E115" s="165"/>
      <c r="F115" s="489"/>
      <c r="G115" s="497"/>
      <c r="H115" s="504"/>
      <c r="I115" s="500"/>
      <c r="J115" s="495"/>
    </row>
    <row r="116" spans="1:10" x14ac:dyDescent="0.2">
      <c r="A116" s="166"/>
      <c r="B116" s="165"/>
      <c r="C116" s="165"/>
      <c r="D116" s="165"/>
      <c r="E116" s="165"/>
      <c r="F116" s="489"/>
      <c r="G116" s="497"/>
      <c r="H116" s="504"/>
      <c r="I116" s="500"/>
      <c r="J116" s="495"/>
    </row>
    <row r="117" spans="1:10" x14ac:dyDescent="0.2">
      <c r="A117" s="166"/>
      <c r="B117" s="165"/>
      <c r="C117" s="167"/>
      <c r="D117" s="167"/>
      <c r="E117" s="167"/>
      <c r="F117" s="489"/>
      <c r="G117" s="495"/>
      <c r="H117" s="504"/>
      <c r="I117" s="500"/>
      <c r="J117" s="495"/>
    </row>
    <row r="118" spans="1:10" x14ac:dyDescent="0.2">
      <c r="A118" s="169"/>
      <c r="B118" s="482"/>
      <c r="C118" s="167"/>
      <c r="D118" s="167"/>
      <c r="E118" s="167"/>
      <c r="F118" s="489"/>
      <c r="G118" s="495"/>
      <c r="H118" s="504"/>
      <c r="I118" s="500"/>
      <c r="J118" s="495"/>
    </row>
    <row r="119" spans="1:10" x14ac:dyDescent="0.2">
      <c r="A119" s="166"/>
      <c r="B119" s="165"/>
      <c r="C119" s="167"/>
      <c r="D119" s="167"/>
      <c r="E119" s="167"/>
      <c r="F119" s="489"/>
      <c r="G119" s="495"/>
      <c r="H119" s="504"/>
      <c r="I119" s="500"/>
      <c r="J119" s="495"/>
    </row>
    <row r="120" spans="1:10" x14ac:dyDescent="0.2">
      <c r="A120" s="166"/>
      <c r="B120" s="165"/>
      <c r="C120" s="167"/>
      <c r="D120" s="167"/>
      <c r="E120" s="167"/>
      <c r="F120" s="489"/>
      <c r="G120" s="495"/>
      <c r="H120" s="504"/>
      <c r="I120" s="500"/>
      <c r="J120" s="495"/>
    </row>
    <row r="121" spans="1:10" x14ac:dyDescent="0.2">
      <c r="A121" s="166"/>
      <c r="B121" s="165"/>
      <c r="C121" s="167"/>
      <c r="D121" s="167"/>
      <c r="E121" s="167"/>
      <c r="F121" s="489"/>
      <c r="G121" s="495"/>
      <c r="H121" s="504"/>
      <c r="I121" s="500"/>
      <c r="J121" s="495"/>
    </row>
    <row r="122" spans="1:10" ht="13.9" customHeight="1" x14ac:dyDescent="0.2">
      <c r="A122" s="166"/>
      <c r="B122" s="165"/>
      <c r="C122" s="167"/>
      <c r="D122" s="167"/>
      <c r="E122" s="167"/>
      <c r="F122" s="489"/>
      <c r="G122" s="495"/>
      <c r="H122" s="504"/>
      <c r="I122" s="500"/>
      <c r="J122" s="495"/>
    </row>
    <row r="123" spans="1:10" x14ac:dyDescent="0.2">
      <c r="A123" s="166"/>
      <c r="B123" s="165"/>
      <c r="C123" s="167"/>
      <c r="D123" s="167"/>
      <c r="E123" s="167"/>
      <c r="F123" s="489"/>
      <c r="G123" s="495"/>
      <c r="H123" s="504"/>
      <c r="I123" s="500"/>
      <c r="J123" s="495"/>
    </row>
    <row r="124" spans="1:10" x14ac:dyDescent="0.2">
      <c r="A124" s="166"/>
      <c r="B124" s="165"/>
      <c r="C124" s="167"/>
      <c r="D124" s="167"/>
      <c r="E124" s="167"/>
      <c r="F124" s="489"/>
      <c r="G124" s="495"/>
      <c r="H124" s="504"/>
      <c r="I124" s="500"/>
      <c r="J124" s="495"/>
    </row>
    <row r="125" spans="1:10" x14ac:dyDescent="0.2">
      <c r="A125" s="166"/>
      <c r="B125" s="165"/>
      <c r="C125" s="167"/>
      <c r="D125" s="167"/>
      <c r="E125" s="167"/>
      <c r="F125" s="489"/>
      <c r="G125" s="495"/>
      <c r="H125" s="504"/>
      <c r="I125" s="500"/>
      <c r="J125" s="495"/>
    </row>
    <row r="126" spans="1:10" x14ac:dyDescent="0.2">
      <c r="A126" s="166"/>
      <c r="B126" s="165"/>
      <c r="C126" s="167"/>
      <c r="D126" s="167"/>
      <c r="E126" s="167"/>
      <c r="F126" s="489"/>
      <c r="G126" s="495"/>
      <c r="H126" s="504"/>
      <c r="I126" s="500"/>
      <c r="J126" s="495"/>
    </row>
    <row r="127" spans="1:10" x14ac:dyDescent="0.2">
      <c r="A127" s="166"/>
      <c r="B127" s="165"/>
      <c r="C127" s="167"/>
      <c r="D127" s="167"/>
      <c r="E127" s="167"/>
      <c r="F127" s="489"/>
      <c r="G127" s="495"/>
      <c r="H127" s="504"/>
      <c r="I127" s="500"/>
      <c r="J127" s="495"/>
    </row>
    <row r="128" spans="1:10" x14ac:dyDescent="0.2">
      <c r="A128" s="166"/>
      <c r="B128" s="165"/>
      <c r="C128" s="167"/>
      <c r="D128" s="167"/>
      <c r="E128" s="167"/>
      <c r="F128" s="489"/>
      <c r="G128" s="495"/>
      <c r="H128" s="504"/>
      <c r="I128" s="500"/>
      <c r="J128" s="495"/>
    </row>
    <row r="129" spans="1:10" x14ac:dyDescent="0.2">
      <c r="A129" s="166"/>
      <c r="B129" s="165"/>
      <c r="C129" s="167"/>
      <c r="D129" s="167"/>
      <c r="E129" s="167"/>
      <c r="F129" s="489"/>
      <c r="G129" s="495"/>
      <c r="H129" s="504"/>
      <c r="I129" s="500"/>
      <c r="J129" s="495"/>
    </row>
    <row r="130" spans="1:10" x14ac:dyDescent="0.2">
      <c r="A130" s="166"/>
      <c r="B130" s="165"/>
      <c r="C130" s="167"/>
      <c r="D130" s="167"/>
      <c r="E130" s="167"/>
      <c r="F130" s="489"/>
      <c r="G130" s="495"/>
      <c r="H130" s="504"/>
      <c r="I130" s="500"/>
      <c r="J130" s="495"/>
    </row>
    <row r="131" spans="1:10" x14ac:dyDescent="0.2">
      <c r="A131" s="166"/>
      <c r="B131" s="165"/>
      <c r="C131" s="167"/>
      <c r="D131" s="167"/>
      <c r="E131" s="167"/>
      <c r="F131" s="489"/>
      <c r="G131" s="495"/>
      <c r="H131" s="504"/>
      <c r="I131" s="500"/>
      <c r="J131" s="495"/>
    </row>
    <row r="132" spans="1:10" x14ac:dyDescent="0.2">
      <c r="A132" s="166"/>
      <c r="B132" s="165"/>
      <c r="C132" s="167"/>
      <c r="D132" s="167"/>
      <c r="E132" s="167"/>
      <c r="F132" s="489"/>
      <c r="G132" s="495"/>
      <c r="H132" s="504"/>
      <c r="I132" s="500"/>
      <c r="J132" s="495"/>
    </row>
    <row r="133" spans="1:10" x14ac:dyDescent="0.2">
      <c r="A133" s="166"/>
      <c r="B133" s="165"/>
      <c r="C133" s="167"/>
      <c r="D133" s="167"/>
      <c r="E133" s="167"/>
      <c r="F133" s="489"/>
      <c r="G133" s="495"/>
      <c r="H133" s="504"/>
      <c r="I133" s="500"/>
      <c r="J133" s="495"/>
    </row>
    <row r="134" spans="1:10" x14ac:dyDescent="0.2">
      <c r="A134" s="166"/>
      <c r="B134" s="165"/>
      <c r="C134" s="167"/>
      <c r="D134" s="167"/>
      <c r="E134" s="167"/>
      <c r="F134" s="489"/>
      <c r="G134" s="495"/>
      <c r="H134" s="504"/>
      <c r="I134" s="500"/>
      <c r="J134" s="495"/>
    </row>
    <row r="135" spans="1:10" x14ac:dyDescent="0.2">
      <c r="A135" s="166"/>
      <c r="B135" s="165"/>
      <c r="C135" s="167"/>
      <c r="D135" s="167"/>
      <c r="E135" s="167"/>
      <c r="F135" s="489"/>
      <c r="G135" s="495"/>
      <c r="H135" s="504"/>
      <c r="I135" s="500"/>
      <c r="J135" s="495"/>
    </row>
    <row r="136" spans="1:10" x14ac:dyDescent="0.2">
      <c r="A136" s="166"/>
      <c r="B136" s="165"/>
      <c r="C136" s="167"/>
      <c r="D136" s="167"/>
      <c r="E136" s="167"/>
      <c r="F136" s="489"/>
      <c r="G136" s="495"/>
      <c r="H136" s="504"/>
      <c r="I136" s="500"/>
      <c r="J136" s="495"/>
    </row>
    <row r="137" spans="1:10" x14ac:dyDescent="0.2">
      <c r="A137" s="166"/>
      <c r="B137" s="165"/>
      <c r="C137" s="167"/>
      <c r="D137" s="167"/>
      <c r="E137" s="167"/>
      <c r="F137" s="489"/>
      <c r="G137" s="495"/>
      <c r="H137" s="504"/>
      <c r="I137" s="500"/>
      <c r="J137" s="495"/>
    </row>
    <row r="138" spans="1:10" x14ac:dyDescent="0.2">
      <c r="A138" s="166"/>
      <c r="B138" s="165"/>
      <c r="C138" s="167"/>
      <c r="D138" s="167"/>
      <c r="E138" s="167"/>
      <c r="F138" s="489"/>
      <c r="G138" s="495"/>
      <c r="H138" s="504"/>
      <c r="I138" s="500"/>
      <c r="J138" s="495"/>
    </row>
    <row r="139" spans="1:10" x14ac:dyDescent="0.2">
      <c r="A139" s="166"/>
      <c r="B139" s="165"/>
      <c r="C139" s="167"/>
      <c r="D139" s="167"/>
      <c r="E139" s="167"/>
      <c r="F139" s="489"/>
      <c r="G139" s="495"/>
      <c r="H139" s="504"/>
      <c r="I139" s="500"/>
      <c r="J139" s="495"/>
    </row>
    <row r="140" spans="1:10" x14ac:dyDescent="0.2">
      <c r="A140" s="166"/>
      <c r="B140" s="165"/>
      <c r="C140" s="167"/>
      <c r="D140" s="167"/>
      <c r="E140" s="167"/>
      <c r="F140" s="489"/>
      <c r="G140" s="495"/>
      <c r="H140" s="504"/>
      <c r="I140" s="500"/>
      <c r="J140" s="495"/>
    </row>
    <row r="141" spans="1:10" x14ac:dyDescent="0.2">
      <c r="A141" s="166"/>
      <c r="B141" s="165"/>
      <c r="C141" s="167"/>
      <c r="D141" s="167"/>
      <c r="E141" s="167"/>
      <c r="F141" s="489"/>
      <c r="G141" s="495"/>
      <c r="H141" s="504"/>
      <c r="I141" s="500"/>
      <c r="J141" s="495"/>
    </row>
    <row r="142" spans="1:10" x14ac:dyDescent="0.2">
      <c r="A142" s="166"/>
      <c r="B142" s="165"/>
      <c r="C142" s="167"/>
      <c r="D142" s="167"/>
      <c r="E142" s="167"/>
      <c r="F142" s="489"/>
      <c r="G142" s="495"/>
      <c r="H142" s="504"/>
      <c r="I142" s="500"/>
      <c r="J142" s="495"/>
    </row>
    <row r="143" spans="1:10" x14ac:dyDescent="0.2">
      <c r="A143" s="166"/>
      <c r="B143" s="165"/>
      <c r="C143" s="167"/>
      <c r="D143" s="167"/>
      <c r="E143" s="167"/>
      <c r="F143" s="489"/>
      <c r="G143" s="495"/>
      <c r="H143" s="504"/>
      <c r="I143" s="500"/>
      <c r="J143" s="495"/>
    </row>
    <row r="144" spans="1:10" x14ac:dyDescent="0.2">
      <c r="A144" s="166"/>
      <c r="B144" s="165"/>
      <c r="C144" s="167"/>
      <c r="D144" s="167"/>
      <c r="E144" s="167"/>
      <c r="F144" s="489"/>
      <c r="G144" s="495"/>
      <c r="H144" s="504"/>
      <c r="I144" s="500"/>
      <c r="J144" s="495"/>
    </row>
    <row r="145" spans="1:10" x14ac:dyDescent="0.2">
      <c r="A145" s="166"/>
      <c r="B145" s="165"/>
      <c r="C145" s="167"/>
      <c r="D145" s="167"/>
      <c r="E145" s="167"/>
      <c r="F145" s="489"/>
      <c r="G145" s="495"/>
      <c r="H145" s="504"/>
      <c r="I145" s="500"/>
      <c r="J145" s="495"/>
    </row>
    <row r="146" spans="1:10" x14ac:dyDescent="0.2">
      <c r="A146" s="166"/>
      <c r="B146" s="165"/>
      <c r="C146" s="167"/>
      <c r="D146" s="167"/>
      <c r="E146" s="167"/>
      <c r="F146" s="489"/>
      <c r="G146" s="495"/>
      <c r="H146" s="504"/>
      <c r="I146" s="500"/>
      <c r="J146" s="495"/>
    </row>
    <row r="147" spans="1:10" x14ac:dyDescent="0.2">
      <c r="A147" s="166"/>
      <c r="B147" s="165"/>
      <c r="C147" s="167"/>
      <c r="D147" s="167"/>
      <c r="E147" s="167"/>
      <c r="F147" s="489"/>
      <c r="G147" s="495"/>
      <c r="H147" s="504"/>
      <c r="I147" s="500"/>
      <c r="J147" s="495"/>
    </row>
    <row r="148" spans="1:10" x14ac:dyDescent="0.2">
      <c r="A148" s="168"/>
      <c r="B148" s="165"/>
      <c r="C148" s="167"/>
      <c r="D148" s="167"/>
      <c r="E148" s="167"/>
      <c r="F148" s="489"/>
      <c r="G148" s="495"/>
      <c r="H148" s="504"/>
      <c r="I148" s="500"/>
      <c r="J148" s="495"/>
    </row>
    <row r="149" spans="1:10" x14ac:dyDescent="0.2">
      <c r="A149" s="168"/>
      <c r="B149" s="165"/>
      <c r="C149" s="167"/>
      <c r="D149" s="167"/>
      <c r="E149" s="167"/>
      <c r="F149" s="489"/>
      <c r="G149" s="495"/>
      <c r="H149" s="504"/>
      <c r="I149" s="500"/>
      <c r="J149" s="495"/>
    </row>
    <row r="150" spans="1:10" x14ac:dyDescent="0.2">
      <c r="A150" s="168"/>
      <c r="B150" s="165"/>
      <c r="C150" s="167"/>
      <c r="D150" s="167"/>
      <c r="E150" s="167"/>
      <c r="F150" s="489"/>
      <c r="G150" s="495"/>
      <c r="H150" s="504"/>
      <c r="I150" s="500"/>
      <c r="J150" s="495"/>
    </row>
    <row r="151" spans="1:10" x14ac:dyDescent="0.2">
      <c r="A151" s="168"/>
      <c r="B151" s="165"/>
      <c r="C151" s="167"/>
      <c r="D151" s="167"/>
      <c r="E151" s="167"/>
      <c r="F151" s="489"/>
      <c r="G151" s="495"/>
      <c r="H151" s="504"/>
      <c r="I151" s="500"/>
      <c r="J151" s="495"/>
    </row>
    <row r="152" spans="1:10" x14ac:dyDescent="0.2">
      <c r="A152" s="168"/>
      <c r="B152" s="165"/>
      <c r="C152" s="167"/>
      <c r="D152" s="167"/>
      <c r="E152" s="167"/>
      <c r="F152" s="489"/>
      <c r="G152" s="495"/>
      <c r="H152" s="504"/>
      <c r="I152" s="500"/>
      <c r="J152" s="495"/>
    </row>
    <row r="153" spans="1:10" x14ac:dyDescent="0.2">
      <c r="A153" s="166"/>
      <c r="B153" s="165"/>
      <c r="C153" s="167"/>
      <c r="D153" s="167"/>
      <c r="E153" s="167"/>
      <c r="F153" s="489"/>
      <c r="G153" s="495"/>
      <c r="H153" s="504"/>
      <c r="I153" s="500"/>
      <c r="J153" s="495"/>
    </row>
    <row r="154" spans="1:10" x14ac:dyDescent="0.2">
      <c r="A154" s="166"/>
      <c r="B154" s="165"/>
      <c r="C154" s="167"/>
      <c r="D154" s="167"/>
      <c r="E154" s="167"/>
      <c r="F154" s="489"/>
      <c r="G154" s="495"/>
      <c r="H154" s="504"/>
      <c r="I154" s="500"/>
      <c r="J154" s="495"/>
    </row>
    <row r="155" spans="1:10" x14ac:dyDescent="0.2">
      <c r="A155" s="166"/>
      <c r="B155" s="165"/>
      <c r="C155" s="167"/>
      <c r="D155" s="167"/>
      <c r="E155" s="167"/>
      <c r="F155" s="489"/>
      <c r="G155" s="495"/>
      <c r="H155" s="504"/>
      <c r="I155" s="500"/>
      <c r="J155" s="495"/>
    </row>
    <row r="156" spans="1:10" x14ac:dyDescent="0.2">
      <c r="A156" s="166"/>
      <c r="B156" s="165"/>
      <c r="C156" s="167"/>
      <c r="D156" s="167"/>
      <c r="E156" s="167"/>
      <c r="F156" s="489"/>
      <c r="G156" s="495"/>
      <c r="H156" s="504"/>
      <c r="I156" s="500"/>
      <c r="J156" s="495"/>
    </row>
    <row r="157" spans="1:10" x14ac:dyDescent="0.2">
      <c r="A157" s="166"/>
      <c r="B157" s="165"/>
      <c r="C157" s="167"/>
      <c r="D157" s="167"/>
      <c r="E157" s="167"/>
      <c r="F157" s="489"/>
      <c r="G157" s="495"/>
      <c r="H157" s="504"/>
      <c r="I157" s="500"/>
      <c r="J157" s="495"/>
    </row>
    <row r="158" spans="1:10" x14ac:dyDescent="0.2">
      <c r="A158" s="166"/>
      <c r="B158" s="165"/>
      <c r="C158" s="167"/>
      <c r="D158" s="167"/>
      <c r="E158" s="167"/>
      <c r="F158" s="489"/>
      <c r="G158" s="495"/>
      <c r="H158" s="504"/>
      <c r="I158" s="500"/>
      <c r="J158" s="495"/>
    </row>
    <row r="159" spans="1:10" x14ac:dyDescent="0.2">
      <c r="A159" s="166"/>
      <c r="B159" s="165"/>
      <c r="C159" s="167"/>
      <c r="D159" s="167"/>
      <c r="E159" s="167"/>
      <c r="F159" s="489"/>
      <c r="G159" s="495"/>
      <c r="H159" s="504"/>
      <c r="I159" s="500"/>
      <c r="J159" s="495"/>
    </row>
    <row r="160" spans="1:10" x14ac:dyDescent="0.2">
      <c r="A160" s="166"/>
      <c r="B160" s="165"/>
      <c r="C160" s="167"/>
      <c r="D160" s="167"/>
      <c r="E160" s="167"/>
      <c r="F160" s="489"/>
      <c r="G160" s="495"/>
      <c r="H160" s="504"/>
      <c r="I160" s="500"/>
      <c r="J160" s="495"/>
    </row>
    <row r="161" spans="1:10" x14ac:dyDescent="0.2">
      <c r="A161" s="166"/>
      <c r="B161" s="165"/>
      <c r="C161" s="167"/>
      <c r="D161" s="167"/>
      <c r="E161" s="167"/>
      <c r="F161" s="489"/>
      <c r="G161" s="495"/>
      <c r="H161" s="504"/>
      <c r="I161" s="500"/>
      <c r="J161" s="495"/>
    </row>
    <row r="162" spans="1:10" x14ac:dyDescent="0.2">
      <c r="A162" s="166"/>
      <c r="B162" s="165"/>
      <c r="C162" s="167"/>
      <c r="D162" s="167"/>
      <c r="E162" s="167"/>
      <c r="F162" s="489"/>
      <c r="G162" s="495"/>
      <c r="H162" s="504"/>
      <c r="I162" s="500"/>
      <c r="J162" s="495"/>
    </row>
    <row r="163" spans="1:10" x14ac:dyDescent="0.2">
      <c r="A163" s="166"/>
      <c r="B163" s="165"/>
      <c r="C163" s="167"/>
      <c r="D163" s="167"/>
      <c r="E163" s="167"/>
      <c r="F163" s="489"/>
      <c r="G163" s="495"/>
      <c r="H163" s="504"/>
      <c r="I163" s="500"/>
      <c r="J163" s="495"/>
    </row>
    <row r="164" spans="1:10" x14ac:dyDescent="0.2">
      <c r="A164" s="166"/>
      <c r="B164" s="165"/>
      <c r="C164" s="167"/>
      <c r="D164" s="167"/>
      <c r="E164" s="167"/>
      <c r="F164" s="489"/>
      <c r="G164" s="495"/>
      <c r="H164" s="504"/>
      <c r="I164" s="500"/>
      <c r="J164" s="495"/>
    </row>
    <row r="165" spans="1:10" x14ac:dyDescent="0.2">
      <c r="A165" s="166"/>
      <c r="B165" s="165"/>
      <c r="C165" s="167"/>
      <c r="D165" s="167"/>
      <c r="E165" s="167"/>
      <c r="F165" s="489"/>
      <c r="G165" s="495"/>
      <c r="H165" s="504"/>
      <c r="I165" s="500"/>
      <c r="J165" s="495"/>
    </row>
    <row r="166" spans="1:10" x14ac:dyDescent="0.2">
      <c r="A166" s="166"/>
      <c r="B166" s="165"/>
      <c r="C166" s="167"/>
      <c r="D166" s="167"/>
      <c r="E166" s="167"/>
      <c r="F166" s="489"/>
      <c r="G166" s="495"/>
      <c r="H166" s="504"/>
      <c r="I166" s="500"/>
      <c r="J166" s="495"/>
    </row>
    <row r="167" spans="1:10" x14ac:dyDescent="0.2">
      <c r="A167" s="166"/>
      <c r="B167" s="165"/>
      <c r="C167" s="167"/>
      <c r="D167" s="167"/>
      <c r="E167" s="167"/>
      <c r="F167" s="489"/>
      <c r="G167" s="495"/>
      <c r="H167" s="504"/>
      <c r="I167" s="500"/>
      <c r="J167" s="495"/>
    </row>
    <row r="168" spans="1:10" x14ac:dyDescent="0.2">
      <c r="A168" s="166"/>
      <c r="B168" s="165"/>
      <c r="C168" s="167"/>
      <c r="D168" s="167"/>
      <c r="E168" s="167"/>
      <c r="F168" s="489"/>
      <c r="G168" s="495"/>
      <c r="H168" s="504"/>
      <c r="I168" s="500"/>
      <c r="J168" s="495"/>
    </row>
    <row r="169" spans="1:10" x14ac:dyDescent="0.2">
      <c r="A169" s="166"/>
      <c r="B169" s="165"/>
      <c r="C169" s="167"/>
      <c r="D169" s="167"/>
      <c r="E169" s="167"/>
      <c r="F169" s="489"/>
      <c r="G169" s="495"/>
      <c r="H169" s="504"/>
      <c r="I169" s="500"/>
      <c r="J169" s="495"/>
    </row>
    <row r="170" spans="1:10" x14ac:dyDescent="0.2">
      <c r="A170" s="166"/>
      <c r="B170" s="165"/>
      <c r="C170" s="167"/>
      <c r="D170" s="167"/>
      <c r="E170" s="167"/>
      <c r="F170" s="489"/>
      <c r="G170" s="495"/>
      <c r="H170" s="504"/>
      <c r="I170" s="500"/>
      <c r="J170" s="495"/>
    </row>
    <row r="171" spans="1:10" x14ac:dyDescent="0.2">
      <c r="A171" s="166"/>
      <c r="B171" s="165"/>
      <c r="C171" s="167"/>
      <c r="D171" s="167"/>
      <c r="E171" s="167"/>
      <c r="F171" s="489"/>
      <c r="G171" s="495"/>
      <c r="H171" s="504"/>
      <c r="I171" s="500"/>
      <c r="J171" s="495"/>
    </row>
    <row r="172" spans="1:10" x14ac:dyDescent="0.2">
      <c r="A172" s="166"/>
      <c r="B172" s="165"/>
      <c r="C172" s="167"/>
      <c r="D172" s="167"/>
      <c r="E172" s="167"/>
      <c r="F172" s="489"/>
      <c r="G172" s="495"/>
      <c r="H172" s="504"/>
      <c r="I172" s="500"/>
      <c r="J172" s="495"/>
    </row>
    <row r="173" spans="1:10" x14ac:dyDescent="0.2">
      <c r="A173" s="166"/>
      <c r="B173" s="165"/>
      <c r="C173" s="167"/>
      <c r="D173" s="167"/>
      <c r="E173" s="167"/>
      <c r="F173" s="489"/>
      <c r="G173" s="495"/>
      <c r="H173" s="504"/>
      <c r="I173" s="500"/>
      <c r="J173" s="495"/>
    </row>
    <row r="174" spans="1:10" x14ac:dyDescent="0.2">
      <c r="A174" s="166"/>
      <c r="B174" s="165"/>
      <c r="C174" s="167"/>
      <c r="D174" s="167"/>
      <c r="E174" s="167"/>
      <c r="F174" s="489"/>
      <c r="G174" s="495"/>
      <c r="H174" s="504"/>
      <c r="I174" s="500"/>
      <c r="J174" s="495"/>
    </row>
    <row r="175" spans="1:10" x14ac:dyDescent="0.2">
      <c r="A175" s="166"/>
      <c r="B175" s="165"/>
      <c r="C175" s="167"/>
      <c r="D175" s="167"/>
      <c r="E175" s="167"/>
      <c r="F175" s="489"/>
      <c r="G175" s="495"/>
      <c r="H175" s="504"/>
      <c r="I175" s="500"/>
      <c r="J175" s="495"/>
    </row>
    <row r="176" spans="1:10" x14ac:dyDescent="0.2">
      <c r="A176" s="166"/>
      <c r="B176" s="165"/>
      <c r="C176" s="167"/>
      <c r="D176" s="167"/>
      <c r="E176" s="167"/>
      <c r="F176" s="489"/>
      <c r="G176" s="495"/>
      <c r="H176" s="504"/>
      <c r="I176" s="500"/>
      <c r="J176" s="495"/>
    </row>
    <row r="177" spans="1:10" x14ac:dyDescent="0.2">
      <c r="A177" s="166"/>
      <c r="B177" s="165"/>
      <c r="C177" s="167"/>
      <c r="D177" s="167"/>
      <c r="E177" s="167"/>
      <c r="F177" s="489"/>
      <c r="G177" s="495"/>
      <c r="H177" s="504"/>
      <c r="I177" s="500"/>
      <c r="J177" s="495"/>
    </row>
    <row r="178" spans="1:10" x14ac:dyDescent="0.2">
      <c r="A178" s="166"/>
      <c r="B178" s="165"/>
      <c r="C178" s="167"/>
      <c r="D178" s="167"/>
      <c r="E178" s="167"/>
      <c r="F178" s="489"/>
      <c r="G178" s="495"/>
      <c r="H178" s="504"/>
      <c r="I178" s="500"/>
      <c r="J178" s="495"/>
    </row>
    <row r="179" spans="1:10" x14ac:dyDescent="0.2">
      <c r="A179" s="166"/>
      <c r="B179" s="165"/>
      <c r="C179" s="167"/>
      <c r="D179" s="167"/>
      <c r="E179" s="167"/>
      <c r="F179" s="489"/>
      <c r="G179" s="495"/>
      <c r="H179" s="504"/>
      <c r="I179" s="500"/>
      <c r="J179" s="495"/>
    </row>
    <row r="180" spans="1:10" x14ac:dyDescent="0.2">
      <c r="A180" s="166"/>
      <c r="B180" s="165"/>
      <c r="C180" s="167"/>
      <c r="D180" s="167"/>
      <c r="E180" s="167"/>
      <c r="F180" s="489"/>
      <c r="G180" s="495"/>
      <c r="H180" s="504"/>
      <c r="I180" s="500"/>
      <c r="J180" s="495"/>
    </row>
    <row r="181" spans="1:10" x14ac:dyDescent="0.2">
      <c r="A181" s="166"/>
      <c r="B181" s="165"/>
      <c r="C181" s="167"/>
      <c r="D181" s="167"/>
      <c r="E181" s="167"/>
      <c r="F181" s="489"/>
      <c r="G181" s="495"/>
      <c r="H181" s="504"/>
      <c r="I181" s="500"/>
      <c r="J181" s="495"/>
    </row>
    <row r="182" spans="1:10" x14ac:dyDescent="0.2">
      <c r="A182" s="166"/>
      <c r="B182" s="165"/>
      <c r="C182" s="167"/>
      <c r="D182" s="167"/>
      <c r="E182" s="167"/>
      <c r="F182" s="489"/>
      <c r="G182" s="495"/>
      <c r="H182" s="504"/>
      <c r="I182" s="500"/>
      <c r="J182" s="495"/>
    </row>
    <row r="183" spans="1:10" ht="13.9" customHeight="1" x14ac:dyDescent="0.2">
      <c r="A183" s="166"/>
      <c r="B183" s="165"/>
      <c r="C183" s="167"/>
      <c r="D183" s="167"/>
      <c r="E183" s="167"/>
      <c r="F183" s="489"/>
      <c r="G183" s="495"/>
      <c r="H183" s="504"/>
      <c r="I183" s="500"/>
      <c r="J183" s="495"/>
    </row>
    <row r="184" spans="1:10" x14ac:dyDescent="0.2">
      <c r="A184" s="166"/>
      <c r="B184" s="165"/>
      <c r="C184" s="167"/>
      <c r="D184" s="167"/>
      <c r="E184" s="167"/>
      <c r="F184" s="489"/>
      <c r="G184" s="495"/>
      <c r="H184" s="504"/>
      <c r="I184" s="500"/>
      <c r="J184" s="495"/>
    </row>
    <row r="185" spans="1:10" x14ac:dyDescent="0.2">
      <c r="A185" s="166"/>
      <c r="B185" s="165"/>
      <c r="C185" s="167"/>
      <c r="D185" s="167"/>
      <c r="E185" s="167"/>
      <c r="F185" s="489"/>
      <c r="G185" s="495"/>
      <c r="H185" s="504"/>
      <c r="I185" s="500"/>
      <c r="J185" s="495"/>
    </row>
    <row r="186" spans="1:10" x14ac:dyDescent="0.2">
      <c r="A186" s="166"/>
      <c r="B186" s="165"/>
      <c r="C186" s="167"/>
      <c r="D186" s="167"/>
      <c r="E186" s="167"/>
      <c r="F186" s="489"/>
      <c r="G186" s="495"/>
      <c r="H186" s="504"/>
      <c r="I186" s="500"/>
      <c r="J186" s="495"/>
    </row>
    <row r="187" spans="1:10" ht="13.9" customHeight="1" x14ac:dyDescent="0.2">
      <c r="A187" s="166"/>
      <c r="B187" s="165"/>
      <c r="C187" s="167"/>
      <c r="D187" s="167"/>
      <c r="E187" s="167"/>
      <c r="F187" s="489"/>
      <c r="G187" s="495"/>
      <c r="H187" s="504"/>
      <c r="I187" s="500"/>
      <c r="J187" s="495"/>
    </row>
    <row r="188" spans="1:10" x14ac:dyDescent="0.2">
      <c r="A188" s="166"/>
      <c r="B188" s="165"/>
      <c r="C188" s="167"/>
      <c r="D188" s="167"/>
      <c r="E188" s="167"/>
      <c r="F188" s="489"/>
      <c r="G188" s="495"/>
      <c r="H188" s="504"/>
      <c r="I188" s="500"/>
      <c r="J188" s="495"/>
    </row>
    <row r="189" spans="1:10" x14ac:dyDescent="0.2">
      <c r="A189" s="166"/>
      <c r="B189" s="165"/>
      <c r="C189" s="167"/>
      <c r="D189" s="167"/>
      <c r="E189" s="167"/>
      <c r="F189" s="489"/>
      <c r="G189" s="495"/>
      <c r="H189" s="504"/>
      <c r="I189" s="500"/>
      <c r="J189" s="495"/>
    </row>
    <row r="190" spans="1:10" x14ac:dyDescent="0.2">
      <c r="A190" s="166"/>
      <c r="B190" s="165"/>
      <c r="C190" s="167"/>
      <c r="D190" s="167"/>
      <c r="E190" s="167"/>
      <c r="F190" s="489"/>
      <c r="G190" s="495"/>
      <c r="H190" s="504"/>
      <c r="I190" s="500"/>
      <c r="J190" s="495"/>
    </row>
    <row r="191" spans="1:10" ht="13.9" customHeight="1" x14ac:dyDescent="0.2">
      <c r="A191" s="166"/>
      <c r="B191" s="165"/>
      <c r="C191" s="167"/>
      <c r="D191" s="167"/>
      <c r="E191" s="167"/>
      <c r="F191" s="489"/>
      <c r="G191" s="495"/>
      <c r="H191" s="504"/>
      <c r="I191" s="500"/>
      <c r="J191" s="495"/>
    </row>
    <row r="192" spans="1:10" x14ac:dyDescent="0.2">
      <c r="A192" s="166"/>
      <c r="B192" s="165"/>
      <c r="C192" s="167"/>
      <c r="D192" s="167"/>
      <c r="E192" s="167"/>
      <c r="F192" s="489"/>
      <c r="G192" s="495"/>
      <c r="H192" s="504"/>
      <c r="I192" s="500"/>
      <c r="J192" s="495"/>
    </row>
    <row r="193" spans="1:10" x14ac:dyDescent="0.2">
      <c r="A193" s="166"/>
      <c r="B193" s="482"/>
      <c r="C193" s="167"/>
      <c r="D193" s="167"/>
      <c r="E193" s="167"/>
      <c r="F193" s="489"/>
      <c r="G193" s="495"/>
      <c r="H193" s="504"/>
      <c r="I193" s="500"/>
      <c r="J193" s="495"/>
    </row>
    <row r="194" spans="1:10" x14ac:dyDescent="0.2">
      <c r="A194" s="166"/>
      <c r="B194" s="165"/>
      <c r="C194" s="167"/>
      <c r="D194" s="167"/>
      <c r="E194" s="167"/>
      <c r="F194" s="489"/>
      <c r="G194" s="495"/>
      <c r="H194" s="504"/>
      <c r="I194" s="500"/>
      <c r="J194" s="495"/>
    </row>
    <row r="195" spans="1:10" x14ac:dyDescent="0.2">
      <c r="A195" s="166"/>
      <c r="B195" s="165"/>
      <c r="C195" s="167"/>
      <c r="D195" s="167"/>
      <c r="E195" s="167"/>
      <c r="F195" s="489"/>
      <c r="G195" s="495"/>
      <c r="H195" s="504"/>
      <c r="I195" s="500"/>
      <c r="J195" s="495"/>
    </row>
    <row r="196" spans="1:10" ht="13.9" customHeight="1" x14ac:dyDescent="0.2">
      <c r="A196" s="166"/>
      <c r="B196" s="165"/>
    </row>
    <row r="197" spans="1:10" ht="13.9" customHeight="1" x14ac:dyDescent="0.2">
      <c r="B197" s="165"/>
      <c r="C197" s="165"/>
      <c r="D197" s="165"/>
      <c r="E197" s="165"/>
      <c r="F197" s="489"/>
      <c r="G197" s="497"/>
      <c r="H197" s="504"/>
      <c r="I197" s="500"/>
      <c r="J197" s="497"/>
    </row>
    <row r="198" spans="1:10" ht="13.9" customHeight="1" x14ac:dyDescent="0.2">
      <c r="A198" s="166"/>
      <c r="B198" s="165"/>
    </row>
    <row r="199" spans="1:10" x14ac:dyDescent="0.2">
      <c r="A199" s="161"/>
      <c r="B199" s="161"/>
    </row>
    <row r="200" spans="1:10" x14ac:dyDescent="0.2">
      <c r="B200" s="161"/>
    </row>
    <row r="201" spans="1:10" ht="15" x14ac:dyDescent="0.2">
      <c r="A201" s="164"/>
      <c r="C201" s="161"/>
      <c r="D201" s="161"/>
      <c r="E201" s="171"/>
    </row>
    <row r="202" spans="1:10" x14ac:dyDescent="0.2">
      <c r="A202" s="170"/>
    </row>
    <row r="203" spans="1:10" x14ac:dyDescent="0.2">
      <c r="A203" s="170"/>
    </row>
    <row r="209" spans="2:2" x14ac:dyDescent="0.2">
      <c r="B209" s="172"/>
    </row>
    <row r="210" spans="2:2" x14ac:dyDescent="0.2">
      <c r="B210" s="172"/>
    </row>
  </sheetData>
  <sortState xmlns:xlrd2="http://schemas.microsoft.com/office/spreadsheetml/2017/richdata2" ref="A3:F67">
    <sortCondition ref="A3:A67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B176-B9BE-4E02-934A-98FFB1A1D3CD}">
  <dimension ref="A1:C16"/>
  <sheetViews>
    <sheetView workbookViewId="0">
      <selection activeCell="C20" sqref="C20"/>
    </sheetView>
  </sheetViews>
  <sheetFormatPr defaultRowHeight="12.75" x14ac:dyDescent="0.2"/>
  <cols>
    <col min="1" max="1" width="50.140625" customWidth="1"/>
    <col min="2" max="2" width="19.5703125" customWidth="1"/>
    <col min="3" max="3" width="36.42578125" customWidth="1"/>
  </cols>
  <sheetData>
    <row r="1" spans="1:3" ht="15" x14ac:dyDescent="0.25">
      <c r="A1" s="560" t="s">
        <v>605</v>
      </c>
      <c r="B1" s="560"/>
      <c r="C1" s="560"/>
    </row>
    <row r="2" spans="1:3" ht="15" x14ac:dyDescent="0.25">
      <c r="A2" s="561" t="s">
        <v>606</v>
      </c>
      <c r="B2" s="561"/>
    </row>
    <row r="3" spans="1:3" x14ac:dyDescent="0.2">
      <c r="A3" s="522" t="s">
        <v>611</v>
      </c>
      <c r="B3" s="522">
        <v>909241</v>
      </c>
    </row>
    <row r="4" spans="1:3" x14ac:dyDescent="0.2">
      <c r="A4" s="522"/>
      <c r="B4" s="522"/>
    </row>
    <row r="5" spans="1:3" x14ac:dyDescent="0.2">
      <c r="A5" s="522" t="s">
        <v>601</v>
      </c>
      <c r="B5" s="522">
        <v>1948</v>
      </c>
    </row>
    <row r="6" spans="1:3" x14ac:dyDescent="0.2">
      <c r="A6" s="522" t="s">
        <v>602</v>
      </c>
      <c r="B6" s="522">
        <f>Notes!C15</f>
        <v>785849.19</v>
      </c>
    </row>
    <row r="7" spans="1:3" x14ac:dyDescent="0.2">
      <c r="A7" s="522" t="s">
        <v>607</v>
      </c>
      <c r="B7" s="522">
        <v>50000</v>
      </c>
    </row>
    <row r="8" spans="1:3" x14ac:dyDescent="0.2">
      <c r="A8" s="522"/>
      <c r="B8" s="522"/>
    </row>
    <row r="9" spans="1:3" x14ac:dyDescent="0.2">
      <c r="A9" s="139" t="s">
        <v>603</v>
      </c>
      <c r="B9" s="523">
        <f>SUM(B3:B8)</f>
        <v>1747038.19</v>
      </c>
      <c r="C9" s="524" t="s">
        <v>604</v>
      </c>
    </row>
    <row r="10" spans="1:3" x14ac:dyDescent="0.2">
      <c r="A10" s="522"/>
      <c r="B10" s="522"/>
    </row>
    <row r="11" spans="1:3" x14ac:dyDescent="0.2">
      <c r="A11" s="139" t="s">
        <v>612</v>
      </c>
      <c r="B11" s="522">
        <v>200000</v>
      </c>
    </row>
    <row r="12" spans="1:3" x14ac:dyDescent="0.2">
      <c r="A12" s="522" t="s">
        <v>614</v>
      </c>
      <c r="B12" s="525">
        <f>B6-B11</f>
        <v>585849.18999999994</v>
      </c>
    </row>
    <row r="13" spans="1:3" x14ac:dyDescent="0.2">
      <c r="A13" s="139"/>
      <c r="B13" s="522"/>
    </row>
    <row r="14" spans="1:3" x14ac:dyDescent="0.2">
      <c r="A14" s="139" t="s">
        <v>613</v>
      </c>
      <c r="B14" s="522">
        <f>B9-B12</f>
        <v>1161189</v>
      </c>
    </row>
    <row r="15" spans="1:3" x14ac:dyDescent="0.2">
      <c r="A15" s="522"/>
      <c r="B15" s="522"/>
    </row>
    <row r="16" spans="1:3" x14ac:dyDescent="0.2">
      <c r="A16" s="139"/>
      <c r="B16" s="522"/>
      <c r="C16" s="524"/>
    </row>
  </sheetData>
  <mergeCells count="2">
    <mergeCell ref="A1:C1"/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H14"/>
  <sheetViews>
    <sheetView workbookViewId="0"/>
  </sheetViews>
  <sheetFormatPr defaultColWidth="8.85546875" defaultRowHeight="12.75" x14ac:dyDescent="0.2"/>
  <cols>
    <col min="2" max="2" width="18.5703125" customWidth="1"/>
    <col min="3" max="3" width="7.28515625" bestFit="1" customWidth="1"/>
    <col min="4" max="4" width="7.7109375" bestFit="1" customWidth="1"/>
    <col min="5" max="5" width="7.42578125" bestFit="1" customWidth="1"/>
    <col min="6" max="6" width="4.28515625" bestFit="1" customWidth="1"/>
    <col min="7" max="7" width="14.140625" bestFit="1" customWidth="1"/>
    <col min="8" max="8" width="5.28515625" bestFit="1" customWidth="1"/>
    <col min="9" max="9" width="10.85546875" bestFit="1" customWidth="1"/>
    <col min="10" max="10" width="20.7109375" bestFit="1" customWidth="1"/>
    <col min="11" max="11" width="11.85546875" bestFit="1" customWidth="1"/>
    <col min="12" max="12" width="7.85546875" bestFit="1" customWidth="1"/>
    <col min="13" max="13" width="14.42578125" bestFit="1" customWidth="1"/>
    <col min="14" max="14" width="37.42578125" bestFit="1" customWidth="1"/>
  </cols>
  <sheetData>
    <row r="2" spans="2:8" x14ac:dyDescent="0.2">
      <c r="B2" s="159" t="s">
        <v>173</v>
      </c>
      <c r="C2" s="159"/>
      <c r="D2" s="159"/>
      <c r="E2" s="159"/>
      <c r="F2" s="159"/>
      <c r="G2" s="159"/>
      <c r="H2" s="159"/>
    </row>
    <row r="3" spans="2:8" x14ac:dyDescent="0.2">
      <c r="B3" s="159"/>
      <c r="C3" s="159"/>
      <c r="D3" s="159"/>
      <c r="E3" s="159"/>
      <c r="F3" s="159"/>
      <c r="G3" s="159"/>
      <c r="H3" s="159"/>
    </row>
    <row r="4" spans="2:8" x14ac:dyDescent="0.2">
      <c r="B4" s="159"/>
      <c r="C4" s="159"/>
      <c r="D4" s="159"/>
      <c r="E4" s="159"/>
      <c r="F4" s="159"/>
      <c r="G4" s="159"/>
      <c r="H4" s="159"/>
    </row>
    <row r="5" spans="2:8" x14ac:dyDescent="0.2">
      <c r="B5" s="159"/>
      <c r="C5" s="159"/>
      <c r="D5" s="159"/>
      <c r="E5" s="159"/>
      <c r="F5" s="159"/>
      <c r="G5" s="159"/>
      <c r="H5" s="159"/>
    </row>
    <row r="6" spans="2:8" x14ac:dyDescent="0.2">
      <c r="B6" s="159"/>
      <c r="C6" s="159"/>
      <c r="D6" s="159"/>
      <c r="E6" s="159"/>
      <c r="F6" s="159"/>
      <c r="G6" s="159"/>
      <c r="H6" s="159"/>
    </row>
    <row r="7" spans="2:8" x14ac:dyDescent="0.2">
      <c r="B7" s="159"/>
      <c r="C7" s="159"/>
      <c r="D7" s="159"/>
      <c r="E7" s="159"/>
      <c r="F7" s="159"/>
      <c r="G7" s="159"/>
      <c r="H7" s="159"/>
    </row>
    <row r="8" spans="2:8" x14ac:dyDescent="0.2">
      <c r="B8" s="159"/>
      <c r="C8" s="159"/>
      <c r="D8" s="159"/>
      <c r="E8" s="159"/>
      <c r="F8" s="159"/>
      <c r="G8" s="159"/>
      <c r="H8" s="159"/>
    </row>
    <row r="9" spans="2:8" x14ac:dyDescent="0.2">
      <c r="B9" s="159"/>
      <c r="C9" s="159"/>
      <c r="D9" s="159"/>
      <c r="E9" s="159"/>
      <c r="F9" s="159"/>
      <c r="G9" s="159"/>
      <c r="H9" s="159"/>
    </row>
    <row r="10" spans="2:8" x14ac:dyDescent="0.2">
      <c r="B10" s="159"/>
      <c r="C10" s="159"/>
      <c r="D10" s="159"/>
      <c r="E10" s="159"/>
      <c r="F10" s="159"/>
      <c r="G10" s="159"/>
      <c r="H10" s="159"/>
    </row>
    <row r="12" spans="2:8" x14ac:dyDescent="0.2">
      <c r="B12" s="159"/>
      <c r="C12" s="159"/>
      <c r="D12" s="159"/>
    </row>
    <row r="14" spans="2:8" x14ac:dyDescent="0.2">
      <c r="B14" s="37"/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Executive Summary</vt:lpstr>
      <vt:lpstr>Financial Summary</vt:lpstr>
      <vt:lpstr>Star Rating</vt:lpstr>
      <vt:lpstr>Park Images</vt:lpstr>
      <vt:lpstr>Proforma</vt:lpstr>
      <vt:lpstr>Notes</vt:lpstr>
      <vt:lpstr>Rent Roll </vt:lpstr>
      <vt:lpstr>Closing Funds</vt:lpstr>
      <vt:lpstr>Comps</vt:lpstr>
      <vt:lpstr>IE Data Entry</vt:lpstr>
      <vt:lpstr>IE SUMMARY</vt:lpstr>
      <vt:lpstr>Expense Compare Chart</vt:lpstr>
      <vt:lpstr>BVG Chart Of Accounts</vt:lpstr>
      <vt:lpstr>Inc-Exp-NOI Compare Chart</vt:lpstr>
      <vt:lpstr>ChartOfAccounts</vt:lpstr>
      <vt:lpstr>Current_Year</vt:lpstr>
      <vt:lpstr>Income_Account_Codes</vt:lpstr>
      <vt:lpstr>MgmtFee</vt:lpstr>
      <vt:lpstr>MgmtFeeLimit</vt:lpstr>
      <vt:lpstr>NoOfSpaces</vt:lpstr>
      <vt:lpstr>OpexInflation</vt:lpstr>
      <vt:lpstr>Proforma!Print_Titles</vt:lpstr>
      <vt:lpstr>RETaxRate</vt:lpstr>
      <vt:lpstr>SewerInflation</vt:lpstr>
    </vt:vector>
  </TitlesOfParts>
  <Company>Woodcrest Homes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 BoaVida Group</dc:creator>
  <cp:lastModifiedBy>Brian</cp:lastModifiedBy>
  <cp:lastPrinted>2018-01-18T00:24:48Z</cp:lastPrinted>
  <dcterms:created xsi:type="dcterms:W3CDTF">2002-10-16T22:59:56Z</dcterms:created>
  <dcterms:modified xsi:type="dcterms:W3CDTF">2019-05-01T16:30:04Z</dcterms:modified>
</cp:coreProperties>
</file>