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updateLinks="never" codeName="ThisWorkbook"/>
  <mc:AlternateContent xmlns:mc="http://schemas.openxmlformats.org/markup-compatibility/2006">
    <mc:Choice Requires="x15">
      <x15ac:absPath xmlns:x15ac="http://schemas.microsoft.com/office/spreadsheetml/2010/11/ac" url="https://netorg4686179.sharepoint.com/Owned ParksMH/West/CA/Shady Glen Estates - Colfax/Acq Archive/00. Investment Package/"/>
    </mc:Choice>
  </mc:AlternateContent>
  <xr:revisionPtr revIDLastSave="78" documentId="8_{5962162D-BDF5-4852-936F-6F95B840162D}" xr6:coauthVersionLast="47" xr6:coauthVersionMax="47" xr10:uidLastSave="{3AC20BE8-B5FC-4D2E-A64C-B1AB03621FA1}"/>
  <bookViews>
    <workbookView xWindow="-120" yWindow="-120" windowWidth="29040" windowHeight="15720" xr2:uid="{3D1CD181-DC09-44B5-92BD-96984B99E370}"/>
  </bookViews>
  <sheets>
    <sheet name="Executive Summary" sheetId="8" r:id="rId1"/>
    <sheet name="Financial Summary" sheetId="7" r:id="rId2"/>
    <sheet name="Park Images" sheetId="5" r:id="rId3"/>
    <sheet name="Proforma" sheetId="1" r:id="rId4"/>
    <sheet name="Notes" sheetId="2" r:id="rId5"/>
    <sheet name="June 2025 Rent Roll pdf convert" sheetId="20" state="veryHidden" r:id="rId6"/>
    <sheet name="Comps-Market-Park" sheetId="4" state="veryHidden" r:id="rId7"/>
    <sheet name="IE Data Entry" sheetId="11" state="veryHidden" r:id="rId8"/>
    <sheet name="IE SUMMARY" sheetId="12" state="veryHidden" r:id="rId9"/>
    <sheet name="Expense Compare Chart" sheetId="14" state="veryHidden" r:id="rId10"/>
    <sheet name="BVG Chart Of Accounts" sheetId="15" state="veryHidden" r:id="rId11"/>
    <sheet name="WaterFall" sheetId="19" state="veryHidden" r:id="rId12"/>
  </sheets>
  <externalReferences>
    <externalReference r:id="rId13"/>
    <externalReference r:id="rId14"/>
  </externalReferences>
  <definedNames>
    <definedName name="_Fill" localSheetId="11" hidden="1">#REF!</definedName>
    <definedName name="_Fill" hidden="1">#REF!</definedName>
    <definedName name="_Order1" hidden="1">0</definedName>
    <definedName name="_Table2_Out" localSheetId="11" hidden="1">[1]Matrix!#REF!</definedName>
    <definedName name="_Table2_Out" hidden="1">[1]Matrix!#REF!</definedName>
    <definedName name="AcquisitionFee">Proforma!$N$6</definedName>
    <definedName name="AssetMgmtFee">Proforma!$N$7</definedName>
    <definedName name="BVG_Internal">Proforma!$154:$380</definedName>
    <definedName name="BVGPromote">Proforma!$K$21</definedName>
    <definedName name="ChartOfAccounts">'BVG Chart Of Accounts'!$A$18:$B$41</definedName>
    <definedName name="CommAssets">Notes!$D$77</definedName>
    <definedName name="Cost_of_Sale">Proforma!$I$158</definedName>
    <definedName name="CU?" localSheetId="11">WaterFall!$A$5</definedName>
    <definedName name="Current_Date">TODAY()</definedName>
    <definedName name="Current_Year">'IE Data Entry'!$B$3</definedName>
    <definedName name="DispositionFee">Proforma!$N$9</definedName>
    <definedName name="DueDage">'[2]Env, Special, Access, Util:Market-Final Tasks'!$E$18:$E$26,'[2]Env, Special, Access, Util:Market-Final Tasks'!$E$4:$E$13,'[2]Env, Special, Access, Util:Market-Final Tasks'!$E$31:$E$36,'[2]Env, Special, Access, Util:Market-Final Tasks'!$E$41:$E$50</definedName>
    <definedName name="Equity_Share_LP" localSheetId="11">WaterFall!$C$9</definedName>
    <definedName name="Equity_Share_Sponsor" localSheetId="11">WaterFall!$C$8</definedName>
    <definedName name="FirstRefiYear">Proforma!$D$98</definedName>
    <definedName name="GlobalInflation">Proforma!$J$4</definedName>
    <definedName name="GoingInCapToHide">Proforma!$C$7:$D$7</definedName>
    <definedName name="Hilton" localSheetId="11" hidden="1">{#N/A,#N/A,FALSE,"ExecSum";#N/A,#N/A,FALSE,"Summary";#N/A,#N/A,FALSE,"Budget";#N/A,#N/A,FALSE,"CashFlow"}</definedName>
    <definedName name="Hilton" hidden="1">{#N/A,#N/A,FALSE,"ExecSum";#N/A,#N/A,FALSE,"Summary";#N/A,#N/A,FALSE,"Budget";#N/A,#N/A,FALSE,"CashFlow"}</definedName>
    <definedName name="Income_Account_Codes">'BVG Chart Of Accounts'!$A$2:$B$13</definedName>
    <definedName name="InitialLoan">Proforma!$F$93</definedName>
    <definedName name="IntroPrintArea" localSheetId="11" hidden="1">#REF!</definedName>
    <definedName name="IntroPrintArea" hidden="1">#REF!</definedName>
    <definedName name="InvestorPref">Proforma!$K$22</definedName>
    <definedName name="InvestorPromote">Proforma!$K$20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42145.5554861111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stRowA">4</definedName>
    <definedName name="Maintenance___Capital_Reserve">#REF!</definedName>
    <definedName name="MgmtFee">Proforma!$J$5</definedName>
    <definedName name="MgmtFeeLimit">Proforma!$J$6</definedName>
    <definedName name="MoveCount">'IE Data Entry'!$P$2</definedName>
    <definedName name="NewTaxes">Notes!$D$58</definedName>
    <definedName name="NoHighlightRange">Proforma!$E$29:$AJ$86</definedName>
    <definedName name="NoOfSpaces">Proforma!$D$15</definedName>
    <definedName name="OccPadsNum">Proforma!$E$15</definedName>
    <definedName name="OptionsList">'[2]Summary, PSA, Title'!$O$2:$O$8</definedName>
    <definedName name="OtherFTE">Notes!$K$51</definedName>
    <definedName name="Park_Name">Proforma!$U$1</definedName>
    <definedName name="Periodic_rate">[0]!Annual_interest_rate/[0]!Payments_per_year</definedName>
    <definedName name="Preferred_Return" localSheetId="11">WaterFall!$E$14</definedName>
    <definedName name="_xlnm.Print_Titles" localSheetId="3">Proforma!$33:$34</definedName>
    <definedName name="ProjectName">'[2]Summary, PSA, Title'!$C$2</definedName>
    <definedName name="Promote_Structure" localSheetId="11">WaterFall!$B$13:$I$17</definedName>
    <definedName name="Purchase_Price">Proforma!$D$4</definedName>
    <definedName name="RefiCap">Proforma!$E$103</definedName>
    <definedName name="RefinanceFee">Proforma!$N$8</definedName>
    <definedName name="ResAssets">Notes!$D$83</definedName>
    <definedName name="SewerInflation">Proforma!$E$47</definedName>
    <definedName name="Total_Equity" localSheetId="11">WaterFall!$D$10</definedName>
    <definedName name="wrn.bankrep." localSheetId="11" hidden="1">{#N/A,#N/A,FALSE,"ExecSum";#N/A,#N/A,FALSE,"Summary";#N/A,#N/A,FALSE,"Budget";#N/A,#N/A,FALSE,"CashFlow"}</definedName>
    <definedName name="wrn.bankrep." hidden="1">{#N/A,#N/A,FALSE,"ExecSum";#N/A,#N/A,FALSE,"Summary";#N/A,#N/A,FALSE,"Budget";#N/A,#N/A,FALSE,"CashFlow"}</definedName>
    <definedName name="wrn.FCG._.Express." hidden="1">{#N/A,#N/A,TRUE,"Title Page";#N/A,#N/A,TRUE,"Executive Summary";#N/A,#N/A,TRUE,"Assumptions";#N/A,#N/A,TRUE,"Footnotes";#N/A,#N/A,TRUE,"Narrative Assumptions";#N/A,#N/A,TRUE,"2nd Generation";#N/A,#N/A,TRUE,"Existing vs Mkt";#N/A,#N/A,TRUE,"Cash Flow";#N/A,#N/A,TRUE,"Residual - Marketing";#N/A,#N/A,TRUE,"Pricing Matrix";#N/A,#N/A,TRUE,"Expiration Schedule";#N/A,#N/A,TRUE,"Expiration Graph "}</definedName>
    <definedName name="wrn.FCG._.Full." hidden="1">{#N/A,#N/A,TRUE,"Title Page";#N/A,#N/A,TRUE,"Executive Summary";#N/A,#N/A,TRUE,"Assumptions";#N/A,#N/A,TRUE,"Footnotes";#N/A,#N/A,TRUE,"Narrative Assumptions";#N/A,#N/A,TRUE,"Vacant Space";#N/A,#N/A,TRUE,"2nd Generation";#N/A,#N/A,TRUE,"Existing vs Mkt";#N/A,#N/A,TRUE,"Cash Flow";#N/A,#N/A,TRUE,"Residual - Marketing";#N/A,#N/A,TRUE,"Pricing Matrix";#N/A,#N/A,TRUE,"Vacancy Detail";#N/A,#N/A,TRUE,"Expiration Schedule";#N/A,#N/A,TRUE,"Expiration Graph ";#N/A,#N/A,TRUE,"Value Matrix";#N/A,#N/A,TRUE,"Value Matrix (2)";#N/A,#N/A,TRUE,"GI Detail";#N/A,#N/A,TRUE,"Exp Detail";#N/A,#N/A,TRUE,"ALease-up Schedule"}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 r="I93" i="2"/>
  <c r="I94" i="2" s="1"/>
  <c r="I96" i="2" s="1"/>
  <c r="I97" i="2" s="1"/>
  <c r="J93" i="2"/>
  <c r="J94" i="2" s="1"/>
  <c r="J96" i="2" s="1"/>
  <c r="J97" i="2" s="1"/>
  <c r="K93" i="2"/>
  <c r="K94" i="2" s="1"/>
  <c r="K96" i="2" s="1"/>
  <c r="K97" i="2" s="1"/>
  <c r="H93" i="2"/>
  <c r="H94" i="2" s="1"/>
  <c r="H96" i="2" s="1"/>
  <c r="H97" i="2" s="1"/>
  <c r="L97" i="2" s="1"/>
  <c r="D77" i="2" s="1"/>
  <c r="F12" i="1"/>
  <c r="P6" i="20" l="1"/>
  <c r="Q6" i="20" s="1"/>
  <c r="E71" i="1"/>
  <c r="P10" i="20" l="1"/>
  <c r="G30" i="1" l="1"/>
  <c r="H30" i="1" s="1"/>
  <c r="I30" i="1" s="1"/>
  <c r="J30" i="1" s="1"/>
  <c r="M3" i="12" l="1"/>
  <c r="E60" i="1"/>
  <c r="E62" i="1"/>
  <c r="E49" i="1" l="1"/>
  <c r="F49" i="1"/>
  <c r="G29" i="1"/>
  <c r="H29" i="1" s="1"/>
  <c r="I29" i="1" s="1"/>
  <c r="J29" i="1" s="1"/>
  <c r="L22" i="11"/>
  <c r="L23" i="11"/>
  <c r="L24" i="11"/>
  <c r="L25" i="11"/>
  <c r="L26" i="11"/>
  <c r="L27" i="11"/>
  <c r="L28" i="11"/>
  <c r="L29" i="11"/>
  <c r="L30" i="11"/>
  <c r="L31" i="11"/>
  <c r="L32" i="11"/>
  <c r="L33" i="11"/>
  <c r="L34" i="11"/>
  <c r="L35" i="11"/>
  <c r="L36" i="11"/>
  <c r="G50" i="1"/>
  <c r="H50" i="1" s="1"/>
  <c r="I50" i="1" s="1"/>
  <c r="J50" i="1" s="1"/>
  <c r="K50" i="1" s="1"/>
  <c r="L50" i="1" s="1"/>
  <c r="M50" i="1" s="1"/>
  <c r="N50" i="1" s="1"/>
  <c r="O50" i="1" s="1"/>
  <c r="P50" i="1" s="1"/>
  <c r="Q50" i="1" s="1"/>
  <c r="R50" i="1" s="1"/>
  <c r="S50" i="1" s="1"/>
  <c r="T50" i="1" s="1"/>
  <c r="U50" i="1" s="1"/>
  <c r="V50" i="1" s="1"/>
  <c r="W50" i="1" s="1"/>
  <c r="X50" i="1" s="1"/>
  <c r="Y50" i="1" s="1"/>
  <c r="Z50" i="1" s="1"/>
  <c r="AA50" i="1" s="1"/>
  <c r="AB50" i="1" s="1"/>
  <c r="AC50" i="1" s="1"/>
  <c r="AD50" i="1" s="1"/>
  <c r="AE50" i="1" s="1"/>
  <c r="AF50" i="1" s="1"/>
  <c r="AG50" i="1" s="1"/>
  <c r="AH50" i="1" s="1"/>
  <c r="AI50" i="1" s="1"/>
  <c r="AJ50" i="1" s="1"/>
  <c r="F50" i="1"/>
  <c r="B50" i="1" s="1"/>
  <c r="I20" i="12" l="1"/>
  <c r="K25" i="1"/>
  <c r="D57" i="2"/>
  <c r="D44" i="1"/>
  <c r="Q2" i="11" l="1"/>
  <c r="F65" i="1"/>
  <c r="Q3" i="11"/>
  <c r="S2" i="4"/>
  <c r="P11" i="4" s="1"/>
  <c r="P3" i="4"/>
  <c r="Q4" i="4" s="1"/>
  <c r="N4" i="4"/>
  <c r="R11" i="4"/>
  <c r="S11" i="4" s="1"/>
  <c r="M11" i="4"/>
  <c r="N11" i="4" s="1"/>
  <c r="P7" i="4"/>
  <c r="M7" i="4"/>
  <c r="U19" i="1"/>
  <c r="S20" i="1"/>
  <c r="T22" i="1" l="1"/>
  <c r="P22" i="1" s="1"/>
  <c r="P19" i="1" l="1"/>
  <c r="P23" i="1" s="1"/>
  <c r="O22" i="1"/>
  <c r="O21" i="1"/>
  <c r="O20" i="1"/>
  <c r="B45" i="12"/>
  <c r="C45" i="12"/>
  <c r="D45" i="12"/>
  <c r="E45" i="12"/>
  <c r="G45" i="12"/>
  <c r="B46" i="12"/>
  <c r="C46" i="12"/>
  <c r="D46" i="12"/>
  <c r="E46" i="12"/>
  <c r="G46" i="12"/>
  <c r="B47" i="12"/>
  <c r="C47" i="12"/>
  <c r="D47" i="12"/>
  <c r="E47" i="12"/>
  <c r="G47" i="12"/>
  <c r="H47" i="12"/>
  <c r="B48" i="12"/>
  <c r="C48" i="12"/>
  <c r="D48" i="12"/>
  <c r="E48" i="12"/>
  <c r="G48" i="12"/>
  <c r="H48" i="12"/>
  <c r="B49" i="12"/>
  <c r="C49" i="12"/>
  <c r="D49" i="12"/>
  <c r="E49" i="12"/>
  <c r="G49" i="12"/>
  <c r="H49" i="12"/>
  <c r="B50" i="12"/>
  <c r="C50" i="12"/>
  <c r="D50" i="12"/>
  <c r="E50" i="12"/>
  <c r="G50" i="12"/>
  <c r="H50" i="12"/>
  <c r="B51" i="12"/>
  <c r="C51" i="12"/>
  <c r="D51" i="12"/>
  <c r="E51" i="12"/>
  <c r="G51" i="12"/>
  <c r="H51" i="12"/>
  <c r="B52" i="12"/>
  <c r="C52" i="12"/>
  <c r="D52" i="12"/>
  <c r="E52" i="12"/>
  <c r="G52" i="12"/>
  <c r="B53" i="12"/>
  <c r="C53" i="12"/>
  <c r="D53" i="12"/>
  <c r="E53" i="12"/>
  <c r="G53" i="12"/>
  <c r="B54" i="12"/>
  <c r="C54" i="12"/>
  <c r="D54" i="12"/>
  <c r="E54" i="12"/>
  <c r="G54" i="12"/>
  <c r="B55" i="12"/>
  <c r="C55" i="12"/>
  <c r="D55" i="12"/>
  <c r="E55" i="12"/>
  <c r="G55" i="12"/>
  <c r="H36" i="12"/>
  <c r="H79" i="12" s="1"/>
  <c r="H37" i="12"/>
  <c r="H85" i="12" s="1"/>
  <c r="H38" i="12"/>
  <c r="H39" i="12"/>
  <c r="H97" i="12" s="1"/>
  <c r="H41" i="12"/>
  <c r="H15" i="12"/>
  <c r="H16" i="12"/>
  <c r="H78" i="12" s="1"/>
  <c r="H17" i="12"/>
  <c r="H84" i="12" s="1"/>
  <c r="H18" i="12"/>
  <c r="H90" i="12" s="1"/>
  <c r="H19" i="12"/>
  <c r="H96" i="12" s="1"/>
  <c r="H20" i="12"/>
  <c r="H24" i="12"/>
  <c r="H7" i="12"/>
  <c r="H8" i="12"/>
  <c r="H9" i="12"/>
  <c r="H10" i="12"/>
  <c r="J55" i="11"/>
  <c r="H35" i="12" s="1"/>
  <c r="C23" i="2"/>
  <c r="C24" i="2"/>
  <c r="C22" i="2"/>
  <c r="C21" i="2"/>
  <c r="F76" i="1"/>
  <c r="I51" i="12" s="1"/>
  <c r="O19" i="1"/>
  <c r="E110" i="1"/>
  <c r="M22" i="1" l="1"/>
  <c r="O25" i="1"/>
  <c r="O23" i="1"/>
  <c r="H102" i="12"/>
  <c r="H21" i="12"/>
  <c r="H72" i="12"/>
  <c r="H66" i="12"/>
  <c r="H11" i="12"/>
  <c r="H67" i="12"/>
  <c r="H103" i="12"/>
  <c r="H80" i="12"/>
  <c r="H81" i="12"/>
  <c r="H98" i="12"/>
  <c r="H99" i="12"/>
  <c r="H91" i="12"/>
  <c r="H93" i="12" s="1"/>
  <c r="H87" i="12"/>
  <c r="H73" i="12"/>
  <c r="H86" i="12"/>
  <c r="G41" i="11"/>
  <c r="H41" i="11"/>
  <c r="H9" i="11"/>
  <c r="Q4" i="11" s="1"/>
  <c r="G9" i="11"/>
  <c r="D15" i="1"/>
  <c r="E63" i="1" s="1"/>
  <c r="L11" i="4"/>
  <c r="O11" i="4" s="1"/>
  <c r="E4" i="1" l="1"/>
  <c r="D10" i="1" s="1"/>
  <c r="T11" i="4"/>
  <c r="Q11" i="4"/>
  <c r="H68" i="12"/>
  <c r="H69" i="12"/>
  <c r="H75" i="12"/>
  <c r="H104" i="12"/>
  <c r="H26" i="12"/>
  <c r="H92" i="12"/>
  <c r="J56" i="11"/>
  <c r="H46" i="12" s="1"/>
  <c r="H74" i="12"/>
  <c r="J42" i="11"/>
  <c r="H53" i="12" s="1"/>
  <c r="J64" i="11"/>
  <c r="H54" i="12" s="1"/>
  <c r="J54" i="11"/>
  <c r="H44" i="12" s="1"/>
  <c r="J53" i="11"/>
  <c r="J52" i="11"/>
  <c r="H42" i="12" l="1"/>
  <c r="H45" i="12"/>
  <c r="J44" i="11"/>
  <c r="J43" i="11"/>
  <c r="H32" i="12"/>
  <c r="T1" i="1"/>
  <c r="D1" i="1" s="1"/>
  <c r="AI114" i="1"/>
  <c r="AJ114" i="1"/>
  <c r="P25" i="1"/>
  <c r="G27" i="1"/>
  <c r="H27" i="1" s="1"/>
  <c r="I27" i="1" s="1"/>
  <c r="J27" i="1" s="1"/>
  <c r="K27" i="1" s="1"/>
  <c r="L27" i="1" s="1"/>
  <c r="M27" i="1" s="1"/>
  <c r="N27" i="1" s="1"/>
  <c r="O27" i="1" s="1"/>
  <c r="P27" i="1" s="1"/>
  <c r="Q27" i="1" s="1"/>
  <c r="R27" i="1" s="1"/>
  <c r="S27" i="1" s="1"/>
  <c r="T27" i="1" s="1"/>
  <c r="U27" i="1" s="1"/>
  <c r="V27" i="1" s="1"/>
  <c r="W27" i="1" s="1"/>
  <c r="X27" i="1" s="1"/>
  <c r="Y27" i="1" s="1"/>
  <c r="Z27" i="1" s="1"/>
  <c r="AA27" i="1" s="1"/>
  <c r="AB27" i="1" s="1"/>
  <c r="AC27" i="1" s="1"/>
  <c r="AD27" i="1" s="1"/>
  <c r="AE27" i="1" s="1"/>
  <c r="AF27" i="1" s="1"/>
  <c r="AG27" i="1" s="1"/>
  <c r="AH27" i="1" s="1"/>
  <c r="AI27" i="1" s="1"/>
  <c r="AJ27" i="1" s="1"/>
  <c r="D32" i="12"/>
  <c r="G7" i="19"/>
  <c r="G5" i="19"/>
  <c r="B106" i="19"/>
  <c r="B99" i="19"/>
  <c r="B93" i="19"/>
  <c r="B84" i="19"/>
  <c r="B78" i="19"/>
  <c r="F74" i="19"/>
  <c r="F81" i="19" s="1"/>
  <c r="B69" i="19"/>
  <c r="B67" i="19"/>
  <c r="F62" i="19"/>
  <c r="B59" i="19"/>
  <c r="F53" i="19"/>
  <c r="F38" i="19"/>
  <c r="G37" i="19"/>
  <c r="H37" i="19" s="1"/>
  <c r="I37" i="19" s="1"/>
  <c r="F31" i="19"/>
  <c r="E16" i="19"/>
  <c r="C88" i="19" s="1"/>
  <c r="E15" i="19"/>
  <c r="C73" i="19" s="1"/>
  <c r="B80" i="19" s="1"/>
  <c r="H14" i="19"/>
  <c r="I14" i="19" s="1"/>
  <c r="E14" i="19"/>
  <c r="C52" i="19" s="1"/>
  <c r="B13" i="19"/>
  <c r="C9" i="19"/>
  <c r="H17" i="19" s="1"/>
  <c r="I17" i="19" s="1"/>
  <c r="C44" i="19"/>
  <c r="D44" i="19" s="1"/>
  <c r="F63" i="19"/>
  <c r="E15" i="1"/>
  <c r="G65" i="12"/>
  <c r="I60" i="12"/>
  <c r="I65" i="12" s="1"/>
  <c r="D37" i="11"/>
  <c r="E37" i="11"/>
  <c r="F37" i="11"/>
  <c r="G37" i="11"/>
  <c r="I37" i="11"/>
  <c r="C37" i="11"/>
  <c r="F113" i="11"/>
  <c r="C80" i="1"/>
  <c r="C30" i="1"/>
  <c r="C31" i="1"/>
  <c r="C29" i="1"/>
  <c r="D36" i="1"/>
  <c r="D35" i="1"/>
  <c r="D34" i="1"/>
  <c r="C101" i="1"/>
  <c r="F17" i="1"/>
  <c r="D162" i="1"/>
  <c r="E162" i="1" s="1"/>
  <c r="E35" i="1"/>
  <c r="E36" i="1"/>
  <c r="E34" i="1"/>
  <c r="F34" i="1" s="1"/>
  <c r="C67" i="1"/>
  <c r="F45" i="1"/>
  <c r="G327" i="1"/>
  <c r="H327" i="1"/>
  <c r="I327" i="1"/>
  <c r="J327" i="1"/>
  <c r="K327" i="1"/>
  <c r="L327" i="1"/>
  <c r="M327" i="1"/>
  <c r="N327" i="1"/>
  <c r="O327" i="1"/>
  <c r="K328" i="1"/>
  <c r="L328" i="1"/>
  <c r="M328" i="1"/>
  <c r="N328" i="1"/>
  <c r="O328" i="1"/>
  <c r="G329" i="1"/>
  <c r="H329" i="1"/>
  <c r="I329" i="1"/>
  <c r="J329" i="1"/>
  <c r="K329" i="1"/>
  <c r="L329" i="1"/>
  <c r="M329" i="1"/>
  <c r="N329" i="1"/>
  <c r="O329" i="1"/>
  <c r="G332" i="1"/>
  <c r="H332" i="1"/>
  <c r="I332" i="1"/>
  <c r="J332" i="1"/>
  <c r="K332" i="1"/>
  <c r="L332" i="1"/>
  <c r="M332" i="1"/>
  <c r="N332" i="1"/>
  <c r="F327" i="1"/>
  <c r="F329" i="1"/>
  <c r="F332" i="1"/>
  <c r="C295" i="1"/>
  <c r="C344" i="1" s="1"/>
  <c r="C305" i="1"/>
  <c r="C306" i="1"/>
  <c r="G278" i="1"/>
  <c r="H278" i="1"/>
  <c r="I278" i="1"/>
  <c r="J278" i="1"/>
  <c r="G280" i="1"/>
  <c r="H280" i="1"/>
  <c r="I280" i="1"/>
  <c r="J280" i="1"/>
  <c r="G283" i="1"/>
  <c r="H283" i="1"/>
  <c r="I283" i="1"/>
  <c r="F278" i="1"/>
  <c r="F280" i="1"/>
  <c r="F283" i="1"/>
  <c r="C273" i="1"/>
  <c r="C322" i="1" s="1"/>
  <c r="C284" i="1"/>
  <c r="C333" i="1" s="1"/>
  <c r="C241" i="1"/>
  <c r="C290" i="1" s="1"/>
  <c r="C339" i="1" s="1"/>
  <c r="C242" i="1"/>
  <c r="C291" i="1" s="1"/>
  <c r="C340" i="1" s="1"/>
  <c r="C243" i="1"/>
  <c r="C292" i="1" s="1"/>
  <c r="C341" i="1" s="1"/>
  <c r="C244" i="1"/>
  <c r="C293" i="1" s="1"/>
  <c r="C342" i="1" s="1"/>
  <c r="C245" i="1"/>
  <c r="C294" i="1" s="1"/>
  <c r="C343" i="1" s="1"/>
  <c r="C247" i="1"/>
  <c r="C296" i="1" s="1"/>
  <c r="C345" i="1" s="1"/>
  <c r="C248" i="1"/>
  <c r="C297" i="1" s="1"/>
  <c r="C346" i="1" s="1"/>
  <c r="C249" i="1"/>
  <c r="C298" i="1" s="1"/>
  <c r="C347" i="1" s="1"/>
  <c r="C250" i="1"/>
  <c r="C299" i="1" s="1"/>
  <c r="C348" i="1" s="1"/>
  <c r="C251" i="1"/>
  <c r="C300" i="1" s="1"/>
  <c r="C349" i="1" s="1"/>
  <c r="C252" i="1"/>
  <c r="C301" i="1" s="1"/>
  <c r="C350" i="1" s="1"/>
  <c r="C253" i="1"/>
  <c r="C302" i="1" s="1"/>
  <c r="C351" i="1" s="1"/>
  <c r="C240" i="1"/>
  <c r="C289" i="1" s="1"/>
  <c r="C338" i="1" s="1"/>
  <c r="F225" i="1"/>
  <c r="G225" i="1"/>
  <c r="H225" i="1"/>
  <c r="F229" i="1"/>
  <c r="G229" i="1"/>
  <c r="H229" i="1"/>
  <c r="F231" i="1"/>
  <c r="G231" i="1"/>
  <c r="H231" i="1"/>
  <c r="F234" i="1"/>
  <c r="G234" i="1"/>
  <c r="C217" i="1"/>
  <c r="C266" i="1" s="1"/>
  <c r="C315" i="1" s="1"/>
  <c r="C218" i="1"/>
  <c r="C267" i="1" s="1"/>
  <c r="C316" i="1" s="1"/>
  <c r="C219" i="1"/>
  <c r="C268" i="1" s="1"/>
  <c r="C317" i="1" s="1"/>
  <c r="C220" i="1"/>
  <c r="C269" i="1" s="1"/>
  <c r="C318" i="1" s="1"/>
  <c r="C221" i="1"/>
  <c r="C270" i="1" s="1"/>
  <c r="C319" i="1" s="1"/>
  <c r="C222" i="1"/>
  <c r="C271" i="1" s="1"/>
  <c r="C320" i="1" s="1"/>
  <c r="C275" i="1"/>
  <c r="C324" i="1" s="1"/>
  <c r="C228" i="1"/>
  <c r="C277" i="1" s="1"/>
  <c r="C326" i="1" s="1"/>
  <c r="C229" i="1"/>
  <c r="C278" i="1" s="1"/>
  <c r="C327" i="1" s="1"/>
  <c r="C230" i="1"/>
  <c r="C279" i="1" s="1"/>
  <c r="C328" i="1" s="1"/>
  <c r="C231" i="1"/>
  <c r="C280" i="1" s="1"/>
  <c r="C329" i="1" s="1"/>
  <c r="C232" i="1"/>
  <c r="C281" i="1" s="1"/>
  <c r="C330" i="1" s="1"/>
  <c r="C233" i="1"/>
  <c r="C282" i="1" s="1"/>
  <c r="C331" i="1" s="1"/>
  <c r="C234" i="1"/>
  <c r="C283" i="1" s="1"/>
  <c r="C332" i="1" s="1"/>
  <c r="C236" i="1"/>
  <c r="C285" i="1" s="1"/>
  <c r="C334" i="1" s="1"/>
  <c r="C216" i="1"/>
  <c r="C265" i="1" s="1"/>
  <c r="C314" i="1" s="1"/>
  <c r="C28" i="2"/>
  <c r="I48" i="2"/>
  <c r="G51" i="2"/>
  <c r="J51" i="2" s="1"/>
  <c r="I50" i="2"/>
  <c r="I49" i="2"/>
  <c r="G45" i="2"/>
  <c r="K45" i="2" s="1"/>
  <c r="I44" i="2"/>
  <c r="I43" i="2"/>
  <c r="I42" i="2"/>
  <c r="I37" i="2"/>
  <c r="I38" i="2"/>
  <c r="G39" i="2"/>
  <c r="I36" i="2"/>
  <c r="F14" i="1"/>
  <c r="G14" i="1" s="1"/>
  <c r="F13" i="1"/>
  <c r="C160" i="1"/>
  <c r="D35" i="2"/>
  <c r="D41" i="2" s="1"/>
  <c r="B50" i="2"/>
  <c r="D67" i="2"/>
  <c r="D71" i="2" s="1"/>
  <c r="D56" i="1"/>
  <c r="F93" i="1"/>
  <c r="C4" i="2" s="1"/>
  <c r="F316" i="1"/>
  <c r="D81" i="2"/>
  <c r="D80" i="2"/>
  <c r="D79" i="2"/>
  <c r="G91" i="1"/>
  <c r="G43" i="12"/>
  <c r="G42" i="12"/>
  <c r="G38" i="12"/>
  <c r="G91" i="12" s="1"/>
  <c r="G36" i="12"/>
  <c r="G79" i="12" s="1"/>
  <c r="G35" i="12"/>
  <c r="G73" i="12" s="1"/>
  <c r="E42" i="12"/>
  <c r="E40" i="12"/>
  <c r="E37" i="12"/>
  <c r="E85" i="12" s="1"/>
  <c r="E34" i="12"/>
  <c r="F59" i="12"/>
  <c r="F65" i="12" s="1"/>
  <c r="G44" i="12"/>
  <c r="E44" i="12"/>
  <c r="D44" i="12"/>
  <c r="C44" i="12"/>
  <c r="B44" i="12"/>
  <c r="E43" i="12"/>
  <c r="D43" i="12"/>
  <c r="C43" i="12"/>
  <c r="B43" i="12"/>
  <c r="D42" i="12"/>
  <c r="C42" i="12"/>
  <c r="B42" i="12"/>
  <c r="G41" i="12"/>
  <c r="E41" i="12"/>
  <c r="D41" i="12"/>
  <c r="C41" i="12"/>
  <c r="B41" i="12"/>
  <c r="G40" i="12"/>
  <c r="D40" i="12"/>
  <c r="C40" i="12"/>
  <c r="B40" i="12"/>
  <c r="G39" i="12"/>
  <c r="E39" i="12"/>
  <c r="E97" i="12" s="1"/>
  <c r="D39" i="12"/>
  <c r="C39" i="12"/>
  <c r="C97" i="12" s="1"/>
  <c r="B39" i="12"/>
  <c r="B97" i="12" s="1"/>
  <c r="E38" i="12"/>
  <c r="D38" i="12"/>
  <c r="C38" i="12"/>
  <c r="B38" i="12"/>
  <c r="B91" i="12" s="1"/>
  <c r="G37" i="12"/>
  <c r="G85" i="12" s="1"/>
  <c r="D37" i="12"/>
  <c r="D85" i="12" s="1"/>
  <c r="C37" i="12"/>
  <c r="C85" i="12" s="1"/>
  <c r="B37" i="12"/>
  <c r="B85" i="12" s="1"/>
  <c r="E36" i="12"/>
  <c r="E79" i="12" s="1"/>
  <c r="D36" i="12"/>
  <c r="C36" i="12"/>
  <c r="C79" i="12" s="1"/>
  <c r="B36" i="12"/>
  <c r="B79" i="12" s="1"/>
  <c r="E35" i="12"/>
  <c r="E73" i="12" s="1"/>
  <c r="D35" i="12"/>
  <c r="C35" i="12"/>
  <c r="C73" i="12" s="1"/>
  <c r="B35" i="12"/>
  <c r="B73" i="12" s="1"/>
  <c r="G34" i="12"/>
  <c r="D34" i="12"/>
  <c r="C34" i="12"/>
  <c r="B34" i="12"/>
  <c r="G33" i="12"/>
  <c r="E33" i="12"/>
  <c r="D33" i="12"/>
  <c r="C33" i="12"/>
  <c r="B33" i="12"/>
  <c r="E32" i="12"/>
  <c r="C32" i="12"/>
  <c r="B32" i="12"/>
  <c r="F31" i="12"/>
  <c r="F110" i="12" s="1"/>
  <c r="G24" i="12"/>
  <c r="E24" i="12"/>
  <c r="D24" i="12"/>
  <c r="C24" i="12"/>
  <c r="B24" i="12"/>
  <c r="G20" i="12"/>
  <c r="E20" i="12"/>
  <c r="D20" i="12"/>
  <c r="C20" i="12"/>
  <c r="B20" i="12"/>
  <c r="G19" i="12"/>
  <c r="G96" i="12" s="1"/>
  <c r="E19" i="12"/>
  <c r="E96" i="12" s="1"/>
  <c r="D19" i="12"/>
  <c r="D96" i="12" s="1"/>
  <c r="C19" i="12"/>
  <c r="C96" i="12" s="1"/>
  <c r="B19" i="12"/>
  <c r="G18" i="12"/>
  <c r="G90" i="12" s="1"/>
  <c r="E18" i="12"/>
  <c r="E90" i="12" s="1"/>
  <c r="D18" i="12"/>
  <c r="C18" i="12"/>
  <c r="C90" i="12" s="1"/>
  <c r="B18" i="12"/>
  <c r="G17" i="12"/>
  <c r="G84" i="12" s="1"/>
  <c r="E17" i="12"/>
  <c r="E84" i="12" s="1"/>
  <c r="D17" i="12"/>
  <c r="D84" i="12" s="1"/>
  <c r="C17" i="12"/>
  <c r="C84" i="12" s="1"/>
  <c r="B17" i="12"/>
  <c r="G16" i="12"/>
  <c r="G78" i="12" s="1"/>
  <c r="E16" i="12"/>
  <c r="D16" i="12"/>
  <c r="D78" i="12" s="1"/>
  <c r="C16" i="12"/>
  <c r="B16" i="12"/>
  <c r="G15" i="12"/>
  <c r="G72" i="12" s="1"/>
  <c r="E15" i="12"/>
  <c r="E72" i="12" s="1"/>
  <c r="D15" i="12"/>
  <c r="D72" i="12" s="1"/>
  <c r="C15" i="12"/>
  <c r="C72" i="12" s="1"/>
  <c r="B15" i="12"/>
  <c r="G10" i="12"/>
  <c r="E10" i="12"/>
  <c r="D10" i="12"/>
  <c r="C10" i="12"/>
  <c r="B10" i="12"/>
  <c r="G9" i="12"/>
  <c r="E9" i="12"/>
  <c r="D9" i="12"/>
  <c r="C9" i="12"/>
  <c r="B9" i="12"/>
  <c r="G8" i="12"/>
  <c r="E8" i="12"/>
  <c r="D8" i="12"/>
  <c r="C8" i="12"/>
  <c r="B8" i="12"/>
  <c r="G7" i="12"/>
  <c r="E7" i="12"/>
  <c r="D7" i="12"/>
  <c r="C7" i="12"/>
  <c r="B7" i="12"/>
  <c r="F4" i="12"/>
  <c r="A1" i="12"/>
  <c r="E113" i="11"/>
  <c r="D113" i="11"/>
  <c r="C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F41" i="11"/>
  <c r="E31" i="12" s="1"/>
  <c r="L21" i="11"/>
  <c r="L20" i="11"/>
  <c r="L19" i="11"/>
  <c r="L18" i="11"/>
  <c r="L17" i="11"/>
  <c r="L16" i="11"/>
  <c r="L15" i="11"/>
  <c r="L14" i="11"/>
  <c r="L13" i="11"/>
  <c r="L12" i="11"/>
  <c r="L11" i="11"/>
  <c r="L10" i="11"/>
  <c r="H5" i="11"/>
  <c r="A5" i="11"/>
  <c r="B4" i="11"/>
  <c r="G113" i="11"/>
  <c r="C47" i="2"/>
  <c r="C49" i="2"/>
  <c r="C44" i="2"/>
  <c r="C45" i="2"/>
  <c r="C37" i="2"/>
  <c r="C40" i="2"/>
  <c r="C41" i="2"/>
  <c r="C39" i="2"/>
  <c r="C46" i="2"/>
  <c r="C36" i="2"/>
  <c r="C42" i="2"/>
  <c r="C38" i="2"/>
  <c r="C43" i="2"/>
  <c r="C48" i="2"/>
  <c r="G32" i="12"/>
  <c r="I113" i="11"/>
  <c r="E72" i="1"/>
  <c r="F31" i="1"/>
  <c r="G31" i="1" s="1"/>
  <c r="H31" i="1" s="1"/>
  <c r="F73" i="1"/>
  <c r="I48" i="12" s="1"/>
  <c r="B5" i="7"/>
  <c r="B9" i="8" s="1"/>
  <c r="A1" i="5"/>
  <c r="F66" i="1"/>
  <c r="I41" i="12" s="1"/>
  <c r="F74" i="1"/>
  <c r="I49" i="12" s="1"/>
  <c r="F75" i="1"/>
  <c r="I50" i="12" s="1"/>
  <c r="F79" i="1"/>
  <c r="I54" i="12" s="1"/>
  <c r="K21" i="1"/>
  <c r="E38" i="8" s="1"/>
  <c r="D9" i="1"/>
  <c r="E34" i="8" s="1"/>
  <c r="F12" i="7"/>
  <c r="J12" i="7"/>
  <c r="I12" i="7"/>
  <c r="H12" i="7"/>
  <c r="G12" i="7"/>
  <c r="E12" i="7"/>
  <c r="A2" i="7"/>
  <c r="D34" i="8"/>
  <c r="G9" i="8"/>
  <c r="B6" i="8"/>
  <c r="F330" i="1"/>
  <c r="F232" i="1"/>
  <c r="F281" i="1"/>
  <c r="G232" i="1"/>
  <c r="G281" i="1"/>
  <c r="G330" i="1"/>
  <c r="H281" i="1"/>
  <c r="H330" i="1"/>
  <c r="H232" i="1"/>
  <c r="I330" i="1"/>
  <c r="I281" i="1"/>
  <c r="J330" i="1"/>
  <c r="J281" i="1"/>
  <c r="K194" i="1"/>
  <c r="K330" i="1"/>
  <c r="L194" i="1"/>
  <c r="L330" i="1"/>
  <c r="M194" i="1"/>
  <c r="M330" i="1"/>
  <c r="N194" i="1"/>
  <c r="N330" i="1"/>
  <c r="O194" i="1"/>
  <c r="O330" i="1"/>
  <c r="H63" i="11" l="1"/>
  <c r="H26" i="11"/>
  <c r="H32" i="11"/>
  <c r="H27" i="11"/>
  <c r="H33" i="11"/>
  <c r="H22" i="11"/>
  <c r="H28" i="11"/>
  <c r="H34" i="11"/>
  <c r="H23" i="11"/>
  <c r="H29" i="11"/>
  <c r="H35" i="11"/>
  <c r="H24" i="11"/>
  <c r="H30" i="11"/>
  <c r="H36" i="11"/>
  <c r="H25" i="11"/>
  <c r="H31" i="11"/>
  <c r="G13" i="1"/>
  <c r="E37" i="1"/>
  <c r="F37" i="1" s="1"/>
  <c r="G37" i="1" s="1"/>
  <c r="H37" i="1" s="1"/>
  <c r="I37" i="1" s="1"/>
  <c r="J37" i="1" s="1"/>
  <c r="K37" i="1" s="1"/>
  <c r="L37" i="1" s="1"/>
  <c r="M37" i="1" s="1"/>
  <c r="N37" i="1" s="1"/>
  <c r="O37" i="1" s="1"/>
  <c r="P37" i="1" s="1"/>
  <c r="Q37" i="1" s="1"/>
  <c r="R37" i="1" s="1"/>
  <c r="S37" i="1" s="1"/>
  <c r="T37" i="1" s="1"/>
  <c r="U37" i="1" s="1"/>
  <c r="V37" i="1" s="1"/>
  <c r="W37" i="1" s="1"/>
  <c r="X37" i="1" s="1"/>
  <c r="Y37" i="1" s="1"/>
  <c r="Z37" i="1" s="1"/>
  <c r="AA37" i="1" s="1"/>
  <c r="AB37" i="1" s="1"/>
  <c r="AC37" i="1" s="1"/>
  <c r="AD37" i="1" s="1"/>
  <c r="AE37" i="1" s="1"/>
  <c r="AF37" i="1" s="1"/>
  <c r="AG37" i="1" s="1"/>
  <c r="AH37" i="1" s="1"/>
  <c r="AI37" i="1" s="1"/>
  <c r="AJ37" i="1" s="1"/>
  <c r="D48" i="1"/>
  <c r="D46" i="1"/>
  <c r="D47" i="1"/>
  <c r="F47" i="1" s="1"/>
  <c r="B47" i="1" s="1"/>
  <c r="C34" i="1"/>
  <c r="C38" i="1" s="1"/>
  <c r="A10" i="11"/>
  <c r="A7" i="12"/>
  <c r="C35" i="1"/>
  <c r="C39" i="1" s="1"/>
  <c r="A11" i="11"/>
  <c r="A8" i="12"/>
  <c r="H45" i="2"/>
  <c r="G35" i="1"/>
  <c r="G39" i="1" s="1"/>
  <c r="C36" i="1"/>
  <c r="C40" i="1" s="1"/>
  <c r="A12" i="11"/>
  <c r="A9" i="12"/>
  <c r="H33" i="12"/>
  <c r="H52" i="12"/>
  <c r="H34" i="12"/>
  <c r="H40" i="12"/>
  <c r="G75" i="1"/>
  <c r="H75" i="1" s="1"/>
  <c r="I75" i="1" s="1"/>
  <c r="J75" i="1" s="1"/>
  <c r="K75" i="1" s="1"/>
  <c r="L75" i="1" s="1"/>
  <c r="M75" i="1" s="1"/>
  <c r="N75" i="1" s="1"/>
  <c r="O75" i="1" s="1"/>
  <c r="P75" i="1" s="1"/>
  <c r="Q75" i="1" s="1"/>
  <c r="R75" i="1" s="1"/>
  <c r="S75" i="1" s="1"/>
  <c r="T75" i="1" s="1"/>
  <c r="U75" i="1" s="1"/>
  <c r="V75" i="1" s="1"/>
  <c r="W75" i="1" s="1"/>
  <c r="X75" i="1" s="1"/>
  <c r="Y75" i="1" s="1"/>
  <c r="Z75" i="1" s="1"/>
  <c r="AA75" i="1" s="1"/>
  <c r="AB75" i="1" s="1"/>
  <c r="AC75" i="1" s="1"/>
  <c r="AD75" i="1" s="1"/>
  <c r="AE75" i="1" s="1"/>
  <c r="AF75" i="1" s="1"/>
  <c r="AG75" i="1" s="1"/>
  <c r="AH75" i="1" s="1"/>
  <c r="AI75" i="1" s="1"/>
  <c r="AJ75" i="1" s="1"/>
  <c r="F44" i="19"/>
  <c r="F55" i="19"/>
  <c r="G79" i="1"/>
  <c r="H79" i="1" s="1"/>
  <c r="I79" i="1" s="1"/>
  <c r="J79" i="1" s="1"/>
  <c r="K79" i="1" s="1"/>
  <c r="L79" i="1" s="1"/>
  <c r="M79" i="1" s="1"/>
  <c r="N79" i="1" s="1"/>
  <c r="O79" i="1" s="1"/>
  <c r="P79" i="1" s="1"/>
  <c r="Q79" i="1" s="1"/>
  <c r="R79" i="1" s="1"/>
  <c r="S79" i="1" s="1"/>
  <c r="T79" i="1" s="1"/>
  <c r="U79" i="1" s="1"/>
  <c r="V79" i="1" s="1"/>
  <c r="W79" i="1" s="1"/>
  <c r="X79" i="1" s="1"/>
  <c r="Y79" i="1" s="1"/>
  <c r="Z79" i="1" s="1"/>
  <c r="AA79" i="1" s="1"/>
  <c r="AB79" i="1" s="1"/>
  <c r="AC79" i="1" s="1"/>
  <c r="AD79" i="1" s="1"/>
  <c r="AE79" i="1" s="1"/>
  <c r="AF79" i="1" s="1"/>
  <c r="AG79" i="1" s="1"/>
  <c r="AH79" i="1" s="1"/>
  <c r="AI79" i="1" s="1"/>
  <c r="AJ79" i="1" s="1"/>
  <c r="G73" i="1"/>
  <c r="H73" i="1" s="1"/>
  <c r="I73" i="1" s="1"/>
  <c r="J73" i="1" s="1"/>
  <c r="K73" i="1" s="1"/>
  <c r="L73" i="1" s="1"/>
  <c r="M73" i="1" s="1"/>
  <c r="N73" i="1" s="1"/>
  <c r="O73" i="1" s="1"/>
  <c r="P73" i="1" s="1"/>
  <c r="Q73" i="1" s="1"/>
  <c r="R73" i="1" s="1"/>
  <c r="S73" i="1" s="1"/>
  <c r="T73" i="1" s="1"/>
  <c r="U73" i="1" s="1"/>
  <c r="V73" i="1" s="1"/>
  <c r="W73" i="1" s="1"/>
  <c r="X73" i="1" s="1"/>
  <c r="Y73" i="1" s="1"/>
  <c r="Z73" i="1" s="1"/>
  <c r="AA73" i="1" s="1"/>
  <c r="AB73" i="1" s="1"/>
  <c r="AC73" i="1" s="1"/>
  <c r="AD73" i="1" s="1"/>
  <c r="AE73" i="1" s="1"/>
  <c r="AF73" i="1" s="1"/>
  <c r="AG73" i="1" s="1"/>
  <c r="AH73" i="1" s="1"/>
  <c r="AI73" i="1" s="1"/>
  <c r="AJ73" i="1" s="1"/>
  <c r="J14" i="19"/>
  <c r="J45" i="2"/>
  <c r="H15" i="19"/>
  <c r="I15" i="19" s="1"/>
  <c r="J15" i="19" s="1"/>
  <c r="E103" i="12"/>
  <c r="G38" i="19"/>
  <c r="H38" i="19" s="1"/>
  <c r="I38" i="19" s="1"/>
  <c r="J37" i="19"/>
  <c r="B95" i="19"/>
  <c r="C103" i="19"/>
  <c r="H21" i="11"/>
  <c r="H89" i="11"/>
  <c r="H72" i="11"/>
  <c r="H86" i="11"/>
  <c r="B72" i="1"/>
  <c r="H83" i="11"/>
  <c r="H55" i="11"/>
  <c r="H13" i="11"/>
  <c r="F10" i="12" s="1"/>
  <c r="H82" i="11"/>
  <c r="H54" i="11"/>
  <c r="F44" i="12" s="1"/>
  <c r="H12" i="11"/>
  <c r="F9" i="12" s="1"/>
  <c r="H81" i="11"/>
  <c r="H49" i="11"/>
  <c r="H96" i="11"/>
  <c r="H10" i="11"/>
  <c r="F7" i="12" s="1"/>
  <c r="F75" i="19"/>
  <c r="H16" i="19"/>
  <c r="I16" i="19" s="1"/>
  <c r="J17" i="19" s="1"/>
  <c r="H91" i="11"/>
  <c r="H90" i="11"/>
  <c r="H20" i="11"/>
  <c r="F24" i="12" s="1"/>
  <c r="H53" i="11"/>
  <c r="H87" i="11"/>
  <c r="H58" i="11"/>
  <c r="F48" i="12" s="1"/>
  <c r="J48" i="12" s="1"/>
  <c r="H14" i="11"/>
  <c r="F15" i="12" s="1"/>
  <c r="H79" i="11"/>
  <c r="H51" i="11"/>
  <c r="H110" i="11"/>
  <c r="H78" i="11"/>
  <c r="H109" i="11"/>
  <c r="H77" i="11"/>
  <c r="H45" i="11"/>
  <c r="H92" i="11"/>
  <c r="H64" i="11"/>
  <c r="F315" i="1"/>
  <c r="C10" i="2"/>
  <c r="C30" i="2" s="1"/>
  <c r="F95" i="1"/>
  <c r="F219" i="1" s="1"/>
  <c r="A5" i="19"/>
  <c r="H50" i="11"/>
  <c r="G94" i="1"/>
  <c r="G95" i="1"/>
  <c r="G317" i="1" s="1"/>
  <c r="H108" i="11"/>
  <c r="H107" i="11"/>
  <c r="H74" i="11"/>
  <c r="H103" i="11"/>
  <c r="H71" i="11"/>
  <c r="H47" i="11"/>
  <c r="F37" i="12" s="1"/>
  <c r="F85" i="12" s="1"/>
  <c r="H102" i="11"/>
  <c r="H70" i="11"/>
  <c r="H46" i="11"/>
  <c r="F36" i="12" s="1"/>
  <c r="F79" i="12" s="1"/>
  <c r="H101" i="11"/>
  <c r="H65" i="11"/>
  <c r="H19" i="11"/>
  <c r="F20" i="12" s="1"/>
  <c r="H84" i="11"/>
  <c r="H59" i="11"/>
  <c r="H85" i="11"/>
  <c r="H68" i="11"/>
  <c r="H105" i="11"/>
  <c r="H88" i="11"/>
  <c r="H99" i="11"/>
  <c r="H67" i="11"/>
  <c r="H98" i="11"/>
  <c r="H66" i="11"/>
  <c r="H42" i="11"/>
  <c r="H97" i="11"/>
  <c r="H15" i="11"/>
  <c r="F16" i="12" s="1"/>
  <c r="H80" i="11"/>
  <c r="H48" i="11"/>
  <c r="F38" i="12" s="1"/>
  <c r="F91" i="12" s="1"/>
  <c r="D83" i="2"/>
  <c r="D84" i="2" s="1"/>
  <c r="D87" i="2" s="1"/>
  <c r="F141" i="1" s="1"/>
  <c r="F143" i="1" s="1"/>
  <c r="I51" i="2"/>
  <c r="H17" i="11"/>
  <c r="F18" i="12" s="1"/>
  <c r="H16" i="11"/>
  <c r="F17" i="12" s="1"/>
  <c r="H104" i="11"/>
  <c r="H75" i="11"/>
  <c r="H106" i="11"/>
  <c r="H73" i="11"/>
  <c r="H56" i="11"/>
  <c r="F46" i="12" s="1"/>
  <c r="H95" i="11"/>
  <c r="H43" i="11"/>
  <c r="H94" i="11"/>
  <c r="H62" i="11"/>
  <c r="H93" i="11"/>
  <c r="H57" i="11"/>
  <c r="F47" i="12" s="1"/>
  <c r="J47" i="12" s="1"/>
  <c r="H112" i="11"/>
  <c r="H76" i="11"/>
  <c r="H44" i="11"/>
  <c r="F34" i="12" s="1"/>
  <c r="H111" i="11"/>
  <c r="E60" i="12"/>
  <c r="E110" i="12" s="1"/>
  <c r="E5" i="12"/>
  <c r="H61" i="11"/>
  <c r="H100" i="11"/>
  <c r="H52" i="11"/>
  <c r="H18" i="11"/>
  <c r="H69" i="11"/>
  <c r="H11" i="11"/>
  <c r="F8" i="12" s="1"/>
  <c r="H60" i="11"/>
  <c r="F50" i="12" s="1"/>
  <c r="J50" i="12" s="1"/>
  <c r="F107" i="1"/>
  <c r="F194" i="1" s="1"/>
  <c r="AI141" i="1"/>
  <c r="AI143" i="1" s="1"/>
  <c r="AJ141" i="1"/>
  <c r="AJ143" i="1" s="1"/>
  <c r="AH141" i="1"/>
  <c r="AH143" i="1" s="1"/>
  <c r="K51" i="2"/>
  <c r="C50" i="2"/>
  <c r="C58" i="2" s="1"/>
  <c r="C59" i="2" s="1"/>
  <c r="H51" i="2"/>
  <c r="H35" i="1"/>
  <c r="H39" i="1" s="1"/>
  <c r="F72" i="1"/>
  <c r="I47" i="12" s="1"/>
  <c r="F36" i="1"/>
  <c r="F40" i="1" s="1"/>
  <c r="D40" i="1" s="1"/>
  <c r="B11" i="7"/>
  <c r="B10" i="7" s="1"/>
  <c r="B12" i="7" s="1"/>
  <c r="C10" i="7" s="1"/>
  <c r="F92" i="1"/>
  <c r="F112" i="1" s="1"/>
  <c r="G36" i="1"/>
  <c r="G40" i="1" s="1"/>
  <c r="G12" i="1"/>
  <c r="G74" i="1"/>
  <c r="H74" i="1" s="1"/>
  <c r="I74" i="1" s="1"/>
  <c r="J74" i="1" s="1"/>
  <c r="K74" i="1" s="1"/>
  <c r="L74" i="1" s="1"/>
  <c r="M74" i="1" s="1"/>
  <c r="N74" i="1" s="1"/>
  <c r="O74" i="1" s="1"/>
  <c r="P74" i="1" s="1"/>
  <c r="Q74" i="1" s="1"/>
  <c r="R74" i="1" s="1"/>
  <c r="S74" i="1" s="1"/>
  <c r="T74" i="1" s="1"/>
  <c r="U74" i="1" s="1"/>
  <c r="V74" i="1" s="1"/>
  <c r="W74" i="1" s="1"/>
  <c r="X74" i="1" s="1"/>
  <c r="Y74" i="1" s="1"/>
  <c r="Z74" i="1" s="1"/>
  <c r="AA74" i="1" s="1"/>
  <c r="AB74" i="1" s="1"/>
  <c r="AC74" i="1" s="1"/>
  <c r="AD74" i="1" s="1"/>
  <c r="AE74" i="1" s="1"/>
  <c r="AF74" i="1" s="1"/>
  <c r="AG74" i="1" s="1"/>
  <c r="AH74" i="1" s="1"/>
  <c r="AI74" i="1" s="1"/>
  <c r="AJ74" i="1" s="1"/>
  <c r="G66" i="1"/>
  <c r="H66" i="1" s="1"/>
  <c r="I66" i="1" s="1"/>
  <c r="J66" i="1" s="1"/>
  <c r="K66" i="1" s="1"/>
  <c r="L66" i="1" s="1"/>
  <c r="M66" i="1" s="1"/>
  <c r="N66" i="1" s="1"/>
  <c r="O66" i="1" s="1"/>
  <c r="P66" i="1" s="1"/>
  <c r="Q66" i="1" s="1"/>
  <c r="R66" i="1" s="1"/>
  <c r="S66" i="1" s="1"/>
  <c r="T66" i="1" s="1"/>
  <c r="U66" i="1" s="1"/>
  <c r="V66" i="1" s="1"/>
  <c r="W66" i="1" s="1"/>
  <c r="X66" i="1" s="1"/>
  <c r="Y66" i="1" s="1"/>
  <c r="Z66" i="1" s="1"/>
  <c r="AA66" i="1" s="1"/>
  <c r="AB66" i="1" s="1"/>
  <c r="AC66" i="1" s="1"/>
  <c r="AD66" i="1" s="1"/>
  <c r="AE66" i="1" s="1"/>
  <c r="AF66" i="1" s="1"/>
  <c r="AG66" i="1" s="1"/>
  <c r="AH66" i="1" s="1"/>
  <c r="AI66" i="1" s="1"/>
  <c r="AJ66" i="1" s="1"/>
  <c r="G76" i="1"/>
  <c r="H76" i="1" s="1"/>
  <c r="I76" i="1" s="1"/>
  <c r="J76" i="1" s="1"/>
  <c r="K76" i="1" s="1"/>
  <c r="L76" i="1" s="1"/>
  <c r="M76" i="1" s="1"/>
  <c r="N76" i="1" s="1"/>
  <c r="O76" i="1" s="1"/>
  <c r="P76" i="1" s="1"/>
  <c r="Q76" i="1" s="1"/>
  <c r="R76" i="1" s="1"/>
  <c r="S76" i="1" s="1"/>
  <c r="T76" i="1" s="1"/>
  <c r="U76" i="1" s="1"/>
  <c r="V76" i="1" s="1"/>
  <c r="W76" i="1" s="1"/>
  <c r="X76" i="1" s="1"/>
  <c r="Y76" i="1" s="1"/>
  <c r="Z76" i="1" s="1"/>
  <c r="AA76" i="1" s="1"/>
  <c r="AB76" i="1" s="1"/>
  <c r="AC76" i="1" s="1"/>
  <c r="AD76" i="1" s="1"/>
  <c r="AE76" i="1" s="1"/>
  <c r="AF76" i="1" s="1"/>
  <c r="AG76" i="1" s="1"/>
  <c r="AH76" i="1" s="1"/>
  <c r="AI76" i="1" s="1"/>
  <c r="AJ76" i="1" s="1"/>
  <c r="F35" i="1"/>
  <c r="F218" i="1"/>
  <c r="E41" i="11"/>
  <c r="D31" i="12" s="1"/>
  <c r="D5" i="12" s="1"/>
  <c r="E9" i="11"/>
  <c r="P2" i="11" s="1"/>
  <c r="C4" i="11"/>
  <c r="E91" i="12"/>
  <c r="E92" i="12" s="1"/>
  <c r="B72" i="12"/>
  <c r="B74" i="12" s="1"/>
  <c r="B84" i="12"/>
  <c r="B86" i="12" s="1"/>
  <c r="B96" i="12"/>
  <c r="B99" i="12" s="1"/>
  <c r="B78" i="12"/>
  <c r="B80" i="12" s="1"/>
  <c r="D86" i="12"/>
  <c r="G103" i="12"/>
  <c r="B102" i="12"/>
  <c r="G97" i="12"/>
  <c r="G99" i="12" s="1"/>
  <c r="E75" i="12"/>
  <c r="E67" i="12"/>
  <c r="B11" i="12"/>
  <c r="B103" i="12"/>
  <c r="C66" i="12"/>
  <c r="G56" i="12"/>
  <c r="C78" i="12"/>
  <c r="C81" i="12" s="1"/>
  <c r="D79" i="12"/>
  <c r="D81" i="12" s="1"/>
  <c r="D103" i="12"/>
  <c r="C11" i="12"/>
  <c r="E56" i="12"/>
  <c r="D67" i="12"/>
  <c r="C67" i="12"/>
  <c r="D97" i="12"/>
  <c r="D99" i="12" s="1"/>
  <c r="E86" i="12"/>
  <c r="D91" i="12"/>
  <c r="G87" i="12"/>
  <c r="B56" i="12"/>
  <c r="E11" i="12"/>
  <c r="B67" i="12"/>
  <c r="G86" i="12"/>
  <c r="B90" i="12"/>
  <c r="G74" i="12"/>
  <c r="G75" i="12"/>
  <c r="D56" i="12"/>
  <c r="G67" i="12"/>
  <c r="C91" i="12"/>
  <c r="C92" i="12" s="1"/>
  <c r="C21" i="12"/>
  <c r="C56" i="12"/>
  <c r="C103" i="12"/>
  <c r="G66" i="12"/>
  <c r="D73" i="12"/>
  <c r="D75" i="12" s="1"/>
  <c r="G11" i="12"/>
  <c r="D102" i="12"/>
  <c r="D87" i="12"/>
  <c r="G21" i="12"/>
  <c r="E87" i="12"/>
  <c r="G93" i="12"/>
  <c r="B21" i="12"/>
  <c r="G102" i="12"/>
  <c r="G65" i="1"/>
  <c r="H65" i="1" s="1"/>
  <c r="I65" i="1" s="1"/>
  <c r="J65" i="1" s="1"/>
  <c r="K65" i="1" s="1"/>
  <c r="L65" i="1" s="1"/>
  <c r="M65" i="1" s="1"/>
  <c r="N65" i="1" s="1"/>
  <c r="O65" i="1" s="1"/>
  <c r="P65" i="1" s="1"/>
  <c r="Q65" i="1" s="1"/>
  <c r="R65" i="1" s="1"/>
  <c r="S65" i="1" s="1"/>
  <c r="T65" i="1" s="1"/>
  <c r="U65" i="1" s="1"/>
  <c r="V65" i="1" s="1"/>
  <c r="W65" i="1" s="1"/>
  <c r="X65" i="1" s="1"/>
  <c r="Y65" i="1" s="1"/>
  <c r="Z65" i="1" s="1"/>
  <c r="AA65" i="1" s="1"/>
  <c r="AB65" i="1" s="1"/>
  <c r="AC65" i="1" s="1"/>
  <c r="AD65" i="1" s="1"/>
  <c r="AE65" i="1" s="1"/>
  <c r="AF65" i="1" s="1"/>
  <c r="AG65" i="1" s="1"/>
  <c r="AH65" i="1" s="1"/>
  <c r="AI65" i="1" s="1"/>
  <c r="AJ65" i="1" s="1"/>
  <c r="I40" i="12"/>
  <c r="U1" i="1"/>
  <c r="F267" i="1"/>
  <c r="F266" i="1"/>
  <c r="I39" i="2"/>
  <c r="I45" i="2"/>
  <c r="D44" i="2"/>
  <c r="K39" i="2"/>
  <c r="J39" i="2"/>
  <c r="G57" i="2"/>
  <c r="H39" i="2"/>
  <c r="B49" i="1"/>
  <c r="G49" i="1"/>
  <c r="H49" i="1" s="1"/>
  <c r="I49" i="1" s="1"/>
  <c r="J49" i="1" s="1"/>
  <c r="K49" i="1" s="1"/>
  <c r="L49" i="1" s="1"/>
  <c r="M49" i="1" s="1"/>
  <c r="N49" i="1" s="1"/>
  <c r="O49" i="1" s="1"/>
  <c r="P49" i="1" s="1"/>
  <c r="Q49" i="1" s="1"/>
  <c r="R49" i="1" s="1"/>
  <c r="S49" i="1" s="1"/>
  <c r="T49" i="1" s="1"/>
  <c r="U49" i="1" s="1"/>
  <c r="V49" i="1" s="1"/>
  <c r="W49" i="1" s="1"/>
  <c r="X49" i="1" s="1"/>
  <c r="Y49" i="1" s="1"/>
  <c r="Z49" i="1" s="1"/>
  <c r="AA49" i="1" s="1"/>
  <c r="AB49" i="1" s="1"/>
  <c r="AC49" i="1" s="1"/>
  <c r="AD49" i="1" s="1"/>
  <c r="AE49" i="1" s="1"/>
  <c r="AF49" i="1" s="1"/>
  <c r="AG49" i="1" s="1"/>
  <c r="AH49" i="1" s="1"/>
  <c r="AI49" i="1" s="1"/>
  <c r="AJ49" i="1" s="1"/>
  <c r="G45" i="1"/>
  <c r="I16" i="12"/>
  <c r="B45" i="1"/>
  <c r="B74" i="1"/>
  <c r="B75" i="1"/>
  <c r="B76" i="1"/>
  <c r="B79" i="1"/>
  <c r="B66" i="1"/>
  <c r="B73" i="1"/>
  <c r="E67" i="1"/>
  <c r="B17" i="7"/>
  <c r="B18" i="7" s="1"/>
  <c r="C9" i="8"/>
  <c r="D9" i="8" s="1"/>
  <c r="B65" i="1"/>
  <c r="F15" i="1"/>
  <c r="G15" i="1" s="1"/>
  <c r="F9" i="8" s="1"/>
  <c r="I31" i="1"/>
  <c r="H36" i="1"/>
  <c r="H40" i="1" s="1"/>
  <c r="H91" i="1"/>
  <c r="H95" i="1" s="1"/>
  <c r="D42" i="2"/>
  <c r="D46" i="2"/>
  <c r="D43" i="2"/>
  <c r="D49" i="2"/>
  <c r="D36" i="2"/>
  <c r="D48" i="2"/>
  <c r="D39" i="2"/>
  <c r="D47" i="2"/>
  <c r="D40" i="2"/>
  <c r="D45" i="2"/>
  <c r="D38" i="2"/>
  <c r="D37" i="2"/>
  <c r="F217" i="1"/>
  <c r="F97" i="1"/>
  <c r="I24" i="12"/>
  <c r="B52" i="1"/>
  <c r="I7" i="12"/>
  <c r="D11" i="12"/>
  <c r="G81" i="12"/>
  <c r="G80" i="12"/>
  <c r="E21" i="12"/>
  <c r="D90" i="12"/>
  <c r="E78" i="12"/>
  <c r="C99" i="12"/>
  <c r="C98" i="12"/>
  <c r="C86" i="12"/>
  <c r="C87" i="12"/>
  <c r="E99" i="12"/>
  <c r="E98" i="12"/>
  <c r="B66" i="12"/>
  <c r="E74" i="12"/>
  <c r="G92" i="12"/>
  <c r="D66" i="12"/>
  <c r="E66" i="12"/>
  <c r="C102" i="12"/>
  <c r="C74" i="12"/>
  <c r="D21" i="12"/>
  <c r="E102" i="12"/>
  <c r="F19" i="12" l="1"/>
  <c r="G47" i="1"/>
  <c r="H47" i="1" s="1"/>
  <c r="I47" i="1" s="1"/>
  <c r="J47" i="1" s="1"/>
  <c r="K47" i="1" s="1"/>
  <c r="L47" i="1" s="1"/>
  <c r="M47" i="1" s="1"/>
  <c r="N47" i="1" s="1"/>
  <c r="O47" i="1" s="1"/>
  <c r="P47" i="1" s="1"/>
  <c r="Q47" i="1" s="1"/>
  <c r="R47" i="1" s="1"/>
  <c r="S47" i="1" s="1"/>
  <c r="T47" i="1" s="1"/>
  <c r="U47" i="1" s="1"/>
  <c r="V47" i="1" s="1"/>
  <c r="W47" i="1" s="1"/>
  <c r="X47" i="1" s="1"/>
  <c r="Y47" i="1" s="1"/>
  <c r="Z47" i="1" s="1"/>
  <c r="AA47" i="1" s="1"/>
  <c r="AB47" i="1" s="1"/>
  <c r="AC47" i="1" s="1"/>
  <c r="AD47" i="1" s="1"/>
  <c r="AE47" i="1" s="1"/>
  <c r="AF47" i="1" s="1"/>
  <c r="AG47" i="1" s="1"/>
  <c r="AH47" i="1" s="1"/>
  <c r="AI47" i="1" s="1"/>
  <c r="AJ47" i="1" s="1"/>
  <c r="F39" i="12"/>
  <c r="F97" i="12" s="1"/>
  <c r="J16" i="19"/>
  <c r="I18" i="12"/>
  <c r="I90" i="12" s="1"/>
  <c r="E47" i="1"/>
  <c r="D5" i="1"/>
  <c r="E5" i="1" s="1"/>
  <c r="F51" i="12"/>
  <c r="F32" i="12"/>
  <c r="F43" i="12"/>
  <c r="F45" i="12"/>
  <c r="F54" i="12"/>
  <c r="F35" i="12"/>
  <c r="F73" i="12" s="1"/>
  <c r="F49" i="12"/>
  <c r="J49" i="12" s="1"/>
  <c r="F41" i="12"/>
  <c r="J41" i="12" s="1"/>
  <c r="E65" i="12"/>
  <c r="F52" i="12"/>
  <c r="F42" i="12"/>
  <c r="F40" i="12"/>
  <c r="J40" i="12" s="1"/>
  <c r="F33" i="12"/>
  <c r="F55" i="12"/>
  <c r="F53" i="12"/>
  <c r="D51" i="1"/>
  <c r="D161" i="1" s="1"/>
  <c r="E161" i="1" s="1"/>
  <c r="J24" i="12"/>
  <c r="J57" i="2"/>
  <c r="J20" i="12"/>
  <c r="J7" i="12"/>
  <c r="F96" i="12"/>
  <c r="F99" i="12" s="1"/>
  <c r="F72" i="12"/>
  <c r="F84" i="12"/>
  <c r="F87" i="12" s="1"/>
  <c r="F78" i="12"/>
  <c r="J16" i="12"/>
  <c r="D72" i="1"/>
  <c r="D73" i="1"/>
  <c r="D67" i="1"/>
  <c r="D66" i="1"/>
  <c r="D76" i="1"/>
  <c r="D68" i="1"/>
  <c r="B68" i="1" s="1"/>
  <c r="D78" i="1"/>
  <c r="D70" i="1"/>
  <c r="D59" i="1"/>
  <c r="D65" i="1"/>
  <c r="D57" i="1"/>
  <c r="D79" i="1"/>
  <c r="D58" i="1"/>
  <c r="D74" i="1"/>
  <c r="D71" i="1"/>
  <c r="G316" i="1"/>
  <c r="F114" i="1"/>
  <c r="F268" i="1"/>
  <c r="F103" i="12"/>
  <c r="E93" i="12"/>
  <c r="C80" i="12"/>
  <c r="F102" i="12"/>
  <c r="F90" i="12"/>
  <c r="F92" i="12" s="1"/>
  <c r="F66" i="12"/>
  <c r="G267" i="1"/>
  <c r="F317" i="1"/>
  <c r="G218" i="1"/>
  <c r="E9" i="7"/>
  <c r="G268" i="1"/>
  <c r="F9" i="7"/>
  <c r="G219" i="1"/>
  <c r="F279" i="1"/>
  <c r="F230" i="1"/>
  <c r="D60" i="12"/>
  <c r="D110" i="12" s="1"/>
  <c r="F328" i="1"/>
  <c r="G107" i="1"/>
  <c r="G328" i="1" s="1"/>
  <c r="I57" i="2"/>
  <c r="E57" i="1" s="1"/>
  <c r="H37" i="11"/>
  <c r="J38" i="19"/>
  <c r="K37" i="19"/>
  <c r="D75" i="1"/>
  <c r="G105" i="12"/>
  <c r="B75" i="12"/>
  <c r="B81" i="12"/>
  <c r="G69" i="12"/>
  <c r="B98" i="12"/>
  <c r="F11" i="12"/>
  <c r="F21" i="12"/>
  <c r="C68" i="12"/>
  <c r="H113" i="11"/>
  <c r="D105" i="12"/>
  <c r="D104" i="12"/>
  <c r="L54" i="12"/>
  <c r="L141" i="1"/>
  <c r="L143" i="1" s="1"/>
  <c r="T141" i="1"/>
  <c r="T143" i="1" s="1"/>
  <c r="AB141" i="1"/>
  <c r="AB143" i="1" s="1"/>
  <c r="M141" i="1"/>
  <c r="M143" i="1" s="1"/>
  <c r="U141" i="1"/>
  <c r="U143" i="1" s="1"/>
  <c r="AC141" i="1"/>
  <c r="AC143" i="1" s="1"/>
  <c r="W141" i="1"/>
  <c r="W143" i="1" s="1"/>
  <c r="P141" i="1"/>
  <c r="P143" i="1" s="1"/>
  <c r="I141" i="1"/>
  <c r="I143" i="1" s="1"/>
  <c r="Y141" i="1"/>
  <c r="Y143" i="1" s="1"/>
  <c r="G141" i="1"/>
  <c r="G143" i="1" s="1"/>
  <c r="R141" i="1"/>
  <c r="R143" i="1" s="1"/>
  <c r="K141" i="1"/>
  <c r="K143" i="1" s="1"/>
  <c r="N141" i="1"/>
  <c r="N143" i="1" s="1"/>
  <c r="V141" i="1"/>
  <c r="V143" i="1" s="1"/>
  <c r="AD141" i="1"/>
  <c r="AD143" i="1" s="1"/>
  <c r="O141" i="1"/>
  <c r="O143" i="1" s="1"/>
  <c r="AE141" i="1"/>
  <c r="AE143" i="1" s="1"/>
  <c r="H141" i="1"/>
  <c r="H143" i="1" s="1"/>
  <c r="AF141" i="1"/>
  <c r="AF143" i="1" s="1"/>
  <c r="Q141" i="1"/>
  <c r="Q143" i="1" s="1"/>
  <c r="J141" i="1"/>
  <c r="J143" i="1" s="1"/>
  <c r="S141" i="1"/>
  <c r="S143" i="1" s="1"/>
  <c r="AG141" i="1"/>
  <c r="AG143" i="1" s="1"/>
  <c r="X141" i="1"/>
  <c r="X143" i="1" s="1"/>
  <c r="Z141" i="1"/>
  <c r="Z143" i="1" s="1"/>
  <c r="AA141" i="1"/>
  <c r="AA143" i="1" s="1"/>
  <c r="G72" i="1"/>
  <c r="H72" i="1" s="1"/>
  <c r="I72" i="1" s="1"/>
  <c r="J72" i="1" s="1"/>
  <c r="K72" i="1" s="1"/>
  <c r="L72" i="1" s="1"/>
  <c r="M72" i="1" s="1"/>
  <c r="N72" i="1" s="1"/>
  <c r="O72" i="1" s="1"/>
  <c r="P72" i="1" s="1"/>
  <c r="Q72" i="1" s="1"/>
  <c r="R72" i="1" s="1"/>
  <c r="S72" i="1" s="1"/>
  <c r="T72" i="1" s="1"/>
  <c r="U72" i="1" s="1"/>
  <c r="V72" i="1" s="1"/>
  <c r="W72" i="1" s="1"/>
  <c r="X72" i="1" s="1"/>
  <c r="Y72" i="1" s="1"/>
  <c r="Z72" i="1" s="1"/>
  <c r="AA72" i="1" s="1"/>
  <c r="AB72" i="1" s="1"/>
  <c r="AC72" i="1" s="1"/>
  <c r="AD72" i="1" s="1"/>
  <c r="AE72" i="1" s="1"/>
  <c r="AF72" i="1" s="1"/>
  <c r="AG72" i="1" s="1"/>
  <c r="AH72" i="1" s="1"/>
  <c r="AI72" i="1" s="1"/>
  <c r="AJ72" i="1" s="1"/>
  <c r="I9" i="12"/>
  <c r="J9" i="12" s="1"/>
  <c r="B36" i="1"/>
  <c r="F39" i="1"/>
  <c r="D39" i="1" s="1"/>
  <c r="B35" i="1"/>
  <c r="I8" i="12"/>
  <c r="J8" i="12" s="1"/>
  <c r="B40" i="1"/>
  <c r="D98" i="12"/>
  <c r="G104" i="12"/>
  <c r="G68" i="12"/>
  <c r="D41" i="11"/>
  <c r="C31" i="12" s="1"/>
  <c r="D9" i="11"/>
  <c r="D4" i="11"/>
  <c r="B87" i="12"/>
  <c r="B26" i="12"/>
  <c r="B61" i="12" s="1"/>
  <c r="D80" i="12"/>
  <c r="D93" i="12"/>
  <c r="E12" i="12"/>
  <c r="L19" i="12"/>
  <c r="D92" i="12"/>
  <c r="G26" i="12"/>
  <c r="G61" i="12" s="1"/>
  <c r="L9" i="12"/>
  <c r="C12" i="12"/>
  <c r="B105" i="12"/>
  <c r="C57" i="12"/>
  <c r="G98" i="12"/>
  <c r="D160" i="1"/>
  <c r="B104" i="12"/>
  <c r="D12" i="12"/>
  <c r="D74" i="12"/>
  <c r="C26" i="12"/>
  <c r="C61" i="12" s="1"/>
  <c r="B92" i="12"/>
  <c r="B93" i="12"/>
  <c r="C22" i="12"/>
  <c r="D57" i="12"/>
  <c r="C93" i="12"/>
  <c r="E26" i="12"/>
  <c r="E61" i="12" s="1"/>
  <c r="L56" i="12"/>
  <c r="E57" i="12"/>
  <c r="L11" i="12"/>
  <c r="K57" i="2"/>
  <c r="C57" i="1"/>
  <c r="A32" i="12" s="1"/>
  <c r="B6" i="7"/>
  <c r="F38" i="1"/>
  <c r="D38" i="1" s="1"/>
  <c r="B34" i="1"/>
  <c r="B71" i="1"/>
  <c r="F71" i="1"/>
  <c r="I46" i="12" s="1"/>
  <c r="J46" i="12" s="1"/>
  <c r="B78" i="1"/>
  <c r="F78" i="1"/>
  <c r="I53" i="12" s="1"/>
  <c r="I78" i="12"/>
  <c r="B67" i="1"/>
  <c r="F67" i="1"/>
  <c r="F221" i="1"/>
  <c r="F270" i="1"/>
  <c r="F96" i="1"/>
  <c r="F319" i="1"/>
  <c r="I91" i="1"/>
  <c r="I95" i="1" s="1"/>
  <c r="H94" i="1"/>
  <c r="G114" i="1" s="1"/>
  <c r="G28" i="1"/>
  <c r="G34" i="1"/>
  <c r="D50" i="2"/>
  <c r="D58" i="2" s="1"/>
  <c r="E70" i="1" s="1"/>
  <c r="J31" i="1"/>
  <c r="I36" i="1"/>
  <c r="I40" i="1" s="1"/>
  <c r="H45" i="1"/>
  <c r="E81" i="12"/>
  <c r="E80" i="12"/>
  <c r="D22" i="12"/>
  <c r="L21" i="12"/>
  <c r="C104" i="12"/>
  <c r="D26" i="12"/>
  <c r="E68" i="12"/>
  <c r="E69" i="12"/>
  <c r="D69" i="12"/>
  <c r="D68" i="12"/>
  <c r="E105" i="12"/>
  <c r="E104" i="12"/>
  <c r="B68" i="12"/>
  <c r="B69" i="12"/>
  <c r="E22" i="12"/>
  <c r="D6" i="1" l="1"/>
  <c r="G57" i="1"/>
  <c r="F57" i="1"/>
  <c r="F122" i="1"/>
  <c r="F242" i="1" s="1"/>
  <c r="F243" i="1" s="1"/>
  <c r="J18" i="12"/>
  <c r="E9" i="8"/>
  <c r="D163" i="1"/>
  <c r="E163" i="1" s="1"/>
  <c r="D41" i="1"/>
  <c r="D53" i="1" s="1"/>
  <c r="D54" i="1" s="1"/>
  <c r="F74" i="12"/>
  <c r="F75" i="12"/>
  <c r="J53" i="12"/>
  <c r="F98" i="12"/>
  <c r="F86" i="12"/>
  <c r="F56" i="12"/>
  <c r="L55" i="12" s="1"/>
  <c r="F67" i="12"/>
  <c r="F68" i="12" s="1"/>
  <c r="I35" i="1"/>
  <c r="I39" i="1" s="1"/>
  <c r="F104" i="12"/>
  <c r="F81" i="12"/>
  <c r="F80" i="12"/>
  <c r="F68" i="1"/>
  <c r="I43" i="12" s="1"/>
  <c r="J43" i="12" s="1"/>
  <c r="F331" i="1"/>
  <c r="F282" i="1"/>
  <c r="F233" i="1"/>
  <c r="E13" i="7"/>
  <c r="F105" i="12"/>
  <c r="F93" i="12"/>
  <c r="H57" i="2"/>
  <c r="G279" i="1"/>
  <c r="H107" i="1"/>
  <c r="H279" i="1" s="1"/>
  <c r="G194" i="1"/>
  <c r="G230" i="1"/>
  <c r="D65" i="12"/>
  <c r="L37" i="19"/>
  <c r="K38" i="19"/>
  <c r="F22" i="12"/>
  <c r="F26" i="12"/>
  <c r="L10" i="12"/>
  <c r="F12" i="12"/>
  <c r="B58" i="12"/>
  <c r="E58" i="12"/>
  <c r="L20" i="12"/>
  <c r="E116" i="1"/>
  <c r="G233" i="1"/>
  <c r="F13" i="7"/>
  <c r="G282" i="1"/>
  <c r="G331" i="1"/>
  <c r="B57" i="1"/>
  <c r="E58" i="1"/>
  <c r="J35" i="1"/>
  <c r="J39" i="1" s="1"/>
  <c r="K30" i="1"/>
  <c r="B39" i="1"/>
  <c r="E59" i="1"/>
  <c r="C41" i="11"/>
  <c r="B31" i="12" s="1"/>
  <c r="C9" i="11"/>
  <c r="C5" i="12"/>
  <c r="C60" i="12"/>
  <c r="C58" i="12"/>
  <c r="C27" i="12"/>
  <c r="E27" i="12"/>
  <c r="L25" i="12" s="1"/>
  <c r="C62" i="12"/>
  <c r="E160" i="1"/>
  <c r="F41" i="1"/>
  <c r="E41" i="1" s="1"/>
  <c r="H57" i="1"/>
  <c r="I57" i="1" s="1"/>
  <c r="J57" i="1" s="1"/>
  <c r="K57" i="1" s="1"/>
  <c r="L57" i="1" s="1"/>
  <c r="M57" i="1" s="1"/>
  <c r="N57" i="1" s="1"/>
  <c r="O57" i="1" s="1"/>
  <c r="P57" i="1" s="1"/>
  <c r="Q57" i="1" s="1"/>
  <c r="R57" i="1" s="1"/>
  <c r="S57" i="1" s="1"/>
  <c r="T57" i="1" s="1"/>
  <c r="U57" i="1" s="1"/>
  <c r="V57" i="1" s="1"/>
  <c r="W57" i="1" s="1"/>
  <c r="X57" i="1" s="1"/>
  <c r="Y57" i="1" s="1"/>
  <c r="Z57" i="1" s="1"/>
  <c r="AA57" i="1" s="1"/>
  <c r="AB57" i="1" s="1"/>
  <c r="AC57" i="1" s="1"/>
  <c r="AD57" i="1" s="1"/>
  <c r="AE57" i="1" s="1"/>
  <c r="AF57" i="1" s="1"/>
  <c r="AG57" i="1" s="1"/>
  <c r="AH57" i="1" s="1"/>
  <c r="AI57" i="1" s="1"/>
  <c r="AJ57" i="1" s="1"/>
  <c r="I32" i="12"/>
  <c r="J32" i="12" s="1"/>
  <c r="B14" i="7"/>
  <c r="B15" i="7" s="1"/>
  <c r="B7" i="7"/>
  <c r="E197" i="1"/>
  <c r="E202" i="1" s="1"/>
  <c r="E207" i="1" s="1"/>
  <c r="E6" i="1"/>
  <c r="F269" i="1"/>
  <c r="F220" i="1"/>
  <c r="F98" i="1"/>
  <c r="F318" i="1"/>
  <c r="G67" i="1"/>
  <c r="H67" i="1" s="1"/>
  <c r="I67" i="1" s="1"/>
  <c r="J67" i="1" s="1"/>
  <c r="K67" i="1" s="1"/>
  <c r="L67" i="1" s="1"/>
  <c r="M67" i="1" s="1"/>
  <c r="N67" i="1" s="1"/>
  <c r="O67" i="1" s="1"/>
  <c r="P67" i="1" s="1"/>
  <c r="Q67" i="1" s="1"/>
  <c r="R67" i="1" s="1"/>
  <c r="S67" i="1" s="1"/>
  <c r="T67" i="1" s="1"/>
  <c r="U67" i="1" s="1"/>
  <c r="V67" i="1" s="1"/>
  <c r="W67" i="1" s="1"/>
  <c r="X67" i="1" s="1"/>
  <c r="Y67" i="1" s="1"/>
  <c r="Z67" i="1" s="1"/>
  <c r="AA67" i="1" s="1"/>
  <c r="AB67" i="1" s="1"/>
  <c r="AC67" i="1" s="1"/>
  <c r="AD67" i="1" s="1"/>
  <c r="AE67" i="1" s="1"/>
  <c r="AF67" i="1" s="1"/>
  <c r="AG67" i="1" s="1"/>
  <c r="AH67" i="1" s="1"/>
  <c r="AI67" i="1" s="1"/>
  <c r="AJ67" i="1" s="1"/>
  <c r="I42" i="12"/>
  <c r="J42" i="12" s="1"/>
  <c r="I45" i="1"/>
  <c r="J36" i="1"/>
  <c r="J40" i="1" s="1"/>
  <c r="K31" i="1"/>
  <c r="G38" i="1"/>
  <c r="G41" i="1" s="1"/>
  <c r="H316" i="1"/>
  <c r="H218" i="1"/>
  <c r="G92" i="1"/>
  <c r="G112" i="1" s="1"/>
  <c r="H267" i="1"/>
  <c r="G78" i="1"/>
  <c r="H78" i="1" s="1"/>
  <c r="I78" i="1" s="1"/>
  <c r="J78" i="1" s="1"/>
  <c r="K78" i="1" s="1"/>
  <c r="L78" i="1" s="1"/>
  <c r="M78" i="1" s="1"/>
  <c r="N78" i="1" s="1"/>
  <c r="O78" i="1" s="1"/>
  <c r="P78" i="1" s="1"/>
  <c r="Q78" i="1" s="1"/>
  <c r="R78" i="1" s="1"/>
  <c r="S78" i="1" s="1"/>
  <c r="T78" i="1" s="1"/>
  <c r="U78" i="1" s="1"/>
  <c r="V78" i="1" s="1"/>
  <c r="W78" i="1" s="1"/>
  <c r="X78" i="1" s="1"/>
  <c r="Y78" i="1" s="1"/>
  <c r="Z78" i="1" s="1"/>
  <c r="AA78" i="1" s="1"/>
  <c r="AB78" i="1" s="1"/>
  <c r="AC78" i="1" s="1"/>
  <c r="AD78" i="1" s="1"/>
  <c r="AE78" i="1" s="1"/>
  <c r="AF78" i="1" s="1"/>
  <c r="AG78" i="1" s="1"/>
  <c r="AH78" i="1" s="1"/>
  <c r="AI78" i="1" s="1"/>
  <c r="AJ78" i="1" s="1"/>
  <c r="D59" i="2"/>
  <c r="C61" i="2"/>
  <c r="H28" i="1"/>
  <c r="H34" i="1"/>
  <c r="J91" i="1"/>
  <c r="I94" i="1"/>
  <c r="B38" i="1"/>
  <c r="I10" i="12"/>
  <c r="H219" i="1"/>
  <c r="H268" i="1"/>
  <c r="G9" i="7"/>
  <c r="H317" i="1"/>
  <c r="G71" i="1"/>
  <c r="H71" i="1" s="1"/>
  <c r="I71" i="1" s="1"/>
  <c r="J71" i="1" s="1"/>
  <c r="K71" i="1" s="1"/>
  <c r="L71" i="1" s="1"/>
  <c r="M71" i="1" s="1"/>
  <c r="N71" i="1" s="1"/>
  <c r="O71" i="1" s="1"/>
  <c r="P71" i="1" s="1"/>
  <c r="Q71" i="1" s="1"/>
  <c r="R71" i="1" s="1"/>
  <c r="S71" i="1" s="1"/>
  <c r="T71" i="1" s="1"/>
  <c r="U71" i="1" s="1"/>
  <c r="V71" i="1" s="1"/>
  <c r="W71" i="1" s="1"/>
  <c r="X71" i="1" s="1"/>
  <c r="Y71" i="1" s="1"/>
  <c r="Z71" i="1" s="1"/>
  <c r="AA71" i="1" s="1"/>
  <c r="AB71" i="1" s="1"/>
  <c r="AC71" i="1" s="1"/>
  <c r="AD71" i="1" s="1"/>
  <c r="AE71" i="1" s="1"/>
  <c r="AF71" i="1" s="1"/>
  <c r="AG71" i="1" s="1"/>
  <c r="AH71" i="1" s="1"/>
  <c r="AI71" i="1" s="1"/>
  <c r="AJ71" i="1" s="1"/>
  <c r="H230" i="1"/>
  <c r="L27" i="12"/>
  <c r="D58" i="12"/>
  <c r="D61" i="12"/>
  <c r="D62" i="12" s="1"/>
  <c r="D27" i="12"/>
  <c r="F123" i="1" l="1"/>
  <c r="E131" i="1"/>
  <c r="E144" i="1" s="1"/>
  <c r="B117" i="1"/>
  <c r="J10" i="12"/>
  <c r="M4" i="12"/>
  <c r="F57" i="12"/>
  <c r="F69" i="12"/>
  <c r="B41" i="1"/>
  <c r="F58" i="12"/>
  <c r="G68" i="1"/>
  <c r="H68" i="1" s="1"/>
  <c r="I68" i="1" s="1"/>
  <c r="J68" i="1" s="1"/>
  <c r="K68" i="1" s="1"/>
  <c r="L68" i="1" s="1"/>
  <c r="M68" i="1" s="1"/>
  <c r="N68" i="1" s="1"/>
  <c r="O68" i="1" s="1"/>
  <c r="P68" i="1" s="1"/>
  <c r="Q68" i="1" s="1"/>
  <c r="R68" i="1" s="1"/>
  <c r="S68" i="1" s="1"/>
  <c r="T68" i="1" s="1"/>
  <c r="U68" i="1" s="1"/>
  <c r="V68" i="1" s="1"/>
  <c r="W68" i="1" s="1"/>
  <c r="X68" i="1" s="1"/>
  <c r="Y68" i="1" s="1"/>
  <c r="Z68" i="1" s="1"/>
  <c r="AA68" i="1" s="1"/>
  <c r="AB68" i="1" s="1"/>
  <c r="AC68" i="1" s="1"/>
  <c r="AD68" i="1" s="1"/>
  <c r="AE68" i="1" s="1"/>
  <c r="AF68" i="1" s="1"/>
  <c r="AG68" i="1" s="1"/>
  <c r="AH68" i="1" s="1"/>
  <c r="AI68" i="1" s="1"/>
  <c r="AJ68" i="1" s="1"/>
  <c r="H328" i="1"/>
  <c r="I107" i="1"/>
  <c r="J107" i="1" s="1"/>
  <c r="H194" i="1"/>
  <c r="L26" i="12"/>
  <c r="M37" i="19"/>
  <c r="L38" i="19"/>
  <c r="D80" i="1"/>
  <c r="F59" i="1"/>
  <c r="I34" i="12" s="1"/>
  <c r="J34" i="12" s="1"/>
  <c r="F27" i="12"/>
  <c r="F61" i="12"/>
  <c r="L61" i="12" s="1"/>
  <c r="B59" i="1"/>
  <c r="D38" i="8"/>
  <c r="E236" i="1"/>
  <c r="G111" i="1"/>
  <c r="K111" i="1"/>
  <c r="O111" i="1"/>
  <c r="S111" i="1"/>
  <c r="W111" i="1"/>
  <c r="AA111" i="1"/>
  <c r="AE111" i="1"/>
  <c r="AI111" i="1"/>
  <c r="N111" i="1"/>
  <c r="Z111" i="1"/>
  <c r="H111" i="1"/>
  <c r="L111" i="1"/>
  <c r="P111" i="1"/>
  <c r="T111" i="1"/>
  <c r="X111" i="1"/>
  <c r="AB111" i="1"/>
  <c r="AF111" i="1"/>
  <c r="AJ111" i="1"/>
  <c r="R111" i="1"/>
  <c r="AD111" i="1"/>
  <c r="I111" i="1"/>
  <c r="M111" i="1"/>
  <c r="Q111" i="1"/>
  <c r="U111" i="1"/>
  <c r="Y111" i="1"/>
  <c r="AC111" i="1"/>
  <c r="AG111" i="1"/>
  <c r="F111" i="1"/>
  <c r="J111" i="1"/>
  <c r="V111" i="1"/>
  <c r="AH111" i="1"/>
  <c r="F39" i="19"/>
  <c r="F47" i="19" s="1"/>
  <c r="E133" i="1"/>
  <c r="B58" i="1"/>
  <c r="K35" i="1"/>
  <c r="K39" i="1" s="1"/>
  <c r="L30" i="1"/>
  <c r="F58" i="1"/>
  <c r="G58" i="1" s="1"/>
  <c r="H58" i="1" s="1"/>
  <c r="I58" i="1" s="1"/>
  <c r="J58" i="1" s="1"/>
  <c r="K58" i="1" s="1"/>
  <c r="L58" i="1" s="1"/>
  <c r="M58" i="1" s="1"/>
  <c r="N58" i="1" s="1"/>
  <c r="O58" i="1" s="1"/>
  <c r="P58" i="1" s="1"/>
  <c r="Q58" i="1" s="1"/>
  <c r="R58" i="1" s="1"/>
  <c r="S58" i="1" s="1"/>
  <c r="T58" i="1" s="1"/>
  <c r="U58" i="1" s="1"/>
  <c r="V58" i="1" s="1"/>
  <c r="W58" i="1" s="1"/>
  <c r="X58" i="1" s="1"/>
  <c r="Y58" i="1" s="1"/>
  <c r="Z58" i="1" s="1"/>
  <c r="AA58" i="1" s="1"/>
  <c r="AB58" i="1" s="1"/>
  <c r="AC58" i="1" s="1"/>
  <c r="AD58" i="1" s="1"/>
  <c r="AE58" i="1" s="1"/>
  <c r="AF58" i="1" s="1"/>
  <c r="AG58" i="1" s="1"/>
  <c r="AH58" i="1" s="1"/>
  <c r="AI58" i="1" s="1"/>
  <c r="AJ58" i="1" s="1"/>
  <c r="C110" i="12"/>
  <c r="C65" i="12"/>
  <c r="B60" i="12"/>
  <c r="B5" i="12"/>
  <c r="I11" i="12"/>
  <c r="J11" i="12" s="1"/>
  <c r="H38" i="1"/>
  <c r="H41" i="1" s="1"/>
  <c r="I279" i="1"/>
  <c r="I328" i="1"/>
  <c r="K91" i="1"/>
  <c r="L91" i="1" s="1"/>
  <c r="I34" i="1"/>
  <c r="I28" i="1"/>
  <c r="J45" i="1"/>
  <c r="H9" i="7"/>
  <c r="I268" i="1"/>
  <c r="I317" i="1"/>
  <c r="F70" i="1"/>
  <c r="I45" i="12" s="1"/>
  <c r="J45" i="12" s="1"/>
  <c r="B70" i="1"/>
  <c r="I316" i="1"/>
  <c r="H114" i="1"/>
  <c r="I267" i="1"/>
  <c r="D64" i="2"/>
  <c r="C62" i="2"/>
  <c r="C63" i="2" s="1"/>
  <c r="H92" i="1"/>
  <c r="H112" i="1" s="1"/>
  <c r="K36" i="1"/>
  <c r="K40" i="1" s="1"/>
  <c r="L31" i="1"/>
  <c r="F222" i="1"/>
  <c r="G93" i="1"/>
  <c r="F320" i="1"/>
  <c r="F271" i="1"/>
  <c r="E62" i="12"/>
  <c r="L60" i="12" s="1"/>
  <c r="L62" i="12"/>
  <c r="F62" i="12" l="1"/>
  <c r="D39" i="8"/>
  <c r="D40" i="8" s="1"/>
  <c r="D41" i="8" s="1"/>
  <c r="I194" i="1"/>
  <c r="N37" i="19"/>
  <c r="M38" i="19"/>
  <c r="G59" i="1"/>
  <c r="H59" i="1" s="1"/>
  <c r="I59" i="1" s="1"/>
  <c r="J59" i="1" s="1"/>
  <c r="K59" i="1" s="1"/>
  <c r="L59" i="1" s="1"/>
  <c r="M59" i="1" s="1"/>
  <c r="N59" i="1" s="1"/>
  <c r="O59" i="1" s="1"/>
  <c r="P59" i="1" s="1"/>
  <c r="Q59" i="1" s="1"/>
  <c r="R59" i="1" s="1"/>
  <c r="S59" i="1" s="1"/>
  <c r="T59" i="1" s="1"/>
  <c r="U59" i="1" s="1"/>
  <c r="V59" i="1" s="1"/>
  <c r="W59" i="1" s="1"/>
  <c r="X59" i="1" s="1"/>
  <c r="Y59" i="1" s="1"/>
  <c r="Z59" i="1" s="1"/>
  <c r="AA59" i="1" s="1"/>
  <c r="AB59" i="1" s="1"/>
  <c r="AC59" i="1" s="1"/>
  <c r="AD59" i="1" s="1"/>
  <c r="AE59" i="1" s="1"/>
  <c r="AF59" i="1" s="1"/>
  <c r="AG59" i="1" s="1"/>
  <c r="AH59" i="1" s="1"/>
  <c r="AI59" i="1" s="1"/>
  <c r="AJ59" i="1" s="1"/>
  <c r="I33" i="12"/>
  <c r="J33" i="12" s="1"/>
  <c r="E253" i="1"/>
  <c r="E285" i="1"/>
  <c r="F60" i="19"/>
  <c r="F77" i="19" s="1"/>
  <c r="F76" i="19"/>
  <c r="F57" i="19"/>
  <c r="F65" i="19" s="1"/>
  <c r="F56" i="19"/>
  <c r="F64" i="19"/>
  <c r="L35" i="1"/>
  <c r="L39" i="1" s="1"/>
  <c r="M30" i="1"/>
  <c r="B110" i="12"/>
  <c r="B65" i="12"/>
  <c r="G266" i="1"/>
  <c r="G315" i="1"/>
  <c r="G97" i="1"/>
  <c r="G217" i="1"/>
  <c r="H282" i="1"/>
  <c r="G13" i="7"/>
  <c r="H233" i="1"/>
  <c r="H331" i="1"/>
  <c r="K45" i="1"/>
  <c r="M31" i="1"/>
  <c r="L36" i="1"/>
  <c r="L40" i="1" s="1"/>
  <c r="J28" i="1"/>
  <c r="K29" i="1"/>
  <c r="J34" i="1"/>
  <c r="J279" i="1"/>
  <c r="J328" i="1"/>
  <c r="J194" i="1"/>
  <c r="I38" i="1"/>
  <c r="I41" i="1" s="1"/>
  <c r="M91" i="1"/>
  <c r="G70" i="1"/>
  <c r="J54" i="12" l="1"/>
  <c r="H48" i="8"/>
  <c r="I48" i="8"/>
  <c r="F48" i="8"/>
  <c r="G48" i="8"/>
  <c r="N38" i="19"/>
  <c r="O37" i="19"/>
  <c r="E334" i="1"/>
  <c r="F291" i="1"/>
  <c r="F292" i="1" s="1"/>
  <c r="E302" i="1"/>
  <c r="F32" i="19"/>
  <c r="F58" i="19"/>
  <c r="G53" i="19" s="1"/>
  <c r="G55" i="19" s="1"/>
  <c r="F22" i="19"/>
  <c r="F59" i="19"/>
  <c r="F69" i="19"/>
  <c r="F70" i="19" s="1"/>
  <c r="F78" i="19" s="1"/>
  <c r="F82" i="19" s="1"/>
  <c r="F89" i="19"/>
  <c r="F67" i="19"/>
  <c r="F66" i="19"/>
  <c r="G62" i="19" s="1"/>
  <c r="G63" i="19" s="1"/>
  <c r="M35" i="1"/>
  <c r="M39" i="1" s="1"/>
  <c r="N30" i="1"/>
  <c r="J38" i="1"/>
  <c r="J41" i="1" s="1"/>
  <c r="N91" i="1"/>
  <c r="K28" i="1"/>
  <c r="L29" i="1"/>
  <c r="K34" i="1"/>
  <c r="N31" i="1"/>
  <c r="M36" i="1"/>
  <c r="M40" i="1" s="1"/>
  <c r="H70" i="1"/>
  <c r="G319" i="1"/>
  <c r="G221" i="1"/>
  <c r="G270" i="1"/>
  <c r="G96" i="1"/>
  <c r="L45" i="1"/>
  <c r="P37" i="19" l="1"/>
  <c r="O38" i="19"/>
  <c r="F80" i="19"/>
  <c r="F340" i="1"/>
  <c r="F341" i="1" s="1"/>
  <c r="E351" i="1"/>
  <c r="F79" i="19"/>
  <c r="G74" i="19" s="1"/>
  <c r="G81" i="19" s="1"/>
  <c r="F96" i="19"/>
  <c r="F91" i="19"/>
  <c r="F90" i="19"/>
  <c r="O30" i="1"/>
  <c r="N35" i="1"/>
  <c r="N39" i="1" s="1"/>
  <c r="M45" i="1"/>
  <c r="I70" i="1"/>
  <c r="O31" i="1"/>
  <c r="N36" i="1"/>
  <c r="N40" i="1" s="1"/>
  <c r="O91" i="1"/>
  <c r="N94" i="1"/>
  <c r="G269" i="1"/>
  <c r="G318" i="1"/>
  <c r="G220" i="1"/>
  <c r="G98" i="1"/>
  <c r="F83" i="19"/>
  <c r="F84" i="19" s="1"/>
  <c r="F92" i="19"/>
  <c r="L28" i="1"/>
  <c r="M29" i="1"/>
  <c r="L34" i="1"/>
  <c r="K38" i="1"/>
  <c r="K41" i="1" s="1"/>
  <c r="Q37" i="19" l="1"/>
  <c r="P38" i="19"/>
  <c r="G75" i="19"/>
  <c r="O35" i="1"/>
  <c r="O39" i="1" s="1"/>
  <c r="P30" i="1"/>
  <c r="L38" i="1"/>
  <c r="L41" i="1" s="1"/>
  <c r="G222" i="1"/>
  <c r="G271" i="1"/>
  <c r="G320" i="1"/>
  <c r="H93" i="1"/>
  <c r="P31" i="1"/>
  <c r="O36" i="1"/>
  <c r="O40" i="1" s="1"/>
  <c r="F85" i="19"/>
  <c r="F93" i="19" s="1"/>
  <c r="N316" i="1"/>
  <c r="M114" i="1"/>
  <c r="M331" i="1" s="1"/>
  <c r="J70" i="1"/>
  <c r="O94" i="1"/>
  <c r="P91" i="1"/>
  <c r="N45" i="1"/>
  <c r="N29" i="1"/>
  <c r="M34" i="1"/>
  <c r="M28" i="1"/>
  <c r="Q54" i="19" l="1"/>
  <c r="Q74" i="19"/>
  <c r="Q53" i="19"/>
  <c r="R37" i="19"/>
  <c r="Q66" i="19"/>
  <c r="Q65" i="19"/>
  <c r="Q89" i="19" s="1"/>
  <c r="Q64" i="19"/>
  <c r="Q39" i="19"/>
  <c r="Q62" i="19"/>
  <c r="Q63" i="19" s="1"/>
  <c r="Q38" i="19"/>
  <c r="Q47" i="19"/>
  <c r="Q67" i="19"/>
  <c r="P35" i="1"/>
  <c r="P39" i="1" s="1"/>
  <c r="Q30" i="1"/>
  <c r="H217" i="1"/>
  <c r="H266" i="1"/>
  <c r="H315" i="1"/>
  <c r="H97" i="1"/>
  <c r="N34" i="1"/>
  <c r="N28" i="1"/>
  <c r="O29" i="1"/>
  <c r="N114" i="1"/>
  <c r="N331" i="1" s="1"/>
  <c r="O316" i="1"/>
  <c r="K70" i="1"/>
  <c r="P36" i="1"/>
  <c r="P40" i="1" s="1"/>
  <c r="Q31" i="1"/>
  <c r="O45" i="1"/>
  <c r="M38" i="1"/>
  <c r="M41" i="1" s="1"/>
  <c r="Q91" i="1"/>
  <c r="F97" i="19"/>
  <c r="F95" i="19"/>
  <c r="F94" i="19"/>
  <c r="N92" i="1"/>
  <c r="N112" i="1" s="1"/>
  <c r="Q90" i="19" l="1"/>
  <c r="Q93" i="19"/>
  <c r="Q94" i="19"/>
  <c r="Q104" i="19"/>
  <c r="Q100" i="19"/>
  <c r="Q95" i="19"/>
  <c r="Q96" i="19"/>
  <c r="Q92" i="19"/>
  <c r="Q98" i="19"/>
  <c r="Q97" i="19"/>
  <c r="Q91" i="19"/>
  <c r="Q99" i="19"/>
  <c r="R38" i="19"/>
  <c r="R74" i="19"/>
  <c r="S37" i="19"/>
  <c r="R54" i="19"/>
  <c r="R65" i="19"/>
  <c r="R89" i="19" s="1"/>
  <c r="R53" i="19"/>
  <c r="R47" i="19"/>
  <c r="R67" i="19"/>
  <c r="R66" i="19"/>
  <c r="R39" i="19"/>
  <c r="R64" i="19"/>
  <c r="R62" i="19"/>
  <c r="R63" i="19" s="1"/>
  <c r="Q57" i="19"/>
  <c r="Q60" i="19" s="1"/>
  <c r="Q77" i="19" s="1"/>
  <c r="Q55" i="19"/>
  <c r="Q59" i="19"/>
  <c r="Q70" i="19"/>
  <c r="Q58" i="19"/>
  <c r="Q69" i="19"/>
  <c r="Q56" i="19"/>
  <c r="Q22" i="19" s="1"/>
  <c r="Q82" i="19"/>
  <c r="Q76" i="19"/>
  <c r="Q83" i="19"/>
  <c r="Q85" i="19"/>
  <c r="Q84" i="19"/>
  <c r="Q79" i="19"/>
  <c r="Q80" i="19"/>
  <c r="Q75" i="19"/>
  <c r="Q78" i="19"/>
  <c r="Q81" i="19"/>
  <c r="Q40" i="19"/>
  <c r="Q19" i="19"/>
  <c r="Q41" i="19"/>
  <c r="Q42" i="19" s="1"/>
  <c r="Q35" i="1"/>
  <c r="Q39" i="1" s="1"/>
  <c r="R30" i="1"/>
  <c r="E48" i="8"/>
  <c r="F98" i="19"/>
  <c r="F99" i="19" s="1"/>
  <c r="F100" i="19" s="1"/>
  <c r="F104" i="19" s="1"/>
  <c r="F21" i="19" s="1"/>
  <c r="F24" i="19" s="1"/>
  <c r="P45" i="1"/>
  <c r="Q36" i="1"/>
  <c r="Q40" i="1" s="1"/>
  <c r="R31" i="1"/>
  <c r="O34" i="1"/>
  <c r="O28" i="1"/>
  <c r="P29" i="1"/>
  <c r="R91" i="1"/>
  <c r="N38" i="1"/>
  <c r="N41" i="1" s="1"/>
  <c r="L70" i="1"/>
  <c r="H221" i="1"/>
  <c r="H319" i="1"/>
  <c r="H270" i="1"/>
  <c r="H96" i="1"/>
  <c r="R40" i="19" l="1"/>
  <c r="R41" i="19"/>
  <c r="R42" i="19" s="1"/>
  <c r="R19" i="19"/>
  <c r="R83" i="19"/>
  <c r="R81" i="19"/>
  <c r="R79" i="19"/>
  <c r="R80" i="19"/>
  <c r="R78" i="19"/>
  <c r="R84" i="19"/>
  <c r="R82" i="19"/>
  <c r="R85" i="19"/>
  <c r="R76" i="19"/>
  <c r="R75" i="19"/>
  <c r="R91" i="19"/>
  <c r="R97" i="19"/>
  <c r="R93" i="19"/>
  <c r="R90" i="19"/>
  <c r="R99" i="19"/>
  <c r="R100" i="19"/>
  <c r="R104" i="19"/>
  <c r="R95" i="19"/>
  <c r="R94" i="19"/>
  <c r="R96" i="19"/>
  <c r="R98" i="19"/>
  <c r="R92" i="19"/>
  <c r="S65" i="19"/>
  <c r="S89" i="19" s="1"/>
  <c r="S38" i="19"/>
  <c r="S64" i="19"/>
  <c r="S62" i="19"/>
  <c r="S63" i="19" s="1"/>
  <c r="S54" i="19"/>
  <c r="S53" i="19"/>
  <c r="S67" i="19"/>
  <c r="S66" i="19"/>
  <c r="S74" i="19"/>
  <c r="T37" i="19"/>
  <c r="S39" i="19"/>
  <c r="S47" i="19"/>
  <c r="Q43" i="19"/>
  <c r="Q45" i="19"/>
  <c r="Q46" i="19" s="1"/>
  <c r="Q21" i="19"/>
  <c r="Q29" i="19" s="1"/>
  <c r="Q34" i="19"/>
  <c r="Q32" i="19"/>
  <c r="Q31" i="19"/>
  <c r="Q24" i="19"/>
  <c r="Q28" i="19"/>
  <c r="Q107" i="19"/>
  <c r="Q106" i="19"/>
  <c r="Q105" i="19"/>
  <c r="R58" i="19"/>
  <c r="R56" i="19"/>
  <c r="R22" i="19" s="1"/>
  <c r="R59" i="19"/>
  <c r="R70" i="19"/>
  <c r="R55" i="19"/>
  <c r="R57" i="19"/>
  <c r="R60" i="19" s="1"/>
  <c r="R77" i="19" s="1"/>
  <c r="R69" i="19"/>
  <c r="R35" i="1"/>
  <c r="R39" i="1" s="1"/>
  <c r="S30" i="1"/>
  <c r="S91" i="1"/>
  <c r="O38" i="1"/>
  <c r="O41" i="1" s="1"/>
  <c r="H220" i="1"/>
  <c r="H269" i="1"/>
  <c r="H318" i="1"/>
  <c r="H98" i="1"/>
  <c r="P28" i="1"/>
  <c r="P34" i="1"/>
  <c r="Q29" i="1"/>
  <c r="Q45" i="1"/>
  <c r="F105" i="19"/>
  <c r="F106" i="19" s="1"/>
  <c r="F107" i="19" s="1"/>
  <c r="M70" i="1"/>
  <c r="R36" i="1"/>
  <c r="R40" i="1" s="1"/>
  <c r="S31" i="1"/>
  <c r="S58" i="19" l="1"/>
  <c r="S59" i="19"/>
  <c r="S57" i="19"/>
  <c r="S60" i="19" s="1"/>
  <c r="S77" i="19" s="1"/>
  <c r="S70" i="19"/>
  <c r="S55" i="19"/>
  <c r="S56" i="19"/>
  <c r="S22" i="19" s="1"/>
  <c r="S69" i="19"/>
  <c r="Q30" i="19"/>
  <c r="S40" i="19"/>
  <c r="S19" i="19"/>
  <c r="S41" i="19"/>
  <c r="S42" i="19" s="1"/>
  <c r="R106" i="19"/>
  <c r="R105" i="19"/>
  <c r="R107" i="19"/>
  <c r="T39" i="19"/>
  <c r="T54" i="19"/>
  <c r="T53" i="19"/>
  <c r="T47" i="19"/>
  <c r="T66" i="19"/>
  <c r="T67" i="19"/>
  <c r="T65" i="19"/>
  <c r="T89" i="19" s="1"/>
  <c r="U37" i="19"/>
  <c r="T64" i="19"/>
  <c r="T38" i="19"/>
  <c r="T74" i="19"/>
  <c r="T62" i="19"/>
  <c r="T63" i="19" s="1"/>
  <c r="R21" i="19"/>
  <c r="R29" i="19" s="1"/>
  <c r="R32" i="19"/>
  <c r="R28" i="19"/>
  <c r="R34" i="19"/>
  <c r="R24" i="19"/>
  <c r="R31" i="19"/>
  <c r="S76" i="19"/>
  <c r="S80" i="19"/>
  <c r="S84" i="19"/>
  <c r="S81" i="19"/>
  <c r="S75" i="19"/>
  <c r="S85" i="19"/>
  <c r="S83" i="19"/>
  <c r="S82" i="19"/>
  <c r="S78" i="19"/>
  <c r="S79" i="19"/>
  <c r="S90" i="19"/>
  <c r="S98" i="19"/>
  <c r="S94" i="19"/>
  <c r="S104" i="19"/>
  <c r="S92" i="19"/>
  <c r="S91" i="19"/>
  <c r="S97" i="19"/>
  <c r="S96" i="19"/>
  <c r="S93" i="19"/>
  <c r="S100" i="19"/>
  <c r="S99" i="19"/>
  <c r="S95" i="19"/>
  <c r="R43" i="19"/>
  <c r="R45" i="19"/>
  <c r="R46" i="19" s="1"/>
  <c r="T30" i="1"/>
  <c r="S35" i="1"/>
  <c r="S39" i="1" s="1"/>
  <c r="F28" i="19"/>
  <c r="F34" i="19" s="1"/>
  <c r="Q28" i="1"/>
  <c r="Q34" i="1"/>
  <c r="R29" i="1"/>
  <c r="P38" i="1"/>
  <c r="P41" i="1" s="1"/>
  <c r="T31" i="1"/>
  <c r="S36" i="1"/>
  <c r="S40" i="1" s="1"/>
  <c r="N70" i="1"/>
  <c r="S94" i="1"/>
  <c r="T91" i="1"/>
  <c r="R45" i="1"/>
  <c r="H222" i="1"/>
  <c r="H235" i="1" s="1"/>
  <c r="H271" i="1"/>
  <c r="H320" i="1"/>
  <c r="I93" i="1"/>
  <c r="S105" i="19" l="1"/>
  <c r="S107" i="19"/>
  <c r="S106" i="19"/>
  <c r="T40" i="19"/>
  <c r="T41" i="19"/>
  <c r="T42" i="19" s="1"/>
  <c r="T19" i="19"/>
  <c r="R30" i="19"/>
  <c r="U38" i="19"/>
  <c r="U39" i="19"/>
  <c r="U66" i="19"/>
  <c r="U65" i="19"/>
  <c r="U89" i="19" s="1"/>
  <c r="U64" i="19"/>
  <c r="U62" i="19"/>
  <c r="U63" i="19" s="1"/>
  <c r="U67" i="19"/>
  <c r="U47" i="19"/>
  <c r="U53" i="19"/>
  <c r="U54" i="19"/>
  <c r="U74" i="19"/>
  <c r="T97" i="19"/>
  <c r="T91" i="19"/>
  <c r="T100" i="19"/>
  <c r="T94" i="19"/>
  <c r="T90" i="19"/>
  <c r="T93" i="19"/>
  <c r="T98" i="19"/>
  <c r="T96" i="19"/>
  <c r="T99" i="19"/>
  <c r="T92" i="19"/>
  <c r="T104" i="19"/>
  <c r="T95" i="19"/>
  <c r="S45" i="19"/>
  <c r="S46" i="19" s="1"/>
  <c r="S43" i="19"/>
  <c r="S31" i="19"/>
  <c r="S28" i="19"/>
  <c r="S21" i="19"/>
  <c r="S29" i="19" s="1"/>
  <c r="S24" i="19"/>
  <c r="S32" i="19"/>
  <c r="S34" i="19"/>
  <c r="T81" i="19"/>
  <c r="T84" i="19"/>
  <c r="T75" i="19"/>
  <c r="T83" i="19"/>
  <c r="T80" i="19"/>
  <c r="T82" i="19"/>
  <c r="T76" i="19"/>
  <c r="T79" i="19"/>
  <c r="T85" i="19"/>
  <c r="T78" i="19"/>
  <c r="T69" i="19"/>
  <c r="T55" i="19"/>
  <c r="T70" i="19"/>
  <c r="T59" i="19"/>
  <c r="T58" i="19"/>
  <c r="T56" i="19"/>
  <c r="T22" i="19" s="1"/>
  <c r="T57" i="19"/>
  <c r="T60" i="19" s="1"/>
  <c r="T77" i="19" s="1"/>
  <c r="U30" i="1"/>
  <c r="T35" i="1"/>
  <c r="T39" i="1" s="1"/>
  <c r="R114" i="1"/>
  <c r="O70" i="1"/>
  <c r="R34" i="1"/>
  <c r="S29" i="1"/>
  <c r="R28" i="1"/>
  <c r="Q38" i="1"/>
  <c r="Q41" i="1" s="1"/>
  <c r="I266" i="1"/>
  <c r="I315" i="1"/>
  <c r="I97" i="1"/>
  <c r="S45" i="1"/>
  <c r="U31" i="1"/>
  <c r="T36" i="1"/>
  <c r="T40" i="1" s="1"/>
  <c r="T94" i="1"/>
  <c r="U91" i="1"/>
  <c r="S30" i="19" l="1"/>
  <c r="U55" i="19"/>
  <c r="U57" i="19"/>
  <c r="U60" i="19" s="1"/>
  <c r="U77" i="19" s="1"/>
  <c r="U59" i="19"/>
  <c r="U58" i="19"/>
  <c r="U69" i="19"/>
  <c r="U56" i="19"/>
  <c r="U22" i="19" s="1"/>
  <c r="U70" i="19"/>
  <c r="T107" i="19"/>
  <c r="T106" i="19"/>
  <c r="T105" i="19"/>
  <c r="T28" i="19"/>
  <c r="T34" i="19"/>
  <c r="T31" i="19"/>
  <c r="T21" i="19"/>
  <c r="T29" i="19" s="1"/>
  <c r="T32" i="19"/>
  <c r="T24" i="19"/>
  <c r="T43" i="19"/>
  <c r="T45" i="19"/>
  <c r="T46" i="19" s="1"/>
  <c r="U100" i="19"/>
  <c r="U99" i="19"/>
  <c r="U93" i="19"/>
  <c r="U91" i="19"/>
  <c r="U92" i="19"/>
  <c r="U95" i="19"/>
  <c r="U98" i="19"/>
  <c r="U90" i="19"/>
  <c r="U97" i="19"/>
  <c r="U96" i="19"/>
  <c r="U104" i="19"/>
  <c r="U94" i="19"/>
  <c r="U81" i="19"/>
  <c r="U80" i="19"/>
  <c r="U83" i="19"/>
  <c r="U78" i="19"/>
  <c r="U75" i="19"/>
  <c r="U82" i="19"/>
  <c r="U76" i="19"/>
  <c r="U84" i="19"/>
  <c r="U85" i="19"/>
  <c r="U79" i="19"/>
  <c r="U40" i="19"/>
  <c r="U19" i="19"/>
  <c r="U41" i="19"/>
  <c r="U42" i="19" s="1"/>
  <c r="S92" i="1"/>
  <c r="S112" i="1" s="1"/>
  <c r="V30" i="1"/>
  <c r="U35" i="1"/>
  <c r="U39" i="1" s="1"/>
  <c r="P70" i="1"/>
  <c r="S114" i="1"/>
  <c r="U36" i="1"/>
  <c r="U40" i="1" s="1"/>
  <c r="V31" i="1"/>
  <c r="V91" i="1"/>
  <c r="T45" i="1"/>
  <c r="S34" i="1"/>
  <c r="T29" i="1"/>
  <c r="S28" i="1"/>
  <c r="I319" i="1"/>
  <c r="I270" i="1"/>
  <c r="I96" i="1"/>
  <c r="R38" i="1"/>
  <c r="R41" i="1" s="1"/>
  <c r="U105" i="19" l="1"/>
  <c r="U106" i="19"/>
  <c r="U107" i="19"/>
  <c r="U43" i="19"/>
  <c r="U45" i="19"/>
  <c r="U46" i="19" s="1"/>
  <c r="T30" i="19"/>
  <c r="U24" i="19"/>
  <c r="U32" i="19"/>
  <c r="U34" i="19"/>
  <c r="U31" i="19"/>
  <c r="U21" i="19"/>
  <c r="U29" i="19" s="1"/>
  <c r="U28" i="19"/>
  <c r="V35" i="1"/>
  <c r="V39" i="1" s="1"/>
  <c r="W30" i="1"/>
  <c r="I318" i="1"/>
  <c r="I269" i="1"/>
  <c r="I98" i="1"/>
  <c r="V36" i="1"/>
  <c r="V40" i="1" s="1"/>
  <c r="W31" i="1"/>
  <c r="W91" i="1"/>
  <c r="V94" i="1"/>
  <c r="T28" i="1"/>
  <c r="T34" i="1"/>
  <c r="U29" i="1"/>
  <c r="Q70" i="1"/>
  <c r="S38" i="1"/>
  <c r="S41" i="1" s="1"/>
  <c r="U45" i="1"/>
  <c r="U30" i="19" l="1"/>
  <c r="X30" i="1"/>
  <c r="W35" i="1"/>
  <c r="W39" i="1" s="1"/>
  <c r="U114" i="1"/>
  <c r="T38" i="1"/>
  <c r="T41" i="1" s="1"/>
  <c r="I271" i="1"/>
  <c r="J93" i="1"/>
  <c r="I320" i="1"/>
  <c r="W94" i="1"/>
  <c r="X91" i="1"/>
  <c r="V45" i="1"/>
  <c r="R70" i="1"/>
  <c r="U28" i="1"/>
  <c r="U34" i="1"/>
  <c r="V29" i="1"/>
  <c r="X31" i="1"/>
  <c r="W36" i="1"/>
  <c r="W40" i="1" s="1"/>
  <c r="Y30" i="1" l="1"/>
  <c r="X35" i="1"/>
  <c r="X39" i="1" s="1"/>
  <c r="W45" i="1"/>
  <c r="X94" i="1"/>
  <c r="Y91" i="1"/>
  <c r="Y31" i="1"/>
  <c r="X36" i="1"/>
  <c r="X40" i="1" s="1"/>
  <c r="S70" i="1"/>
  <c r="V114" i="1"/>
  <c r="J315" i="1"/>
  <c r="J266" i="1"/>
  <c r="V92" i="1"/>
  <c r="V112" i="1" s="1"/>
  <c r="U38" i="1"/>
  <c r="U41" i="1" s="1"/>
  <c r="V34" i="1"/>
  <c r="V28" i="1"/>
  <c r="W29" i="1"/>
  <c r="W92" i="1" l="1"/>
  <c r="W112" i="1" s="1"/>
  <c r="Y35" i="1"/>
  <c r="Y39" i="1" s="1"/>
  <c r="Z30" i="1"/>
  <c r="T70" i="1"/>
  <c r="V38" i="1"/>
  <c r="V41" i="1" s="1"/>
  <c r="X45" i="1"/>
  <c r="Z31" i="1"/>
  <c r="Y36" i="1"/>
  <c r="Y40" i="1" s="1"/>
  <c r="Z91" i="1"/>
  <c r="Y94" i="1"/>
  <c r="W28" i="1"/>
  <c r="W34" i="1"/>
  <c r="X29" i="1"/>
  <c r="W114" i="1"/>
  <c r="X92" i="1" l="1"/>
  <c r="X112" i="1" s="1"/>
  <c r="AA30" i="1"/>
  <c r="Z35" i="1"/>
  <c r="Z39" i="1" s="1"/>
  <c r="Y45" i="1"/>
  <c r="U70" i="1"/>
  <c r="AA91" i="1"/>
  <c r="W38" i="1"/>
  <c r="W41" i="1" s="1"/>
  <c r="X28" i="1"/>
  <c r="X34" i="1"/>
  <c r="Y29" i="1"/>
  <c r="X114" i="1"/>
  <c r="Z36" i="1"/>
  <c r="Z40" i="1" s="1"/>
  <c r="AA31" i="1"/>
  <c r="AB30" i="1" l="1"/>
  <c r="AA35" i="1"/>
  <c r="AA39" i="1" s="1"/>
  <c r="AB31" i="1"/>
  <c r="AA36" i="1"/>
  <c r="AA40" i="1" s="1"/>
  <c r="Y34" i="1"/>
  <c r="Z29" i="1"/>
  <c r="Y28" i="1"/>
  <c r="AA94" i="1"/>
  <c r="AB91" i="1"/>
  <c r="Z45" i="1"/>
  <c r="X38" i="1"/>
  <c r="X41" i="1" s="1"/>
  <c r="V70" i="1"/>
  <c r="AC30" i="1" l="1"/>
  <c r="AB35" i="1"/>
  <c r="AB39" i="1" s="1"/>
  <c r="W70" i="1"/>
  <c r="AB94" i="1"/>
  <c r="AA92" i="1" s="1"/>
  <c r="AA112" i="1" s="1"/>
  <c r="AC91" i="1"/>
  <c r="AA45" i="1"/>
  <c r="Z114" i="1"/>
  <c r="Z34" i="1"/>
  <c r="Z28" i="1"/>
  <c r="AA29" i="1"/>
  <c r="AB36" i="1"/>
  <c r="AB40" i="1" s="1"/>
  <c r="AC31" i="1"/>
  <c r="Y38" i="1"/>
  <c r="Y41" i="1" s="1"/>
  <c r="AD30" i="1" l="1"/>
  <c r="AC35" i="1"/>
  <c r="AC39" i="1" s="1"/>
  <c r="AA28" i="1"/>
  <c r="AB29" i="1"/>
  <c r="AA34" i="1"/>
  <c r="AC94" i="1"/>
  <c r="AD91" i="1"/>
  <c r="AA114" i="1"/>
  <c r="AC36" i="1"/>
  <c r="AC40" i="1" s="1"/>
  <c r="AD31" i="1"/>
  <c r="Z38" i="1"/>
  <c r="Z41" i="1" s="1"/>
  <c r="AB45" i="1"/>
  <c r="X70" i="1"/>
  <c r="AD35" i="1" l="1"/>
  <c r="AD39" i="1" s="1"/>
  <c r="AE30" i="1"/>
  <c r="AC45" i="1"/>
  <c r="AD36" i="1"/>
  <c r="AD40" i="1" s="1"/>
  <c r="AE31" i="1"/>
  <c r="AB114" i="1"/>
  <c r="AA38" i="1"/>
  <c r="AA41" i="1" s="1"/>
  <c r="Y70" i="1"/>
  <c r="AB28" i="1"/>
  <c r="AC29" i="1"/>
  <c r="AB34" i="1"/>
  <c r="AB92" i="1"/>
  <c r="AB112" i="1" s="1"/>
  <c r="AD94" i="1"/>
  <c r="AE91" i="1"/>
  <c r="AE35" i="1" l="1"/>
  <c r="AE39" i="1" s="1"/>
  <c r="AF30" i="1"/>
  <c r="AB38" i="1"/>
  <c r="AB41" i="1" s="1"/>
  <c r="Z70" i="1"/>
  <c r="AC34" i="1"/>
  <c r="AC28" i="1"/>
  <c r="AD29" i="1"/>
  <c r="AF31" i="1"/>
  <c r="AE36" i="1"/>
  <c r="AE40" i="1" s="1"/>
  <c r="AF91" i="1"/>
  <c r="AE94" i="1"/>
  <c r="AC114" i="1"/>
  <c r="AC92" i="1"/>
  <c r="AC112" i="1" s="1"/>
  <c r="AD45" i="1"/>
  <c r="AG30" i="1" l="1"/>
  <c r="AF35" i="1"/>
  <c r="AF39" i="1" s="1"/>
  <c r="AC38" i="1"/>
  <c r="AC41" i="1" s="1"/>
  <c r="AD114" i="1"/>
  <c r="AG31" i="1"/>
  <c r="AF36" i="1"/>
  <c r="AF40" i="1" s="1"/>
  <c r="AA70" i="1"/>
  <c r="AE45" i="1"/>
  <c r="AD92" i="1"/>
  <c r="AD112" i="1" s="1"/>
  <c r="AF94" i="1"/>
  <c r="AG91" i="1"/>
  <c r="AD28" i="1"/>
  <c r="AD34" i="1"/>
  <c r="AE29" i="1"/>
  <c r="AH30" i="1" l="1"/>
  <c r="AG35" i="1"/>
  <c r="AG39" i="1" s="1"/>
  <c r="AE114" i="1"/>
  <c r="AB70" i="1"/>
  <c r="AE34" i="1"/>
  <c r="AE28" i="1"/>
  <c r="AF29" i="1"/>
  <c r="AF45" i="1"/>
  <c r="AD38" i="1"/>
  <c r="AD41" i="1" s="1"/>
  <c r="AH31" i="1"/>
  <c r="AI31" i="1" s="1"/>
  <c r="AG36" i="1"/>
  <c r="AG40" i="1" s="1"/>
  <c r="AH91" i="1"/>
  <c r="AI91" i="1" s="1"/>
  <c r="AG94" i="1"/>
  <c r="AE92" i="1"/>
  <c r="AE112" i="1" s="1"/>
  <c r="AI94" i="1" l="1"/>
  <c r="AJ91" i="1"/>
  <c r="AJ31" i="1"/>
  <c r="AJ36" i="1" s="1"/>
  <c r="AJ40" i="1" s="1"/>
  <c r="AI36" i="1"/>
  <c r="AI40" i="1" s="1"/>
  <c r="AI30" i="1"/>
  <c r="AH35" i="1"/>
  <c r="AH39" i="1" s="1"/>
  <c r="AE38" i="1"/>
  <c r="AE41" i="1" s="1"/>
  <c r="AF34" i="1"/>
  <c r="AG29" i="1"/>
  <c r="AF28" i="1"/>
  <c r="AH94" i="1"/>
  <c r="AG45" i="1"/>
  <c r="AC70" i="1"/>
  <c r="AF114" i="1"/>
  <c r="AH36" i="1"/>
  <c r="AH40" i="1" s="1"/>
  <c r="AF92" i="1"/>
  <c r="AF112" i="1" s="1"/>
  <c r="AG92" i="1" l="1"/>
  <c r="AG112" i="1" s="1"/>
  <c r="AI92" i="1"/>
  <c r="AI112" i="1" s="1"/>
  <c r="AI35" i="1"/>
  <c r="AI39" i="1" s="1"/>
  <c r="AJ30" i="1"/>
  <c r="AJ35" i="1" s="1"/>
  <c r="AJ39" i="1" s="1"/>
  <c r="AJ94" i="1"/>
  <c r="AH114" i="1" s="1"/>
  <c r="AH45" i="1"/>
  <c r="AI45" i="1" s="1"/>
  <c r="AG34" i="1"/>
  <c r="AH29" i="1"/>
  <c r="AI29" i="1" s="1"/>
  <c r="AG28" i="1"/>
  <c r="AD70" i="1"/>
  <c r="AG114" i="1"/>
  <c r="AF38" i="1"/>
  <c r="AF41" i="1" s="1"/>
  <c r="AJ92" i="1" l="1"/>
  <c r="AJ112" i="1" s="1"/>
  <c r="AH92" i="1"/>
  <c r="AH112" i="1" s="1"/>
  <c r="AJ29" i="1"/>
  <c r="AI28" i="1"/>
  <c r="AI34" i="1"/>
  <c r="AJ45" i="1"/>
  <c r="AH28" i="1"/>
  <c r="AH34" i="1"/>
  <c r="AE70" i="1"/>
  <c r="AG38" i="1"/>
  <c r="AG41" i="1" s="1"/>
  <c r="AI38" i="1" l="1"/>
  <c r="AI41" i="1" s="1"/>
  <c r="AJ28" i="1"/>
  <c r="AJ34" i="1"/>
  <c r="AJ38" i="1" s="1"/>
  <c r="AJ41" i="1" s="1"/>
  <c r="AH38" i="1"/>
  <c r="AH41" i="1" s="1"/>
  <c r="AF70" i="1"/>
  <c r="AG70" i="1" l="1"/>
  <c r="AH70" i="1" l="1"/>
  <c r="AI70" i="1" s="1"/>
  <c r="AJ70" i="1" l="1"/>
  <c r="D69" i="1" l="1"/>
  <c r="D64" i="1"/>
  <c r="D61" i="1"/>
  <c r="D77" i="1"/>
  <c r="E77" i="1" s="1"/>
  <c r="D63" i="1"/>
  <c r="D60" i="1"/>
  <c r="D62" i="1"/>
  <c r="F61" i="1" l="1"/>
  <c r="B61" i="1"/>
  <c r="F64" i="1"/>
  <c r="D81" i="1"/>
  <c r="D84" i="1" s="1"/>
  <c r="D86" i="1" s="1"/>
  <c r="B60" i="1"/>
  <c r="B64" i="1"/>
  <c r="F69" i="1"/>
  <c r="F77" i="1"/>
  <c r="B77" i="1"/>
  <c r="F62" i="1"/>
  <c r="F46" i="1" s="1"/>
  <c r="B62" i="1"/>
  <c r="B69" i="1"/>
  <c r="D82" i="1"/>
  <c r="F63" i="1"/>
  <c r="B63" i="1"/>
  <c r="F60" i="1"/>
  <c r="F44" i="1" s="1"/>
  <c r="I15" i="12" s="1"/>
  <c r="G44" i="1" l="1"/>
  <c r="E46" i="1"/>
  <c r="G46" i="1"/>
  <c r="H46" i="1" s="1"/>
  <c r="I46" i="1" s="1"/>
  <c r="J46" i="1" s="1"/>
  <c r="K46" i="1" s="1"/>
  <c r="L46" i="1" s="1"/>
  <c r="M46" i="1" s="1"/>
  <c r="N46" i="1" s="1"/>
  <c r="O46" i="1" s="1"/>
  <c r="P46" i="1" s="1"/>
  <c r="Q46" i="1" s="1"/>
  <c r="R46" i="1" s="1"/>
  <c r="S46" i="1" s="1"/>
  <c r="T46" i="1" s="1"/>
  <c r="U46" i="1" s="1"/>
  <c r="V46" i="1" s="1"/>
  <c r="W46" i="1" s="1"/>
  <c r="X46" i="1" s="1"/>
  <c r="Y46" i="1" s="1"/>
  <c r="Z46" i="1" s="1"/>
  <c r="AA46" i="1" s="1"/>
  <c r="AB46" i="1" s="1"/>
  <c r="AC46" i="1" s="1"/>
  <c r="AD46" i="1" s="1"/>
  <c r="AE46" i="1" s="1"/>
  <c r="AF46" i="1" s="1"/>
  <c r="AG46" i="1" s="1"/>
  <c r="AH46" i="1" s="1"/>
  <c r="AI46" i="1" s="1"/>
  <c r="AJ46" i="1" s="1"/>
  <c r="B46" i="1"/>
  <c r="I17" i="12"/>
  <c r="B44" i="1"/>
  <c r="F48" i="1"/>
  <c r="E48" i="1" s="1"/>
  <c r="H44" i="1"/>
  <c r="J15" i="12"/>
  <c r="I72" i="12"/>
  <c r="J51" i="12"/>
  <c r="I52" i="12"/>
  <c r="J52" i="12" s="1"/>
  <c r="I39" i="12"/>
  <c r="I97" i="12" s="1"/>
  <c r="G64" i="1"/>
  <c r="H64" i="1" s="1"/>
  <c r="I64" i="1" s="1"/>
  <c r="J64" i="1" s="1"/>
  <c r="K64" i="1" s="1"/>
  <c r="L64" i="1" s="1"/>
  <c r="M64" i="1" s="1"/>
  <c r="N64" i="1" s="1"/>
  <c r="O64" i="1" s="1"/>
  <c r="P64" i="1" s="1"/>
  <c r="Q64" i="1" s="1"/>
  <c r="R64" i="1" s="1"/>
  <c r="S64" i="1" s="1"/>
  <c r="T64" i="1" s="1"/>
  <c r="U64" i="1" s="1"/>
  <c r="V64" i="1" s="1"/>
  <c r="W64" i="1" s="1"/>
  <c r="X64" i="1" s="1"/>
  <c r="Y64" i="1" s="1"/>
  <c r="Z64" i="1" s="1"/>
  <c r="AA64" i="1" s="1"/>
  <c r="AB64" i="1" s="1"/>
  <c r="AC64" i="1" s="1"/>
  <c r="AD64" i="1" s="1"/>
  <c r="AE64" i="1" s="1"/>
  <c r="AF64" i="1" s="1"/>
  <c r="AG64" i="1" s="1"/>
  <c r="AH64" i="1" s="1"/>
  <c r="AI64" i="1" s="1"/>
  <c r="AJ64" i="1" s="1"/>
  <c r="I36" i="12"/>
  <c r="G61" i="1"/>
  <c r="G62" i="1"/>
  <c r="H62" i="1" s="1"/>
  <c r="I62" i="1" s="1"/>
  <c r="J62" i="1" s="1"/>
  <c r="K62" i="1" s="1"/>
  <c r="L62" i="1" s="1"/>
  <c r="M62" i="1" s="1"/>
  <c r="N62" i="1" s="1"/>
  <c r="O62" i="1" s="1"/>
  <c r="P62" i="1" s="1"/>
  <c r="Q62" i="1" s="1"/>
  <c r="R62" i="1" s="1"/>
  <c r="S62" i="1" s="1"/>
  <c r="T62" i="1" s="1"/>
  <c r="U62" i="1" s="1"/>
  <c r="V62" i="1" s="1"/>
  <c r="W62" i="1" s="1"/>
  <c r="X62" i="1" s="1"/>
  <c r="Y62" i="1" s="1"/>
  <c r="Z62" i="1" s="1"/>
  <c r="AA62" i="1" s="1"/>
  <c r="AB62" i="1" s="1"/>
  <c r="AC62" i="1" s="1"/>
  <c r="AD62" i="1" s="1"/>
  <c r="AE62" i="1" s="1"/>
  <c r="AF62" i="1" s="1"/>
  <c r="AG62" i="1" s="1"/>
  <c r="AH62" i="1" s="1"/>
  <c r="AI62" i="1" s="1"/>
  <c r="AJ62" i="1" s="1"/>
  <c r="I37" i="12"/>
  <c r="G69" i="1"/>
  <c r="H69" i="1" s="1"/>
  <c r="I69" i="1" s="1"/>
  <c r="J69" i="1" s="1"/>
  <c r="K69" i="1" s="1"/>
  <c r="L69" i="1" s="1"/>
  <c r="M69" i="1" s="1"/>
  <c r="N69" i="1" s="1"/>
  <c r="O69" i="1" s="1"/>
  <c r="P69" i="1" s="1"/>
  <c r="Q69" i="1" s="1"/>
  <c r="R69" i="1" s="1"/>
  <c r="S69" i="1" s="1"/>
  <c r="T69" i="1" s="1"/>
  <c r="U69" i="1" s="1"/>
  <c r="V69" i="1" s="1"/>
  <c r="W69" i="1" s="1"/>
  <c r="X69" i="1" s="1"/>
  <c r="Y69" i="1" s="1"/>
  <c r="Z69" i="1" s="1"/>
  <c r="AA69" i="1" s="1"/>
  <c r="AB69" i="1" s="1"/>
  <c r="AC69" i="1" s="1"/>
  <c r="AD69" i="1" s="1"/>
  <c r="AE69" i="1" s="1"/>
  <c r="AF69" i="1" s="1"/>
  <c r="AG69" i="1" s="1"/>
  <c r="AH69" i="1" s="1"/>
  <c r="AI69" i="1" s="1"/>
  <c r="AJ69" i="1" s="1"/>
  <c r="I44" i="12"/>
  <c r="J44" i="12" s="1"/>
  <c r="G77" i="1"/>
  <c r="H77" i="1" s="1"/>
  <c r="I77" i="1" s="1"/>
  <c r="J77" i="1" s="1"/>
  <c r="K77" i="1" s="1"/>
  <c r="L77" i="1" s="1"/>
  <c r="M77" i="1" s="1"/>
  <c r="N77" i="1" s="1"/>
  <c r="O77" i="1" s="1"/>
  <c r="P77" i="1" s="1"/>
  <c r="Q77" i="1" s="1"/>
  <c r="R77" i="1" s="1"/>
  <c r="S77" i="1" s="1"/>
  <c r="T77" i="1" s="1"/>
  <c r="U77" i="1" s="1"/>
  <c r="V77" i="1" s="1"/>
  <c r="W77" i="1" s="1"/>
  <c r="X77" i="1" s="1"/>
  <c r="Y77" i="1" s="1"/>
  <c r="Z77" i="1" s="1"/>
  <c r="AA77" i="1" s="1"/>
  <c r="AB77" i="1" s="1"/>
  <c r="AC77" i="1" s="1"/>
  <c r="AD77" i="1" s="1"/>
  <c r="AE77" i="1" s="1"/>
  <c r="AF77" i="1" s="1"/>
  <c r="AG77" i="1" s="1"/>
  <c r="AH77" i="1" s="1"/>
  <c r="AI77" i="1" s="1"/>
  <c r="AJ77" i="1" s="1"/>
  <c r="G60" i="1"/>
  <c r="I35" i="12"/>
  <c r="G63" i="1"/>
  <c r="H63" i="1" s="1"/>
  <c r="I63" i="1" s="1"/>
  <c r="J63" i="1" s="1"/>
  <c r="K63" i="1" s="1"/>
  <c r="L63" i="1" s="1"/>
  <c r="M63" i="1" s="1"/>
  <c r="N63" i="1" s="1"/>
  <c r="O63" i="1" s="1"/>
  <c r="P63" i="1" s="1"/>
  <c r="Q63" i="1" s="1"/>
  <c r="R63" i="1" s="1"/>
  <c r="S63" i="1" s="1"/>
  <c r="T63" i="1" s="1"/>
  <c r="U63" i="1" s="1"/>
  <c r="V63" i="1" s="1"/>
  <c r="W63" i="1" s="1"/>
  <c r="X63" i="1" s="1"/>
  <c r="Y63" i="1" s="1"/>
  <c r="Z63" i="1" s="1"/>
  <c r="AA63" i="1" s="1"/>
  <c r="AB63" i="1" s="1"/>
  <c r="AC63" i="1" s="1"/>
  <c r="AD63" i="1" s="1"/>
  <c r="AE63" i="1" s="1"/>
  <c r="AF63" i="1" s="1"/>
  <c r="AG63" i="1" s="1"/>
  <c r="AH63" i="1" s="1"/>
  <c r="AI63" i="1" s="1"/>
  <c r="AJ63" i="1" s="1"/>
  <c r="I38" i="12"/>
  <c r="J17" i="12" l="1"/>
  <c r="I84" i="12"/>
  <c r="B48" i="1"/>
  <c r="I19" i="12"/>
  <c r="G48" i="1"/>
  <c r="F51" i="1"/>
  <c r="I44" i="1"/>
  <c r="H61" i="1"/>
  <c r="I61" i="1" s="1"/>
  <c r="J61" i="1" s="1"/>
  <c r="K61" i="1" s="1"/>
  <c r="L61" i="1" s="1"/>
  <c r="M61" i="1" s="1"/>
  <c r="N61" i="1" s="1"/>
  <c r="O61" i="1" s="1"/>
  <c r="P61" i="1" s="1"/>
  <c r="Q61" i="1" s="1"/>
  <c r="R61" i="1" s="1"/>
  <c r="S61" i="1" s="1"/>
  <c r="T61" i="1" s="1"/>
  <c r="U61" i="1" s="1"/>
  <c r="V61" i="1" s="1"/>
  <c r="W61" i="1" s="1"/>
  <c r="X61" i="1" s="1"/>
  <c r="Y61" i="1" s="1"/>
  <c r="Z61" i="1" s="1"/>
  <c r="AA61" i="1" s="1"/>
  <c r="AB61" i="1" s="1"/>
  <c r="AC61" i="1" s="1"/>
  <c r="AD61" i="1" s="1"/>
  <c r="AE61" i="1" s="1"/>
  <c r="AF61" i="1" s="1"/>
  <c r="AG61" i="1" s="1"/>
  <c r="AH61" i="1" s="1"/>
  <c r="AI61" i="1" s="1"/>
  <c r="AJ61" i="1" s="1"/>
  <c r="J39" i="12"/>
  <c r="J36" i="12"/>
  <c r="I79" i="12"/>
  <c r="I103" i="12"/>
  <c r="I91" i="12"/>
  <c r="J38" i="12"/>
  <c r="I73" i="12"/>
  <c r="J35" i="12"/>
  <c r="I67" i="12"/>
  <c r="H60" i="1"/>
  <c r="I85" i="12"/>
  <c r="J37" i="12"/>
  <c r="B51" i="1" l="1"/>
  <c r="E51" i="1"/>
  <c r="F54" i="1"/>
  <c r="H48" i="1"/>
  <c r="G51" i="1"/>
  <c r="G54" i="1" s="1"/>
  <c r="I102" i="12"/>
  <c r="I104" i="12" s="1"/>
  <c r="I96" i="12"/>
  <c r="J19" i="12"/>
  <c r="I21" i="12"/>
  <c r="I66" i="12"/>
  <c r="I69" i="12" s="1"/>
  <c r="H55" i="12"/>
  <c r="J44" i="1"/>
  <c r="I80" i="12"/>
  <c r="I81" i="12"/>
  <c r="I60" i="1"/>
  <c r="I75" i="12"/>
  <c r="I74" i="12"/>
  <c r="I93" i="12"/>
  <c r="I92" i="12"/>
  <c r="I87" i="12"/>
  <c r="I86" i="12"/>
  <c r="J21" i="12" l="1"/>
  <c r="I26" i="12"/>
  <c r="J26" i="12" s="1"/>
  <c r="I105" i="12"/>
  <c r="I99" i="12"/>
  <c r="I98" i="12"/>
  <c r="G53" i="1"/>
  <c r="G80" i="1"/>
  <c r="G81" i="1" s="1"/>
  <c r="F4" i="7"/>
  <c r="I48" i="1"/>
  <c r="H51" i="1"/>
  <c r="H54" i="1" s="1"/>
  <c r="I68" i="12"/>
  <c r="E4" i="7"/>
  <c r="F80" i="1"/>
  <c r="F53" i="1"/>
  <c r="E53" i="1"/>
  <c r="E54" i="1" s="1"/>
  <c r="J65" i="11"/>
  <c r="H43" i="12" s="1"/>
  <c r="H56" i="12" s="1"/>
  <c r="H61" i="12" s="1"/>
  <c r="B54" i="1"/>
  <c r="K44" i="1"/>
  <c r="J60" i="1"/>
  <c r="G82" i="1" l="1"/>
  <c r="G84" i="1"/>
  <c r="F5" i="7"/>
  <c r="F6" i="7" s="1"/>
  <c r="F81" i="1"/>
  <c r="I55" i="12"/>
  <c r="E80" i="1"/>
  <c r="B80" i="1" s="1"/>
  <c r="H80" i="1"/>
  <c r="H81" i="1" s="1"/>
  <c r="H84" i="1" s="1"/>
  <c r="H86" i="1" s="1"/>
  <c r="G4" i="7"/>
  <c r="H53" i="1"/>
  <c r="J48" i="1"/>
  <c r="I51" i="1"/>
  <c r="I54" i="1" s="1"/>
  <c r="L44" i="1"/>
  <c r="K60" i="1"/>
  <c r="K48" i="1" l="1"/>
  <c r="J51" i="1"/>
  <c r="J54" i="1" s="1"/>
  <c r="I56" i="12"/>
  <c r="J55" i="12"/>
  <c r="I53" i="1"/>
  <c r="I80" i="1"/>
  <c r="I81" i="1" s="1"/>
  <c r="I84" i="1" s="1"/>
  <c r="H4" i="7"/>
  <c r="E81" i="1"/>
  <c r="F84" i="1"/>
  <c r="F82" i="1"/>
  <c r="E5" i="7"/>
  <c r="E6" i="7" s="1"/>
  <c r="D164" i="1"/>
  <c r="H99" i="1"/>
  <c r="G86" i="1"/>
  <c r="G100" i="1"/>
  <c r="G99" i="1"/>
  <c r="H82" i="1"/>
  <c r="G5" i="7"/>
  <c r="G6" i="7" s="1"/>
  <c r="H100" i="1"/>
  <c r="F11" i="7"/>
  <c r="F14" i="7" s="1"/>
  <c r="F7" i="7"/>
  <c r="M44" i="1"/>
  <c r="H263" i="1"/>
  <c r="H312" i="1"/>
  <c r="H88" i="1"/>
  <c r="H142" i="1"/>
  <c r="H105" i="1"/>
  <c r="H193" i="1"/>
  <c r="H103" i="1"/>
  <c r="L60" i="1"/>
  <c r="I99" i="1" l="1"/>
  <c r="I100" i="1"/>
  <c r="I86" i="1"/>
  <c r="I312" i="1" s="1"/>
  <c r="E82" i="1"/>
  <c r="B81" i="1"/>
  <c r="E84" i="1"/>
  <c r="E86" i="1" s="1"/>
  <c r="B86" i="1" s="1"/>
  <c r="G312" i="1"/>
  <c r="G103" i="1"/>
  <c r="G105" i="1"/>
  <c r="G263" i="1"/>
  <c r="G193" i="1"/>
  <c r="G88" i="1"/>
  <c r="G142" i="1"/>
  <c r="H5" i="7"/>
  <c r="H6" i="7" s="1"/>
  <c r="I82" i="1"/>
  <c r="G11" i="7"/>
  <c r="G14" i="7" s="1"/>
  <c r="G7" i="7"/>
  <c r="E11" i="7"/>
  <c r="E14" i="7" s="1"/>
  <c r="E7" i="7"/>
  <c r="F99" i="1"/>
  <c r="F86" i="1"/>
  <c r="G89" i="1" s="1"/>
  <c r="F100" i="1"/>
  <c r="I4" i="7"/>
  <c r="J80" i="1"/>
  <c r="J81" i="1" s="1"/>
  <c r="J53" i="1"/>
  <c r="E164" i="1"/>
  <c r="D165" i="1"/>
  <c r="E165" i="1" s="1"/>
  <c r="E166" i="1" s="1"/>
  <c r="I61" i="12"/>
  <c r="J61" i="12" s="1"/>
  <c r="J56" i="12"/>
  <c r="I58" i="12"/>
  <c r="L48" i="1"/>
  <c r="K51" i="1"/>
  <c r="K54" i="1" s="1"/>
  <c r="N44" i="1"/>
  <c r="M60" i="1"/>
  <c r="H196" i="1"/>
  <c r="H197" i="1" s="1"/>
  <c r="H214" i="1"/>
  <c r="H234" i="1" s="1"/>
  <c r="H202" i="1"/>
  <c r="H207" i="1"/>
  <c r="H226" i="1"/>
  <c r="H324" i="1"/>
  <c r="H275" i="1"/>
  <c r="H104" i="1"/>
  <c r="E26" i="1" s="1"/>
  <c r="H277" i="1"/>
  <c r="H285" i="1" s="1"/>
  <c r="H228" i="1"/>
  <c r="H116" i="1"/>
  <c r="H326" i="1"/>
  <c r="H334" i="1" s="1"/>
  <c r="I103" i="1" l="1"/>
  <c r="J94" i="1" s="1"/>
  <c r="I142" i="1"/>
  <c r="I105" i="1"/>
  <c r="I277" i="1" s="1"/>
  <c r="I193" i="1"/>
  <c r="I207" i="1" s="1"/>
  <c r="I88" i="1"/>
  <c r="I263" i="1"/>
  <c r="M48" i="1"/>
  <c r="L51" i="1"/>
  <c r="L54" i="1" s="1"/>
  <c r="L80" i="1" s="1"/>
  <c r="L81" i="1" s="1"/>
  <c r="L84" i="1" s="1"/>
  <c r="L86" i="1" s="1"/>
  <c r="D7" i="1"/>
  <c r="F193" i="1"/>
  <c r="F142" i="1"/>
  <c r="F312" i="1"/>
  <c r="D88" i="2"/>
  <c r="D89" i="2" s="1"/>
  <c r="H89" i="1"/>
  <c r="F263" i="1"/>
  <c r="F89" i="1"/>
  <c r="F88" i="1"/>
  <c r="F105" i="1"/>
  <c r="D8" i="1"/>
  <c r="F103" i="1"/>
  <c r="G326" i="1"/>
  <c r="G334" i="1" s="1"/>
  <c r="G116" i="1"/>
  <c r="G228" i="1"/>
  <c r="G236" i="1" s="1"/>
  <c r="G277" i="1"/>
  <c r="G285" i="1" s="1"/>
  <c r="G226" i="1"/>
  <c r="G275" i="1"/>
  <c r="G104" i="1"/>
  <c r="G324" i="1"/>
  <c r="K53" i="1"/>
  <c r="K80" i="1"/>
  <c r="K81" i="1" s="1"/>
  <c r="J4" i="7"/>
  <c r="J82" i="1"/>
  <c r="J84" i="1"/>
  <c r="J86" i="1" s="1"/>
  <c r="J193" i="1" s="1"/>
  <c r="I5" i="7"/>
  <c r="I6" i="7" s="1"/>
  <c r="I7" i="7" s="1"/>
  <c r="H11" i="7"/>
  <c r="H7" i="7"/>
  <c r="G197" i="1"/>
  <c r="G214" i="1"/>
  <c r="G202" i="1"/>
  <c r="G207" i="1"/>
  <c r="I89" i="1"/>
  <c r="J267" i="1"/>
  <c r="I92" i="1"/>
  <c r="J97" i="1"/>
  <c r="I114" i="1"/>
  <c r="J316" i="1"/>
  <c r="O44" i="1"/>
  <c r="H236" i="1"/>
  <c r="N60" i="1"/>
  <c r="H117" i="1"/>
  <c r="I39" i="19"/>
  <c r="I275" i="1" l="1"/>
  <c r="I104" i="1"/>
  <c r="I324" i="1"/>
  <c r="I326" i="1"/>
  <c r="I202" i="1"/>
  <c r="J88" i="1"/>
  <c r="C23" i="1" s="1"/>
  <c r="J89" i="1"/>
  <c r="H39" i="19"/>
  <c r="G117" i="1"/>
  <c r="J142" i="1"/>
  <c r="J5" i="7"/>
  <c r="J6" i="7" s="1"/>
  <c r="J7" i="7" s="1"/>
  <c r="K82" i="1"/>
  <c r="B8" i="7"/>
  <c r="H9" i="8"/>
  <c r="N48" i="1"/>
  <c r="M51" i="1"/>
  <c r="M54" i="1" s="1"/>
  <c r="M80" i="1" s="1"/>
  <c r="M81" i="1" s="1"/>
  <c r="M84" i="1" s="1"/>
  <c r="M86" i="1" s="1"/>
  <c r="F104" i="1"/>
  <c r="F226" i="1"/>
  <c r="F275" i="1"/>
  <c r="F324" i="1"/>
  <c r="F116" i="1"/>
  <c r="F277" i="1"/>
  <c r="F285" i="1" s="1"/>
  <c r="F293" i="1" s="1"/>
  <c r="F326" i="1"/>
  <c r="F334" i="1" s="1"/>
  <c r="F342" i="1" s="1"/>
  <c r="F228" i="1"/>
  <c r="F236" i="1" s="1"/>
  <c r="F244" i="1" s="1"/>
  <c r="F207" i="1"/>
  <c r="F202" i="1"/>
  <c r="F214" i="1"/>
  <c r="F197" i="1"/>
  <c r="E198" i="1" s="1"/>
  <c r="D170" i="1" s="1"/>
  <c r="E20" i="1" s="1"/>
  <c r="J103" i="1"/>
  <c r="J104" i="1" s="1"/>
  <c r="F26" i="1" s="1"/>
  <c r="J312" i="1"/>
  <c r="J263" i="1"/>
  <c r="J283" i="1" s="1"/>
  <c r="K84" i="1"/>
  <c r="K86" i="1" s="1"/>
  <c r="K312" i="1" s="1"/>
  <c r="I331" i="1"/>
  <c r="H13" i="7"/>
  <c r="H14" i="7" s="1"/>
  <c r="I282" i="1"/>
  <c r="I285" i="1" s="1"/>
  <c r="J270" i="1"/>
  <c r="J319" i="1"/>
  <c r="P44" i="1"/>
  <c r="O60" i="1"/>
  <c r="L103" i="1"/>
  <c r="L88" i="1"/>
  <c r="L312" i="1"/>
  <c r="L193" i="1"/>
  <c r="L207" i="1" s="1"/>
  <c r="J201" i="1"/>
  <c r="J202" i="1" s="1"/>
  <c r="J207" i="1"/>
  <c r="I41" i="19"/>
  <c r="I42" i="19" s="1"/>
  <c r="I40" i="19"/>
  <c r="I334" i="1" l="1"/>
  <c r="B34" i="8"/>
  <c r="C34" i="8" s="1"/>
  <c r="J324" i="1"/>
  <c r="J275" i="1"/>
  <c r="E203" i="1"/>
  <c r="E170" i="1" s="1"/>
  <c r="F20" i="1" s="1"/>
  <c r="K193" i="1"/>
  <c r="K207" i="1" s="1"/>
  <c r="O48" i="1"/>
  <c r="N51" i="1"/>
  <c r="N54" i="1" s="1"/>
  <c r="N80" i="1" s="1"/>
  <c r="N81" i="1" s="1"/>
  <c r="N84" i="1" s="1"/>
  <c r="N86" i="1" s="1"/>
  <c r="F344" i="1"/>
  <c r="F343" i="1"/>
  <c r="G340" i="1" s="1"/>
  <c r="G341" i="1" s="1"/>
  <c r="G342" i="1" s="1"/>
  <c r="E238" i="1"/>
  <c r="D171" i="1" s="1"/>
  <c r="E21" i="1" s="1"/>
  <c r="F246" i="1"/>
  <c r="F245" i="1"/>
  <c r="G39" i="19"/>
  <c r="F124" i="1"/>
  <c r="F125" i="1" s="1"/>
  <c r="G122" i="1" s="1"/>
  <c r="G123" i="1" s="1"/>
  <c r="G124" i="1" s="1"/>
  <c r="G126" i="1" s="1"/>
  <c r="G128" i="1" s="1"/>
  <c r="G131" i="1" s="1"/>
  <c r="F117" i="1"/>
  <c r="K88" i="1"/>
  <c r="K103" i="1"/>
  <c r="K104" i="1" s="1"/>
  <c r="L89" i="1"/>
  <c r="F295" i="1"/>
  <c r="F294" i="1"/>
  <c r="G291" i="1" s="1"/>
  <c r="K89" i="1"/>
  <c r="H41" i="19"/>
  <c r="H42" i="19" s="1"/>
  <c r="H40" i="19"/>
  <c r="Q44" i="1"/>
  <c r="P60" i="1"/>
  <c r="M193" i="1"/>
  <c r="M207" i="1" s="1"/>
  <c r="M312" i="1"/>
  <c r="M103" i="1"/>
  <c r="M88" i="1"/>
  <c r="M89" i="1"/>
  <c r="I45" i="19"/>
  <c r="I46" i="19" s="1"/>
  <c r="I43" i="19"/>
  <c r="L104" i="1"/>
  <c r="L324" i="1"/>
  <c r="G242" i="1" l="1"/>
  <c r="G243" i="1" s="1"/>
  <c r="G244" i="1" s="1"/>
  <c r="G246" i="1" s="1"/>
  <c r="G248" i="1" s="1"/>
  <c r="G251" i="1" s="1"/>
  <c r="G253" i="1" s="1"/>
  <c r="F126" i="1"/>
  <c r="F128" i="1" s="1"/>
  <c r="F131" i="1" s="1"/>
  <c r="F134" i="1" s="1"/>
  <c r="K324" i="1"/>
  <c r="H45" i="19"/>
  <c r="H46" i="19" s="1"/>
  <c r="H43" i="19"/>
  <c r="F297" i="1"/>
  <c r="F300" i="1" s="1"/>
  <c r="F302" i="1" s="1"/>
  <c r="F298" i="1"/>
  <c r="F301" i="1" s="1"/>
  <c r="G19" i="19"/>
  <c r="G41" i="19"/>
  <c r="G42" i="19" s="1"/>
  <c r="G40" i="19"/>
  <c r="F248" i="1"/>
  <c r="F251" i="1" s="1"/>
  <c r="F253" i="1" s="1"/>
  <c r="F249" i="1"/>
  <c r="F252" i="1" s="1"/>
  <c r="G292" i="1"/>
  <c r="G293" i="1" s="1"/>
  <c r="G295" i="1" s="1"/>
  <c r="C25" i="1"/>
  <c r="H118" i="1"/>
  <c r="G118" i="1"/>
  <c r="G343" i="1"/>
  <c r="H340" i="1" s="1"/>
  <c r="G344" i="1"/>
  <c r="F347" i="1"/>
  <c r="F350" i="1" s="1"/>
  <c r="F346" i="1"/>
  <c r="F349" i="1" s="1"/>
  <c r="F351" i="1" s="1"/>
  <c r="P48" i="1"/>
  <c r="O51" i="1"/>
  <c r="O54" i="1" s="1"/>
  <c r="O80" i="1" s="1"/>
  <c r="O81" i="1" s="1"/>
  <c r="O84" i="1" s="1"/>
  <c r="O86" i="1" s="1"/>
  <c r="J95" i="1"/>
  <c r="I112" i="1"/>
  <c r="I116" i="1" s="1"/>
  <c r="G125" i="1"/>
  <c r="H122" i="1" s="1"/>
  <c r="H123" i="1" s="1"/>
  <c r="H124" i="1" s="1"/>
  <c r="H126" i="1" s="1"/>
  <c r="G129" i="1"/>
  <c r="G132" i="1" s="1"/>
  <c r="G133" i="1" s="1"/>
  <c r="R44" i="1"/>
  <c r="I47" i="19"/>
  <c r="I64" i="19" s="1"/>
  <c r="N193" i="1"/>
  <c r="N207" i="1" s="1"/>
  <c r="N312" i="1"/>
  <c r="N103" i="1"/>
  <c r="Q60" i="1"/>
  <c r="M324" i="1"/>
  <c r="M104" i="1"/>
  <c r="G134" i="1"/>
  <c r="G144" i="1"/>
  <c r="F16" i="7"/>
  <c r="E16" i="7" l="1"/>
  <c r="E17" i="7" s="1"/>
  <c r="E46" i="8" s="1"/>
  <c r="E45" i="8" s="1"/>
  <c r="G245" i="1"/>
  <c r="F144" i="1"/>
  <c r="G249" i="1"/>
  <c r="G252" i="1" s="1"/>
  <c r="F129" i="1"/>
  <c r="F132" i="1" s="1"/>
  <c r="F133" i="1" s="1"/>
  <c r="G294" i="1"/>
  <c r="H291" i="1" s="1"/>
  <c r="H292" i="1" s="1"/>
  <c r="H293" i="1" s="1"/>
  <c r="H295" i="1" s="1"/>
  <c r="H47" i="19"/>
  <c r="H64" i="19" s="1"/>
  <c r="H341" i="1"/>
  <c r="H342" i="1" s="1"/>
  <c r="H344" i="1" s="1"/>
  <c r="Q48" i="1"/>
  <c r="P51" i="1"/>
  <c r="P54" i="1" s="1"/>
  <c r="P80" i="1" s="1"/>
  <c r="P81" i="1" s="1"/>
  <c r="P84" i="1" s="1"/>
  <c r="P86" i="1" s="1"/>
  <c r="G346" i="1"/>
  <c r="G349" i="1" s="1"/>
  <c r="G351" i="1" s="1"/>
  <c r="G347" i="1"/>
  <c r="G350" i="1" s="1"/>
  <c r="G297" i="1"/>
  <c r="G300" i="1" s="1"/>
  <c r="G302" i="1" s="1"/>
  <c r="G298" i="1"/>
  <c r="G301" i="1" s="1"/>
  <c r="G43" i="19"/>
  <c r="G45" i="19"/>
  <c r="G46" i="19" s="1"/>
  <c r="G31" i="19"/>
  <c r="H19" i="19"/>
  <c r="I117" i="1"/>
  <c r="I118" i="1" s="1"/>
  <c r="J39" i="19"/>
  <c r="J96" i="1"/>
  <c r="J317" i="1"/>
  <c r="J268" i="1"/>
  <c r="I9" i="7"/>
  <c r="I11" i="7" s="1"/>
  <c r="J99" i="1"/>
  <c r="J100" i="1"/>
  <c r="J105" i="1"/>
  <c r="H242" i="1"/>
  <c r="H243" i="1" s="1"/>
  <c r="H244" i="1" s="1"/>
  <c r="H245" i="1" s="1"/>
  <c r="H125" i="1"/>
  <c r="I122" i="1" s="1"/>
  <c r="I123" i="1" s="1"/>
  <c r="S44" i="1"/>
  <c r="F17" i="7"/>
  <c r="F46" i="8" s="1"/>
  <c r="F45" i="8" s="1"/>
  <c r="G135" i="1"/>
  <c r="O103" i="1"/>
  <c r="O193" i="1"/>
  <c r="O312" i="1"/>
  <c r="O332" i="1" s="1"/>
  <c r="N104" i="1"/>
  <c r="N324" i="1"/>
  <c r="H129" i="1"/>
  <c r="H132" i="1" s="1"/>
  <c r="H128" i="1"/>
  <c r="H131" i="1" s="1"/>
  <c r="R60" i="1"/>
  <c r="H343" i="1" l="1"/>
  <c r="I340" i="1" s="1"/>
  <c r="I341" i="1" s="1"/>
  <c r="I342" i="1" s="1"/>
  <c r="I344" i="1" s="1"/>
  <c r="I19" i="19"/>
  <c r="I31" i="19" s="1"/>
  <c r="H31" i="19"/>
  <c r="G47" i="19"/>
  <c r="H294" i="1"/>
  <c r="I291" i="1" s="1"/>
  <c r="H297" i="1"/>
  <c r="H300" i="1" s="1"/>
  <c r="H302" i="1" s="1"/>
  <c r="H298" i="1"/>
  <c r="H301" i="1" s="1"/>
  <c r="R48" i="1"/>
  <c r="Q51" i="1"/>
  <c r="Q54" i="1" s="1"/>
  <c r="Q80" i="1" s="1"/>
  <c r="Q81" i="1" s="1"/>
  <c r="Q84" i="1" s="1"/>
  <c r="Q86" i="1" s="1"/>
  <c r="H347" i="1"/>
  <c r="H350" i="1" s="1"/>
  <c r="H346" i="1"/>
  <c r="H349" i="1" s="1"/>
  <c r="H351" i="1" s="1"/>
  <c r="J277" i="1"/>
  <c r="J326" i="1"/>
  <c r="J318" i="1"/>
  <c r="J98" i="1"/>
  <c r="J269" i="1"/>
  <c r="J41" i="19"/>
  <c r="J42" i="19" s="1"/>
  <c r="J40" i="19"/>
  <c r="H246" i="1"/>
  <c r="H248" i="1" s="1"/>
  <c r="H251" i="1" s="1"/>
  <c r="H253" i="1" s="1"/>
  <c r="T44" i="1"/>
  <c r="I124" i="1"/>
  <c r="I125" i="1" s="1"/>
  <c r="J122" i="1" s="1"/>
  <c r="P103" i="1"/>
  <c r="S60" i="1"/>
  <c r="O206" i="1"/>
  <c r="O207" i="1" s="1"/>
  <c r="H26" i="1"/>
  <c r="I26" i="1" s="1"/>
  <c r="O104" i="1"/>
  <c r="G26" i="1" s="1"/>
  <c r="O324" i="1"/>
  <c r="P42" i="19"/>
  <c r="P43" i="19" s="1"/>
  <c r="P45" i="19"/>
  <c r="P46" i="19"/>
  <c r="H133" i="1"/>
  <c r="H134" i="1"/>
  <c r="H144" i="1"/>
  <c r="G16" i="7"/>
  <c r="I343" i="1" l="1"/>
  <c r="J340" i="1" s="1"/>
  <c r="J341" i="1" s="1"/>
  <c r="S48" i="1"/>
  <c r="R51" i="1"/>
  <c r="R54" i="1" s="1"/>
  <c r="R80" i="1" s="1"/>
  <c r="R81" i="1" s="1"/>
  <c r="R84" i="1" s="1"/>
  <c r="R86" i="1" s="1"/>
  <c r="I347" i="1"/>
  <c r="I350" i="1" s="1"/>
  <c r="I346" i="1"/>
  <c r="I349" i="1" s="1"/>
  <c r="I351" i="1" s="1"/>
  <c r="I292" i="1"/>
  <c r="I293" i="1" s="1"/>
  <c r="I295" i="1" s="1"/>
  <c r="G56" i="19"/>
  <c r="G32" i="19" s="1"/>
  <c r="G76" i="19"/>
  <c r="G64" i="19"/>
  <c r="G60" i="19"/>
  <c r="G57" i="19"/>
  <c r="G65" i="19" s="1"/>
  <c r="J19" i="19"/>
  <c r="J31" i="19" s="1"/>
  <c r="J43" i="19"/>
  <c r="J45" i="19"/>
  <c r="J46" i="19" s="1"/>
  <c r="K93" i="1"/>
  <c r="K94" i="1" s="1"/>
  <c r="J271" i="1"/>
  <c r="J284" i="1" s="1"/>
  <c r="J285" i="1" s="1"/>
  <c r="J320" i="1"/>
  <c r="H249" i="1"/>
  <c r="H252" i="1" s="1"/>
  <c r="D175" i="1" s="1"/>
  <c r="E25" i="1" s="1"/>
  <c r="U44" i="1"/>
  <c r="E208" i="1"/>
  <c r="F170" i="1" s="1"/>
  <c r="G20" i="1" s="1"/>
  <c r="E257" i="1"/>
  <c r="D174" i="1" s="1"/>
  <c r="E24" i="1" s="1"/>
  <c r="E255" i="1"/>
  <c r="D172" i="1" s="1"/>
  <c r="E22" i="1" s="1"/>
  <c r="P104" i="1"/>
  <c r="I126" i="1"/>
  <c r="I128" i="1" s="1"/>
  <c r="I131" i="1" s="1"/>
  <c r="H135" i="1"/>
  <c r="G17" i="7"/>
  <c r="G46" i="8" s="1"/>
  <c r="G45" i="8" s="1"/>
  <c r="E256" i="1"/>
  <c r="D173" i="1" s="1"/>
  <c r="E23" i="1" s="1"/>
  <c r="J123" i="1"/>
  <c r="Q103" i="1"/>
  <c r="T60" i="1"/>
  <c r="I294" i="1" l="1"/>
  <c r="J291" i="1" s="1"/>
  <c r="J292" i="1" s="1"/>
  <c r="G89" i="19"/>
  <c r="G69" i="19"/>
  <c r="G70" i="19" s="1"/>
  <c r="G66" i="19"/>
  <c r="H62" i="19" s="1"/>
  <c r="G67" i="19"/>
  <c r="G77" i="19"/>
  <c r="G54" i="19"/>
  <c r="G22" i="19"/>
  <c r="G58" i="19"/>
  <c r="H53" i="19" s="1"/>
  <c r="G59" i="19"/>
  <c r="I297" i="1"/>
  <c r="I300" i="1" s="1"/>
  <c r="I302" i="1" s="1"/>
  <c r="I298" i="1"/>
  <c r="I301" i="1" s="1"/>
  <c r="T48" i="1"/>
  <c r="S51" i="1"/>
  <c r="S54" i="1" s="1"/>
  <c r="S80" i="1" s="1"/>
  <c r="S81" i="1" s="1"/>
  <c r="S84" i="1" s="1"/>
  <c r="S86" i="1" s="1"/>
  <c r="J92" i="1"/>
  <c r="K316" i="1"/>
  <c r="J114" i="1"/>
  <c r="J47" i="19"/>
  <c r="J64" i="19" s="1"/>
  <c r="K315" i="1"/>
  <c r="K97" i="1"/>
  <c r="E287" i="1"/>
  <c r="E171" i="1" s="1"/>
  <c r="F21" i="1" s="1"/>
  <c r="V44" i="1"/>
  <c r="Q104" i="1"/>
  <c r="I129" i="1"/>
  <c r="I132" i="1" s="1"/>
  <c r="I133" i="1" s="1"/>
  <c r="R103" i="1"/>
  <c r="R104" i="1" s="1"/>
  <c r="U60" i="1"/>
  <c r="I144" i="1"/>
  <c r="I134" i="1"/>
  <c r="H16" i="7"/>
  <c r="J293" i="1" l="1"/>
  <c r="J294" i="1" s="1"/>
  <c r="H55" i="19"/>
  <c r="H56" i="19"/>
  <c r="U48" i="1"/>
  <c r="T51" i="1"/>
  <c r="T54" i="1" s="1"/>
  <c r="T80" i="1" s="1"/>
  <c r="T81" i="1" s="1"/>
  <c r="T84" i="1" s="1"/>
  <c r="T86" i="1" s="1"/>
  <c r="H63" i="19"/>
  <c r="G78" i="19"/>
  <c r="G82" i="19" s="1"/>
  <c r="G91" i="19"/>
  <c r="G90" i="19"/>
  <c r="G96" i="19"/>
  <c r="J331" i="1"/>
  <c r="J334" i="1" s="1"/>
  <c r="J342" i="1" s="1"/>
  <c r="I13" i="7"/>
  <c r="I14" i="7" s="1"/>
  <c r="K319" i="1"/>
  <c r="K142" i="1"/>
  <c r="W44" i="1"/>
  <c r="H17" i="7"/>
  <c r="H46" i="8" s="1"/>
  <c r="H45" i="8" s="1"/>
  <c r="I135" i="1"/>
  <c r="V60" i="1"/>
  <c r="S103" i="1"/>
  <c r="S104" i="1" s="1"/>
  <c r="J295" i="1" l="1"/>
  <c r="J298" i="1" s="1"/>
  <c r="J301" i="1" s="1"/>
  <c r="E307" i="1" s="1"/>
  <c r="E175" i="1" s="1"/>
  <c r="F25" i="1" s="1"/>
  <c r="G79" i="19"/>
  <c r="H74" i="19" s="1"/>
  <c r="G92" i="19"/>
  <c r="G83" i="19"/>
  <c r="G84" i="19" s="1"/>
  <c r="G85" i="19" s="1"/>
  <c r="G80" i="19"/>
  <c r="V48" i="1"/>
  <c r="U51" i="1"/>
  <c r="U54" i="1" s="1"/>
  <c r="U80" i="1" s="1"/>
  <c r="U81" i="1" s="1"/>
  <c r="U84" i="1" s="1"/>
  <c r="U86" i="1" s="1"/>
  <c r="H32" i="19"/>
  <c r="H22" i="19"/>
  <c r="H57" i="19"/>
  <c r="H59" i="19" s="1"/>
  <c r="J344" i="1"/>
  <c r="J343" i="1"/>
  <c r="K340" i="1" s="1"/>
  <c r="K341" i="1" s="1"/>
  <c r="X44" i="1"/>
  <c r="T103" i="1"/>
  <c r="W60" i="1"/>
  <c r="J297" i="1" l="1"/>
  <c r="J300" i="1" s="1"/>
  <c r="J302" i="1" s="1"/>
  <c r="E305" i="1" s="1"/>
  <c r="E173" i="1" s="1"/>
  <c r="F23" i="1" s="1"/>
  <c r="G93" i="19"/>
  <c r="G97" i="19" s="1"/>
  <c r="G98" i="19" s="1"/>
  <c r="H58" i="19"/>
  <c r="I53" i="19" s="1"/>
  <c r="H65" i="19"/>
  <c r="H60" i="19"/>
  <c r="W48" i="1"/>
  <c r="V51" i="1"/>
  <c r="V54" i="1" s="1"/>
  <c r="V80" i="1" s="1"/>
  <c r="V81" i="1" s="1"/>
  <c r="V84" i="1" s="1"/>
  <c r="V86" i="1" s="1"/>
  <c r="H75" i="19"/>
  <c r="H81" i="19"/>
  <c r="H76" i="19"/>
  <c r="J347" i="1"/>
  <c r="J350" i="1" s="1"/>
  <c r="J346" i="1"/>
  <c r="J349" i="1" s="1"/>
  <c r="J351" i="1" s="1"/>
  <c r="Y44" i="1"/>
  <c r="T104" i="1"/>
  <c r="U103" i="1"/>
  <c r="U104" i="1" s="1"/>
  <c r="X60" i="1"/>
  <c r="E304" i="1" l="1"/>
  <c r="E172" i="1" s="1"/>
  <c r="F22" i="1" s="1"/>
  <c r="E306" i="1"/>
  <c r="E174" i="1" s="1"/>
  <c r="F24" i="1" s="1"/>
  <c r="G95" i="19"/>
  <c r="G94" i="19"/>
  <c r="H89" i="19" s="1"/>
  <c r="X48" i="1"/>
  <c r="W51" i="1"/>
  <c r="W54" i="1" s="1"/>
  <c r="W80" i="1" s="1"/>
  <c r="W81" i="1" s="1"/>
  <c r="W84" i="1" s="1"/>
  <c r="W86" i="1" s="1"/>
  <c r="G99" i="19"/>
  <c r="G100" i="19" s="1"/>
  <c r="G104" i="19" s="1"/>
  <c r="H77" i="19"/>
  <c r="H54" i="19"/>
  <c r="H67" i="19"/>
  <c r="H69" i="19"/>
  <c r="H70" i="19" s="1"/>
  <c r="H66" i="19"/>
  <c r="I62" i="19" s="1"/>
  <c r="I56" i="19"/>
  <c r="I55" i="19"/>
  <c r="I57" i="19" s="1"/>
  <c r="Z44" i="1"/>
  <c r="Y60" i="1"/>
  <c r="V103" i="1"/>
  <c r="V104" i="1" s="1"/>
  <c r="H78" i="19" l="1"/>
  <c r="H82" i="19" s="1"/>
  <c r="H83" i="19" s="1"/>
  <c r="H84" i="19" s="1"/>
  <c r="H85" i="19" s="1"/>
  <c r="I59" i="19"/>
  <c r="I60" i="19"/>
  <c r="I65" i="19"/>
  <c r="H90" i="19"/>
  <c r="H96" i="19"/>
  <c r="H91" i="19"/>
  <c r="G105" i="19"/>
  <c r="G21" i="19"/>
  <c r="Y48" i="1"/>
  <c r="X51" i="1"/>
  <c r="X54" i="1" s="1"/>
  <c r="X80" i="1" s="1"/>
  <c r="X81" i="1" s="1"/>
  <c r="X84" i="1" s="1"/>
  <c r="X86" i="1" s="1"/>
  <c r="I58" i="19"/>
  <c r="J53" i="19" s="1"/>
  <c r="I63" i="19"/>
  <c r="I32" i="19"/>
  <c r="I22" i="19"/>
  <c r="AA44" i="1"/>
  <c r="Z60" i="1"/>
  <c r="W103" i="1"/>
  <c r="W104" i="1" s="1"/>
  <c r="H79" i="19" l="1"/>
  <c r="I74" i="19" s="1"/>
  <c r="I81" i="19" s="1"/>
  <c r="H80" i="19"/>
  <c r="H92" i="19"/>
  <c r="H93" i="19" s="1"/>
  <c r="I66" i="19"/>
  <c r="J62" i="19" s="1"/>
  <c r="J63" i="19" s="1"/>
  <c r="Z48" i="1"/>
  <c r="Y51" i="1"/>
  <c r="Y54" i="1" s="1"/>
  <c r="Y80" i="1" s="1"/>
  <c r="Y81" i="1" s="1"/>
  <c r="Y84" i="1" s="1"/>
  <c r="Y86" i="1" s="1"/>
  <c r="J55" i="19"/>
  <c r="J57" i="19" s="1"/>
  <c r="J56" i="19"/>
  <c r="G24" i="19"/>
  <c r="G29" i="19"/>
  <c r="I67" i="19"/>
  <c r="I69" i="19"/>
  <c r="I70" i="19" s="1"/>
  <c r="G106" i="19"/>
  <c r="G107" i="19" s="1"/>
  <c r="G28" i="19"/>
  <c r="I54" i="19"/>
  <c r="I77" i="19"/>
  <c r="AB44" i="1"/>
  <c r="X103" i="1"/>
  <c r="X104" i="1" s="1"/>
  <c r="AA60" i="1"/>
  <c r="I76" i="19" l="1"/>
  <c r="I75" i="19"/>
  <c r="I78" i="19" s="1"/>
  <c r="I82" i="19" s="1"/>
  <c r="I83" i="19" s="1"/>
  <c r="I84" i="19" s="1"/>
  <c r="I85" i="19" s="1"/>
  <c r="H97" i="19"/>
  <c r="H98" i="19" s="1"/>
  <c r="H99" i="19" s="1"/>
  <c r="H100" i="19" s="1"/>
  <c r="H104" i="19" s="1"/>
  <c r="H105" i="19" s="1"/>
  <c r="H28" i="19" s="1"/>
  <c r="H34" i="19" s="1"/>
  <c r="H95" i="19"/>
  <c r="H94" i="19"/>
  <c r="I89" i="19" s="1"/>
  <c r="I91" i="19" s="1"/>
  <c r="J60" i="19"/>
  <c r="J65" i="19"/>
  <c r="AA48" i="1"/>
  <c r="Z51" i="1"/>
  <c r="Z54" i="1" s="1"/>
  <c r="Z80" i="1" s="1"/>
  <c r="Z81" i="1" s="1"/>
  <c r="Z84" i="1" s="1"/>
  <c r="Z86" i="1" s="1"/>
  <c r="J58" i="19"/>
  <c r="K53" i="19" s="1"/>
  <c r="K55" i="19" s="1"/>
  <c r="G34" i="19"/>
  <c r="G30" i="19"/>
  <c r="J59" i="19"/>
  <c r="J22" i="19"/>
  <c r="J32" i="19"/>
  <c r="AC44" i="1"/>
  <c r="Y103" i="1"/>
  <c r="AB60" i="1"/>
  <c r="I90" i="19" l="1"/>
  <c r="I96" i="19"/>
  <c r="H106" i="19"/>
  <c r="H107" i="19" s="1"/>
  <c r="H21" i="19"/>
  <c r="I92" i="19"/>
  <c r="I80" i="19"/>
  <c r="I79" i="19"/>
  <c r="J74" i="19" s="1"/>
  <c r="J81" i="19" s="1"/>
  <c r="AB48" i="1"/>
  <c r="AA51" i="1"/>
  <c r="AA54" i="1" s="1"/>
  <c r="AA80" i="1" s="1"/>
  <c r="AA81" i="1" s="1"/>
  <c r="AA84" i="1" s="1"/>
  <c r="AA86" i="1" s="1"/>
  <c r="J67" i="19"/>
  <c r="J66" i="19"/>
  <c r="K62" i="19" s="1"/>
  <c r="K63" i="19" s="1"/>
  <c r="J69" i="19"/>
  <c r="J70" i="19" s="1"/>
  <c r="J54" i="19"/>
  <c r="J77" i="19"/>
  <c r="AD44" i="1"/>
  <c r="Y104" i="1"/>
  <c r="AC60" i="1"/>
  <c r="Z103" i="1"/>
  <c r="Z104" i="1" s="1"/>
  <c r="I93" i="19" l="1"/>
  <c r="I97" i="19" s="1"/>
  <c r="I98" i="19" s="1"/>
  <c r="H29" i="19"/>
  <c r="H30" i="19" s="1"/>
  <c r="H24" i="19"/>
  <c r="J76" i="19"/>
  <c r="J75" i="19"/>
  <c r="J78" i="19" s="1"/>
  <c r="AC48" i="1"/>
  <c r="AB51" i="1"/>
  <c r="AB54" i="1" s="1"/>
  <c r="AB80" i="1" s="1"/>
  <c r="AB81" i="1" s="1"/>
  <c r="AB84" i="1" s="1"/>
  <c r="AB86" i="1" s="1"/>
  <c r="AE44" i="1"/>
  <c r="AA103" i="1"/>
  <c r="AA104" i="1" s="1"/>
  <c r="AD60" i="1"/>
  <c r="I95" i="19" l="1"/>
  <c r="I94" i="19"/>
  <c r="J89" i="19" s="1"/>
  <c r="J91" i="19" s="1"/>
  <c r="I99" i="19"/>
  <c r="I100" i="19" s="1"/>
  <c r="I104" i="19" s="1"/>
  <c r="J82" i="19"/>
  <c r="J79" i="19"/>
  <c r="K74" i="19" s="1"/>
  <c r="K81" i="19" s="1"/>
  <c r="J80" i="19"/>
  <c r="AD48" i="1"/>
  <c r="AC51" i="1"/>
  <c r="AC54" i="1" s="1"/>
  <c r="AC80" i="1" s="1"/>
  <c r="AC81" i="1" s="1"/>
  <c r="AC84" i="1" s="1"/>
  <c r="AC86" i="1" s="1"/>
  <c r="AF44" i="1"/>
  <c r="AB103" i="1"/>
  <c r="AB104" i="1" s="1"/>
  <c r="AE60" i="1"/>
  <c r="J90" i="19" l="1"/>
  <c r="J96" i="19"/>
  <c r="K75" i="19"/>
  <c r="I105" i="19"/>
  <c r="I21" i="19"/>
  <c r="J83" i="19"/>
  <c r="J84" i="19" s="1"/>
  <c r="J85" i="19" s="1"/>
  <c r="J92" i="19"/>
  <c r="AE48" i="1"/>
  <c r="AD51" i="1"/>
  <c r="AD54" i="1" s="1"/>
  <c r="AD80" i="1" s="1"/>
  <c r="AD81" i="1" s="1"/>
  <c r="AD84" i="1" s="1"/>
  <c r="AD86" i="1" s="1"/>
  <c r="AG44" i="1"/>
  <c r="AC103" i="1"/>
  <c r="AC104" i="1" s="1"/>
  <c r="AF60" i="1"/>
  <c r="J93" i="19" l="1"/>
  <c r="J97" i="19" s="1"/>
  <c r="J98" i="19" s="1"/>
  <c r="I24" i="19"/>
  <c r="I29" i="19"/>
  <c r="I106" i="19"/>
  <c r="I107" i="19" s="1"/>
  <c r="I28" i="19"/>
  <c r="I34" i="19" s="1"/>
  <c r="AF48" i="1"/>
  <c r="AE51" i="1"/>
  <c r="AE54" i="1" s="1"/>
  <c r="AE80" i="1" s="1"/>
  <c r="AE81" i="1" s="1"/>
  <c r="AE84" i="1" s="1"/>
  <c r="AE86" i="1" s="1"/>
  <c r="AH44" i="1"/>
  <c r="AD103" i="1"/>
  <c r="AD104" i="1" s="1"/>
  <c r="AG60" i="1"/>
  <c r="J94" i="19" l="1"/>
  <c r="J95" i="19"/>
  <c r="I30" i="19"/>
  <c r="J99" i="19"/>
  <c r="J100" i="19" s="1"/>
  <c r="J104" i="19" s="1"/>
  <c r="AG48" i="1"/>
  <c r="AF51" i="1"/>
  <c r="AF54" i="1" s="1"/>
  <c r="AF80" i="1" s="1"/>
  <c r="AF81" i="1" s="1"/>
  <c r="AF84" i="1" s="1"/>
  <c r="AF86" i="1" s="1"/>
  <c r="AI44" i="1"/>
  <c r="AH60" i="1"/>
  <c r="AE103" i="1"/>
  <c r="AE104" i="1" s="1"/>
  <c r="J105" i="19" l="1"/>
  <c r="J21" i="19"/>
  <c r="AH48" i="1"/>
  <c r="AG51" i="1"/>
  <c r="AG54" i="1" s="1"/>
  <c r="AG80" i="1" s="1"/>
  <c r="AG81" i="1" s="1"/>
  <c r="AG84" i="1" s="1"/>
  <c r="AG86" i="1" s="1"/>
  <c r="AJ44" i="1"/>
  <c r="M94" i="1"/>
  <c r="AF103" i="1"/>
  <c r="AF104" i="1" s="1"/>
  <c r="AI60" i="1"/>
  <c r="J29" i="19" l="1"/>
  <c r="J24" i="19"/>
  <c r="J106" i="19"/>
  <c r="J107" i="19" s="1"/>
  <c r="J28" i="19"/>
  <c r="AI48" i="1"/>
  <c r="AH51" i="1"/>
  <c r="AH54" i="1" s="1"/>
  <c r="AH80" i="1" s="1"/>
  <c r="AH81" i="1" s="1"/>
  <c r="AH84" i="1" s="1"/>
  <c r="AH86" i="1" s="1"/>
  <c r="L114" i="1"/>
  <c r="L331" i="1" s="1"/>
  <c r="M316" i="1"/>
  <c r="M92" i="1"/>
  <c r="AG103" i="1"/>
  <c r="AG104" i="1" s="1"/>
  <c r="AJ60" i="1"/>
  <c r="J34" i="19" l="1"/>
  <c r="J30" i="19"/>
  <c r="AJ48" i="1"/>
  <c r="AJ51" i="1" s="1"/>
  <c r="AJ54" i="1" s="1"/>
  <c r="AJ80" i="1" s="1"/>
  <c r="AJ81" i="1" s="1"/>
  <c r="AJ84" i="1" s="1"/>
  <c r="AJ86" i="1" s="1"/>
  <c r="AI51" i="1"/>
  <c r="AI54" i="1" s="1"/>
  <c r="AI80" i="1" s="1"/>
  <c r="AI81" i="1" s="1"/>
  <c r="AI84" i="1" s="1"/>
  <c r="AI86" i="1" s="1"/>
  <c r="M112" i="1"/>
  <c r="AH103" i="1"/>
  <c r="AH104" i="1" s="1"/>
  <c r="AI103" i="1" l="1"/>
  <c r="AI104" i="1" s="1"/>
  <c r="AJ103" i="1"/>
  <c r="AJ113" i="1" l="1"/>
  <c r="AJ104" i="1"/>
  <c r="J112" i="1" l="1"/>
  <c r="J116" i="1" s="1"/>
  <c r="E51" i="8"/>
  <c r="K95" i="1"/>
  <c r="Q94" i="1"/>
  <c r="K96" i="1" l="1"/>
  <c r="K105" i="1"/>
  <c r="K326" i="1" s="1"/>
  <c r="J9" i="7"/>
  <c r="J11" i="7" s="1"/>
  <c r="K317" i="1"/>
  <c r="K99" i="1"/>
  <c r="K100" i="1"/>
  <c r="J124" i="1"/>
  <c r="J125" i="1" s="1"/>
  <c r="K122" i="1" s="1"/>
  <c r="K123" i="1" s="1"/>
  <c r="K39" i="19"/>
  <c r="J117" i="1"/>
  <c r="J118" i="1" s="1"/>
  <c r="P114" i="1"/>
  <c r="J126" i="1" l="1"/>
  <c r="J128" i="1" s="1"/>
  <c r="J131" i="1" s="1"/>
  <c r="K40" i="19"/>
  <c r="K41" i="19"/>
  <c r="K42" i="19" s="1"/>
  <c r="K19" i="19"/>
  <c r="K318" i="1"/>
  <c r="K98" i="1"/>
  <c r="J129" i="1" l="1"/>
  <c r="J132" i="1" s="1"/>
  <c r="D138" i="1" s="1"/>
  <c r="K31" i="19"/>
  <c r="K45" i="19"/>
  <c r="K46" i="19" s="1"/>
  <c r="K43" i="19"/>
  <c r="J144" i="1"/>
  <c r="D137" i="1"/>
  <c r="F34" i="8" s="1"/>
  <c r="J134" i="1"/>
  <c r="J135" i="1" s="1"/>
  <c r="C24" i="1" s="1"/>
  <c r="I16" i="7"/>
  <c r="B22" i="7"/>
  <c r="L93" i="1"/>
  <c r="K320" i="1"/>
  <c r="J133" i="1" l="1"/>
  <c r="K47" i="19"/>
  <c r="K76" i="19" s="1"/>
  <c r="L94" i="1"/>
  <c r="K92" i="1" s="1"/>
  <c r="L315" i="1"/>
  <c r="I17" i="7"/>
  <c r="I46" i="8" s="1"/>
  <c r="I45" i="8" s="1"/>
  <c r="E50" i="8" s="1"/>
  <c r="E52" i="8" s="1"/>
  <c r="E53" i="8" s="1"/>
  <c r="B23" i="7"/>
  <c r="K57" i="19" l="1"/>
  <c r="K56" i="19"/>
  <c r="K22" i="19" s="1"/>
  <c r="K64" i="19"/>
  <c r="L97" i="1"/>
  <c r="L142" i="1" s="1"/>
  <c r="L316" i="1"/>
  <c r="K114" i="1"/>
  <c r="L92" i="1"/>
  <c r="L319" i="1" l="1"/>
  <c r="K58" i="19"/>
  <c r="L53" i="19" s="1"/>
  <c r="L55" i="19" s="1"/>
  <c r="K32" i="19"/>
  <c r="K59" i="19"/>
  <c r="K60" i="19"/>
  <c r="K77" i="19" s="1"/>
  <c r="K65" i="19"/>
  <c r="K66" i="19" s="1"/>
  <c r="L62" i="19" s="1"/>
  <c r="L63" i="19" s="1"/>
  <c r="L112" i="1"/>
  <c r="M95" i="1"/>
  <c r="N95" i="1"/>
  <c r="O95" i="1"/>
  <c r="L95" i="1"/>
  <c r="K112" i="1"/>
  <c r="K116" i="1" s="1"/>
  <c r="K331" i="1"/>
  <c r="K334" i="1" s="1"/>
  <c r="J13" i="7"/>
  <c r="J14" i="7" s="1"/>
  <c r="P94" i="1"/>
  <c r="R94" i="1"/>
  <c r="K89" i="19" l="1"/>
  <c r="K91" i="19" s="1"/>
  <c r="K54" i="19"/>
  <c r="K67" i="19"/>
  <c r="K69" i="19"/>
  <c r="K70" i="19" s="1"/>
  <c r="K78" i="19" s="1"/>
  <c r="K82" i="19" s="1"/>
  <c r="K83" i="19" s="1"/>
  <c r="K84" i="19" s="1"/>
  <c r="K85" i="19" s="1"/>
  <c r="L317" i="1"/>
  <c r="L105" i="1"/>
  <c r="L326" i="1" s="1"/>
  <c r="L334" i="1" s="1"/>
  <c r="L100" i="1"/>
  <c r="L99" i="1"/>
  <c r="L96" i="1"/>
  <c r="O100" i="1"/>
  <c r="O99" i="1"/>
  <c r="O317" i="1"/>
  <c r="O105" i="1"/>
  <c r="O326" i="1" s="1"/>
  <c r="N105" i="1"/>
  <c r="N100" i="1"/>
  <c r="N317" i="1"/>
  <c r="N99" i="1"/>
  <c r="M100" i="1"/>
  <c r="M105" i="1"/>
  <c r="M99" i="1"/>
  <c r="M317" i="1"/>
  <c r="K117" i="1"/>
  <c r="L39" i="19"/>
  <c r="K124" i="1"/>
  <c r="K125" i="1" s="1"/>
  <c r="L122" i="1" s="1"/>
  <c r="K342" i="1"/>
  <c r="K343" i="1" s="1"/>
  <c r="L340" i="1" s="1"/>
  <c r="P92" i="1"/>
  <c r="O114" i="1"/>
  <c r="O331" i="1" s="1"/>
  <c r="O92" i="1"/>
  <c r="O112" i="1" s="1"/>
  <c r="Q92" i="1"/>
  <c r="Q112" i="1" s="1"/>
  <c r="Q114" i="1"/>
  <c r="R92" i="1"/>
  <c r="K96" i="19" l="1"/>
  <c r="K90" i="19"/>
  <c r="K79" i="19"/>
  <c r="L74" i="19" s="1"/>
  <c r="L81" i="19" s="1"/>
  <c r="K80" i="19"/>
  <c r="L116" i="1"/>
  <c r="L117" i="1" s="1"/>
  <c r="L118" i="1" s="1"/>
  <c r="O116" i="1"/>
  <c r="O117" i="1" s="1"/>
  <c r="N116" i="1"/>
  <c r="N326" i="1"/>
  <c r="N334" i="1" s="1"/>
  <c r="L98" i="1"/>
  <c r="L318" i="1"/>
  <c r="M326" i="1"/>
  <c r="M334" i="1" s="1"/>
  <c r="M116" i="1"/>
  <c r="K126" i="1"/>
  <c r="L341" i="1"/>
  <c r="L342" i="1" s="1"/>
  <c r="L123" i="1"/>
  <c r="L41" i="19"/>
  <c r="L42" i="19" s="1"/>
  <c r="L40" i="19"/>
  <c r="L19" i="19"/>
  <c r="K344" i="1"/>
  <c r="K118" i="1"/>
  <c r="K92" i="19"/>
  <c r="P95" i="1"/>
  <c r="P112" i="1"/>
  <c r="Q95" i="1"/>
  <c r="R112" i="1"/>
  <c r="S95" i="1"/>
  <c r="R95" i="1"/>
  <c r="T95" i="1"/>
  <c r="K93" i="19" l="1"/>
  <c r="K97" i="19" s="1"/>
  <c r="K98" i="19" s="1"/>
  <c r="K99" i="19" s="1"/>
  <c r="K100" i="19" s="1"/>
  <c r="K104" i="19" s="1"/>
  <c r="P39" i="19"/>
  <c r="P40" i="19" s="1"/>
  <c r="L124" i="1"/>
  <c r="L126" i="1" s="1"/>
  <c r="L128" i="1" s="1"/>
  <c r="L131" i="1" s="1"/>
  <c r="M39" i="19"/>
  <c r="M40" i="19" s="1"/>
  <c r="L75" i="19"/>
  <c r="M93" i="1"/>
  <c r="L320" i="1"/>
  <c r="M117" i="1"/>
  <c r="N39" i="19"/>
  <c r="O39" i="19"/>
  <c r="N117" i="1"/>
  <c r="L343" i="1"/>
  <c r="M340" i="1" s="1"/>
  <c r="L344" i="1"/>
  <c r="L45" i="19"/>
  <c r="L46" i="19" s="1"/>
  <c r="L43" i="19"/>
  <c r="L31" i="19"/>
  <c r="K129" i="1"/>
  <c r="K128" i="1"/>
  <c r="K131" i="1" s="1"/>
  <c r="K347" i="1"/>
  <c r="K350" i="1" s="1"/>
  <c r="K346" i="1"/>
  <c r="K349" i="1" s="1"/>
  <c r="K351" i="1" s="1"/>
  <c r="P100" i="1"/>
  <c r="P105" i="1"/>
  <c r="P116" i="1" s="1"/>
  <c r="P99" i="1"/>
  <c r="Q100" i="1"/>
  <c r="Q105" i="1"/>
  <c r="Q116" i="1" s="1"/>
  <c r="Q117" i="1" s="1"/>
  <c r="Q99" i="1"/>
  <c r="R99" i="1"/>
  <c r="R100" i="1"/>
  <c r="R105" i="1"/>
  <c r="R116" i="1" s="1"/>
  <c r="S105" i="1"/>
  <c r="S116" i="1" s="1"/>
  <c r="S117" i="1" s="1"/>
  <c r="S99" i="1"/>
  <c r="S100" i="1"/>
  <c r="T99" i="1"/>
  <c r="T100" i="1"/>
  <c r="T105" i="1"/>
  <c r="K132" i="1" l="1"/>
  <c r="K133" i="1" s="1"/>
  <c r="P41" i="19"/>
  <c r="P47" i="19" s="1"/>
  <c r="K94" i="19"/>
  <c r="K95" i="19"/>
  <c r="O118" i="1"/>
  <c r="L125" i="1"/>
  <c r="M122" i="1" s="1"/>
  <c r="M123" i="1" s="1"/>
  <c r="M124" i="1" s="1"/>
  <c r="M126" i="1" s="1"/>
  <c r="M129" i="1" s="1"/>
  <c r="M132" i="1" s="1"/>
  <c r="M19" i="19"/>
  <c r="N19" i="19" s="1"/>
  <c r="M41" i="19"/>
  <c r="M42" i="19" s="1"/>
  <c r="M43" i="19" s="1"/>
  <c r="L129" i="1"/>
  <c r="L47" i="19"/>
  <c r="L57" i="19" s="1"/>
  <c r="O41" i="19"/>
  <c r="O42" i="19" s="1"/>
  <c r="O40" i="19"/>
  <c r="N41" i="19"/>
  <c r="N42" i="19" s="1"/>
  <c r="N40" i="19"/>
  <c r="M118" i="1"/>
  <c r="N118" i="1"/>
  <c r="M97" i="1"/>
  <c r="M315" i="1"/>
  <c r="K105" i="19"/>
  <c r="K28" i="19" s="1"/>
  <c r="K34" i="19" s="1"/>
  <c r="K134" i="1"/>
  <c r="J16" i="7"/>
  <c r="J17" i="7" s="1"/>
  <c r="K144" i="1"/>
  <c r="L144" i="1"/>
  <c r="L134" i="1"/>
  <c r="K21" i="19"/>
  <c r="L346" i="1"/>
  <c r="L349" i="1" s="1"/>
  <c r="L351" i="1" s="1"/>
  <c r="L347" i="1"/>
  <c r="L350" i="1" s="1"/>
  <c r="M341" i="1"/>
  <c r="M342" i="1" s="1"/>
  <c r="M344" i="1" s="1"/>
  <c r="P117" i="1"/>
  <c r="P118" i="1" s="1"/>
  <c r="R117" i="1"/>
  <c r="L132" i="1" l="1"/>
  <c r="L133" i="1" s="1"/>
  <c r="M45" i="19"/>
  <c r="M46" i="19" s="1"/>
  <c r="M31" i="19"/>
  <c r="M128" i="1"/>
  <c r="M131" i="1" s="1"/>
  <c r="M134" i="1" s="1"/>
  <c r="M135" i="1" s="1"/>
  <c r="L56" i="19"/>
  <c r="L32" i="19" s="1"/>
  <c r="M125" i="1"/>
  <c r="N122" i="1" s="1"/>
  <c r="N123" i="1" s="1"/>
  <c r="N124" i="1" s="1"/>
  <c r="N126" i="1" s="1"/>
  <c r="K106" i="19"/>
  <c r="K107" i="19" s="1"/>
  <c r="L64" i="19"/>
  <c r="L76" i="19"/>
  <c r="M96" i="1"/>
  <c r="M142" i="1"/>
  <c r="M319" i="1"/>
  <c r="N43" i="19"/>
  <c r="N45" i="19"/>
  <c r="N46" i="19" s="1"/>
  <c r="O43" i="19"/>
  <c r="O45" i="19"/>
  <c r="O46" i="19" s="1"/>
  <c r="M347" i="1"/>
  <c r="M350" i="1" s="1"/>
  <c r="M346" i="1"/>
  <c r="M349" i="1" s="1"/>
  <c r="M351" i="1" s="1"/>
  <c r="K24" i="19"/>
  <c r="K29" i="19"/>
  <c r="K30" i="19" s="1"/>
  <c r="L65" i="19"/>
  <c r="L60" i="19"/>
  <c r="O19" i="19"/>
  <c r="N31" i="19"/>
  <c r="K135" i="1"/>
  <c r="L135" i="1"/>
  <c r="M343" i="1"/>
  <c r="N340" i="1" s="1"/>
  <c r="P64" i="19"/>
  <c r="Q118" i="1"/>
  <c r="S118" i="1"/>
  <c r="R118" i="1"/>
  <c r="M47" i="19" l="1"/>
  <c r="M64" i="19" s="1"/>
  <c r="L67" i="19"/>
  <c r="L58" i="19"/>
  <c r="M53" i="19" s="1"/>
  <c r="M55" i="19" s="1"/>
  <c r="M133" i="1"/>
  <c r="L59" i="19"/>
  <c r="M144" i="1"/>
  <c r="L22" i="19"/>
  <c r="O47" i="19"/>
  <c r="O64" i="19" s="1"/>
  <c r="N47" i="19"/>
  <c r="N64" i="19" s="1"/>
  <c r="L66" i="19"/>
  <c r="M62" i="19" s="1"/>
  <c r="M63" i="19" s="1"/>
  <c r="M318" i="1"/>
  <c r="M98" i="1"/>
  <c r="N125" i="1"/>
  <c r="O122" i="1" s="1"/>
  <c r="O123" i="1" s="1"/>
  <c r="O31" i="19"/>
  <c r="P19" i="19"/>
  <c r="P31" i="19" s="1"/>
  <c r="L54" i="19"/>
  <c r="L77" i="19"/>
  <c r="N129" i="1"/>
  <c r="N132" i="1" s="1"/>
  <c r="N128" i="1"/>
  <c r="N131" i="1" s="1"/>
  <c r="N341" i="1"/>
  <c r="N342" i="1" s="1"/>
  <c r="N344" i="1" s="1"/>
  <c r="L69" i="19"/>
  <c r="L70" i="19" s="1"/>
  <c r="L89" i="19"/>
  <c r="U94" i="1"/>
  <c r="M56" i="19" l="1"/>
  <c r="M32" i="19" s="1"/>
  <c r="D31" i="19"/>
  <c r="F48" i="19"/>
  <c r="L10" i="19"/>
  <c r="D10" i="19"/>
  <c r="D9" i="19" s="1"/>
  <c r="F49" i="19"/>
  <c r="O124" i="1"/>
  <c r="O126" i="1" s="1"/>
  <c r="M57" i="19"/>
  <c r="M320" i="1"/>
  <c r="N93" i="1"/>
  <c r="N343" i="1"/>
  <c r="O340" i="1" s="1"/>
  <c r="O341" i="1" s="1"/>
  <c r="L96" i="19"/>
  <c r="L91" i="19"/>
  <c r="L90" i="19"/>
  <c r="N347" i="1"/>
  <c r="N350" i="1" s="1"/>
  <c r="N346" i="1"/>
  <c r="N349" i="1" s="1"/>
  <c r="N351" i="1" s="1"/>
  <c r="N133" i="1"/>
  <c r="N144" i="1"/>
  <c r="N134" i="1"/>
  <c r="N135" i="1" s="1"/>
  <c r="L78" i="19"/>
  <c r="L80" i="19" s="1"/>
  <c r="T92" i="1"/>
  <c r="T112" i="1" s="1"/>
  <c r="T114" i="1"/>
  <c r="U92" i="1"/>
  <c r="M58" i="19" l="1"/>
  <c r="N53" i="19" s="1"/>
  <c r="N56" i="19" s="1"/>
  <c r="N22" i="19" s="1"/>
  <c r="M22" i="19"/>
  <c r="M60" i="19"/>
  <c r="M54" i="19" s="1"/>
  <c r="O125" i="1"/>
  <c r="P122" i="1" s="1"/>
  <c r="P123" i="1" s="1"/>
  <c r="P124" i="1" s="1"/>
  <c r="D8" i="19"/>
  <c r="M59" i="19"/>
  <c r="M65" i="19"/>
  <c r="M67" i="19" s="1"/>
  <c r="N97" i="1"/>
  <c r="N315" i="1"/>
  <c r="O128" i="1"/>
  <c r="O131" i="1" s="1"/>
  <c r="O129" i="1"/>
  <c r="O132" i="1" s="1"/>
  <c r="L79" i="19"/>
  <c r="M74" i="19" s="1"/>
  <c r="L82" i="19"/>
  <c r="U112" i="1"/>
  <c r="V95" i="1"/>
  <c r="X95" i="1"/>
  <c r="Y95" i="1"/>
  <c r="W95" i="1"/>
  <c r="U95" i="1"/>
  <c r="T116" i="1"/>
  <c r="M77" i="19" l="1"/>
  <c r="N55" i="19"/>
  <c r="N57" i="19" s="1"/>
  <c r="N60" i="19" s="1"/>
  <c r="N54" i="19" s="1"/>
  <c r="M69" i="19"/>
  <c r="M70" i="19" s="1"/>
  <c r="M66" i="19"/>
  <c r="N62" i="19" s="1"/>
  <c r="N63" i="19" s="1"/>
  <c r="N32" i="19"/>
  <c r="N319" i="1"/>
  <c r="N142" i="1"/>
  <c r="N96" i="1"/>
  <c r="M76" i="19"/>
  <c r="M81" i="19"/>
  <c r="M75" i="19"/>
  <c r="L83" i="19"/>
  <c r="L84" i="19" s="1"/>
  <c r="L85" i="19" s="1"/>
  <c r="L92" i="19"/>
  <c r="P125" i="1"/>
  <c r="Q122" i="1" s="1"/>
  <c r="P126" i="1"/>
  <c r="O133" i="1"/>
  <c r="O134" i="1"/>
  <c r="O135" i="1" s="1"/>
  <c r="O144" i="1"/>
  <c r="W100" i="1"/>
  <c r="W105" i="1"/>
  <c r="W116" i="1" s="1"/>
  <c r="W117" i="1" s="1"/>
  <c r="W99" i="1"/>
  <c r="Y99" i="1"/>
  <c r="Y105" i="1"/>
  <c r="Y100" i="1"/>
  <c r="U100" i="1"/>
  <c r="U99" i="1"/>
  <c r="U105" i="1"/>
  <c r="U116" i="1" s="1"/>
  <c r="U117" i="1" s="1"/>
  <c r="V99" i="1"/>
  <c r="V100" i="1"/>
  <c r="V105" i="1"/>
  <c r="V116" i="1" s="1"/>
  <c r="V117" i="1" s="1"/>
  <c r="X99" i="1"/>
  <c r="X100" i="1"/>
  <c r="X105" i="1"/>
  <c r="X116" i="1" s="1"/>
  <c r="X117" i="1" s="1"/>
  <c r="T117" i="1"/>
  <c r="N77" i="19" l="1"/>
  <c r="N58" i="19"/>
  <c r="O53" i="19" s="1"/>
  <c r="O56" i="19" s="1"/>
  <c r="O32" i="19" s="1"/>
  <c r="N65" i="19"/>
  <c r="N66" i="19" s="1"/>
  <c r="O62" i="19" s="1"/>
  <c r="O63" i="19" s="1"/>
  <c r="N59" i="19"/>
  <c r="M78" i="19"/>
  <c r="M79" i="19" s="1"/>
  <c r="N74" i="19" s="1"/>
  <c r="N318" i="1"/>
  <c r="N98" i="1"/>
  <c r="Q123" i="1"/>
  <c r="Q124" i="1" s="1"/>
  <c r="Q126" i="1" s="1"/>
  <c r="L93" i="19"/>
  <c r="L97" i="19" s="1"/>
  <c r="P128" i="1"/>
  <c r="P131" i="1" s="1"/>
  <c r="P129" i="1"/>
  <c r="P132" i="1" s="1"/>
  <c r="U118" i="1"/>
  <c r="V118" i="1"/>
  <c r="X118" i="1"/>
  <c r="W118" i="1"/>
  <c r="T118" i="1"/>
  <c r="M82" i="19" l="1"/>
  <c r="M83" i="19" s="1"/>
  <c r="M84" i="19" s="1"/>
  <c r="M85" i="19" s="1"/>
  <c r="M80" i="19"/>
  <c r="O55" i="19"/>
  <c r="O57" i="19" s="1"/>
  <c r="O58" i="19" s="1"/>
  <c r="P53" i="19" s="1"/>
  <c r="N67" i="19"/>
  <c r="O22" i="19"/>
  <c r="N69" i="19"/>
  <c r="N70" i="19" s="1"/>
  <c r="L95" i="19"/>
  <c r="O93" i="1"/>
  <c r="N320" i="1"/>
  <c r="L98" i="19"/>
  <c r="L99" i="19" s="1"/>
  <c r="L100" i="19" s="1"/>
  <c r="L104" i="19" s="1"/>
  <c r="L21" i="19" s="1"/>
  <c r="L94" i="19"/>
  <c r="M89" i="19" s="1"/>
  <c r="Q125" i="1"/>
  <c r="R122" i="1" s="1"/>
  <c r="Q128" i="1"/>
  <c r="Q131" i="1" s="1"/>
  <c r="Q129" i="1"/>
  <c r="Q132" i="1" s="1"/>
  <c r="P133" i="1"/>
  <c r="P134" i="1"/>
  <c r="P135" i="1" s="1"/>
  <c r="P144" i="1"/>
  <c r="N76" i="19"/>
  <c r="N81" i="19"/>
  <c r="N75" i="19"/>
  <c r="N78" i="19" l="1"/>
  <c r="N82" i="19" s="1"/>
  <c r="N83" i="19" s="1"/>
  <c r="N84" i="19" s="1"/>
  <c r="N85" i="19" s="1"/>
  <c r="P55" i="19"/>
  <c r="P57" i="19" s="1"/>
  <c r="P56" i="19"/>
  <c r="O60" i="19"/>
  <c r="O59" i="19"/>
  <c r="O65" i="19"/>
  <c r="O315" i="1"/>
  <c r="O97" i="1"/>
  <c r="M91" i="19"/>
  <c r="M92" i="19"/>
  <c r="M90" i="19"/>
  <c r="M96" i="19"/>
  <c r="L24" i="19"/>
  <c r="L29" i="19"/>
  <c r="L105" i="19"/>
  <c r="L28" i="19" s="1"/>
  <c r="L34" i="19" s="1"/>
  <c r="Q134" i="1"/>
  <c r="Q135" i="1" s="1"/>
  <c r="Q133" i="1"/>
  <c r="Q144" i="1"/>
  <c r="R123" i="1"/>
  <c r="R124" i="1" s="1"/>
  <c r="R126" i="1" s="1"/>
  <c r="N80" i="19" l="1"/>
  <c r="N79" i="19"/>
  <c r="O74" i="19" s="1"/>
  <c r="O76" i="19" s="1"/>
  <c r="P59" i="19"/>
  <c r="E59" i="19" s="1"/>
  <c r="P58" i="19"/>
  <c r="O54" i="19"/>
  <c r="O77" i="19"/>
  <c r="O69" i="19"/>
  <c r="O70" i="19" s="1"/>
  <c r="O67" i="19"/>
  <c r="O66" i="19"/>
  <c r="P62" i="19" s="1"/>
  <c r="P22" i="19"/>
  <c r="D22" i="19" s="1"/>
  <c r="P32" i="19"/>
  <c r="D32" i="19" s="1"/>
  <c r="P60" i="19"/>
  <c r="P65" i="19"/>
  <c r="R125" i="1"/>
  <c r="S122" i="1" s="1"/>
  <c r="S123" i="1" s="1"/>
  <c r="S124" i="1" s="1"/>
  <c r="S126" i="1" s="1"/>
  <c r="O319" i="1"/>
  <c r="O96" i="1"/>
  <c r="O142" i="1"/>
  <c r="L30" i="19"/>
  <c r="M93" i="19"/>
  <c r="M97" i="19" s="1"/>
  <c r="R128" i="1"/>
  <c r="R131" i="1" s="1"/>
  <c r="R129" i="1"/>
  <c r="R132" i="1" s="1"/>
  <c r="L106" i="19"/>
  <c r="L107" i="19" s="1"/>
  <c r="O81" i="19" l="1"/>
  <c r="O75" i="19"/>
  <c r="O78" i="19" s="1"/>
  <c r="O82" i="19" s="1"/>
  <c r="O83" i="19" s="1"/>
  <c r="O84" i="19" s="1"/>
  <c r="O85" i="19" s="1"/>
  <c r="P67" i="19"/>
  <c r="E67" i="19" s="1"/>
  <c r="P69" i="19"/>
  <c r="P70" i="19" s="1"/>
  <c r="P54" i="19"/>
  <c r="F54" i="19" s="1"/>
  <c r="P77" i="19"/>
  <c r="P63" i="19"/>
  <c r="P66" i="19" s="1"/>
  <c r="S125" i="1"/>
  <c r="T122" i="1" s="1"/>
  <c r="T123" i="1" s="1"/>
  <c r="T124" i="1" s="1"/>
  <c r="T126" i="1" s="1"/>
  <c r="O318" i="1"/>
  <c r="O98" i="1"/>
  <c r="M95" i="19"/>
  <c r="R144" i="1"/>
  <c r="R134" i="1"/>
  <c r="R135" i="1" s="1"/>
  <c r="R133" i="1"/>
  <c r="M98" i="19"/>
  <c r="M99" i="19" s="1"/>
  <c r="M100" i="19" s="1"/>
  <c r="M104" i="19" s="1"/>
  <c r="M21" i="19" s="1"/>
  <c r="S129" i="1"/>
  <c r="S132" i="1" s="1"/>
  <c r="S128" i="1"/>
  <c r="S131" i="1" s="1"/>
  <c r="M94" i="19"/>
  <c r="N89" i="19" s="1"/>
  <c r="Z94" i="1"/>
  <c r="O80" i="19" l="1"/>
  <c r="O79" i="19"/>
  <c r="P74" i="19" s="1"/>
  <c r="P76" i="19" s="1"/>
  <c r="P93" i="1"/>
  <c r="P97" i="1" s="1"/>
  <c r="O320" i="1"/>
  <c r="O333" i="1" s="1"/>
  <c r="O334" i="1" s="1"/>
  <c r="M24" i="19"/>
  <c r="M29" i="19"/>
  <c r="T128" i="1"/>
  <c r="T131" i="1" s="1"/>
  <c r="T129" i="1"/>
  <c r="T132" i="1" s="1"/>
  <c r="M105" i="19"/>
  <c r="M28" i="19" s="1"/>
  <c r="M34" i="19" s="1"/>
  <c r="N90" i="19"/>
  <c r="N92" i="19"/>
  <c r="N91" i="19"/>
  <c r="N96" i="19"/>
  <c r="S134" i="1"/>
  <c r="S135" i="1" s="1"/>
  <c r="S133" i="1"/>
  <c r="S144" i="1"/>
  <c r="T125" i="1"/>
  <c r="U122" i="1" s="1"/>
  <c r="Y92" i="1"/>
  <c r="Y114" i="1"/>
  <c r="Z92" i="1"/>
  <c r="P75" i="19" l="1"/>
  <c r="P78" i="19" s="1"/>
  <c r="P82" i="19" s="1"/>
  <c r="P83" i="19" s="1"/>
  <c r="P84" i="19" s="1"/>
  <c r="P85" i="19" s="1"/>
  <c r="P81" i="19"/>
  <c r="N93" i="19"/>
  <c r="N97" i="19" s="1"/>
  <c r="N98" i="19" s="1"/>
  <c r="N99" i="19" s="1"/>
  <c r="N100" i="19" s="1"/>
  <c r="N104" i="19" s="1"/>
  <c r="N21" i="19" s="1"/>
  <c r="M106" i="19"/>
  <c r="M107" i="19" s="1"/>
  <c r="E336" i="1"/>
  <c r="F171" i="1" s="1"/>
  <c r="G21" i="1" s="1"/>
  <c r="O342" i="1"/>
  <c r="O343" i="1" s="1"/>
  <c r="P142" i="1"/>
  <c r="P96" i="1"/>
  <c r="P98" i="1" s="1"/>
  <c r="Q93" i="1" s="1"/>
  <c r="Q97" i="1" s="1"/>
  <c r="U123" i="1"/>
  <c r="U124" i="1" s="1"/>
  <c r="U126" i="1" s="1"/>
  <c r="T134" i="1"/>
  <c r="T135" i="1" s="1"/>
  <c r="T144" i="1"/>
  <c r="T133" i="1"/>
  <c r="M30" i="19"/>
  <c r="Z112" i="1"/>
  <c r="AC95" i="1"/>
  <c r="AA95" i="1"/>
  <c r="AH95" i="1"/>
  <c r="AD95" i="1"/>
  <c r="AB95" i="1"/>
  <c r="Z95" i="1"/>
  <c r="AG95" i="1"/>
  <c r="AF95" i="1"/>
  <c r="AE95" i="1"/>
  <c r="AJ95" i="1"/>
  <c r="AI95" i="1"/>
  <c r="Y112" i="1"/>
  <c r="Y116" i="1" s="1"/>
  <c r="Y117" i="1" s="1"/>
  <c r="N95" i="19" l="1"/>
  <c r="N94" i="19"/>
  <c r="O89" i="19" s="1"/>
  <c r="O91" i="19" s="1"/>
  <c r="P80" i="19"/>
  <c r="E80" i="19" s="1"/>
  <c r="P79" i="19"/>
  <c r="U125" i="1"/>
  <c r="V122" i="1" s="1"/>
  <c r="V123" i="1" s="1"/>
  <c r="V124" i="1" s="1"/>
  <c r="V126" i="1" s="1"/>
  <c r="Q142" i="1"/>
  <c r="Q96" i="1"/>
  <c r="Q98" i="1" s="1"/>
  <c r="R93" i="1" s="1"/>
  <c r="R97" i="1" s="1"/>
  <c r="O344" i="1"/>
  <c r="N24" i="19"/>
  <c r="N29" i="19"/>
  <c r="U128" i="1"/>
  <c r="U131" i="1" s="1"/>
  <c r="U129" i="1"/>
  <c r="U132" i="1" s="1"/>
  <c r="N105" i="19"/>
  <c r="N28" i="19" s="1"/>
  <c r="N34" i="19" s="1"/>
  <c r="AG99" i="1"/>
  <c r="AG105" i="1"/>
  <c r="AG116" i="1" s="1"/>
  <c r="AG117" i="1" s="1"/>
  <c r="AG100" i="1"/>
  <c r="AB100" i="1"/>
  <c r="AB105" i="1"/>
  <c r="AB116" i="1" s="1"/>
  <c r="AB117" i="1" s="1"/>
  <c r="AB99" i="1"/>
  <c r="AD99" i="1"/>
  <c r="AD105" i="1"/>
  <c r="AD116" i="1" s="1"/>
  <c r="AD117" i="1" s="1"/>
  <c r="AD100" i="1"/>
  <c r="AA105" i="1"/>
  <c r="AA116" i="1" s="1"/>
  <c r="AA117" i="1" s="1"/>
  <c r="AA100" i="1"/>
  <c r="AA99" i="1"/>
  <c r="AI99" i="1"/>
  <c r="AI105" i="1"/>
  <c r="AI116" i="1" s="1"/>
  <c r="AI117" i="1" s="1"/>
  <c r="AI100" i="1"/>
  <c r="AJ99" i="1"/>
  <c r="AJ105" i="1"/>
  <c r="AJ100" i="1"/>
  <c r="AE99" i="1"/>
  <c r="AE105" i="1"/>
  <c r="AE116" i="1" s="1"/>
  <c r="AE117" i="1" s="1"/>
  <c r="AE100" i="1"/>
  <c r="AC99" i="1"/>
  <c r="AC105" i="1"/>
  <c r="AC116" i="1" s="1"/>
  <c r="AC117" i="1" s="1"/>
  <c r="AC100" i="1"/>
  <c r="Z105" i="1"/>
  <c r="Z116" i="1" s="1"/>
  <c r="Z117" i="1" s="1"/>
  <c r="Z100" i="1"/>
  <c r="Z99" i="1"/>
  <c r="Y118" i="1"/>
  <c r="AH99" i="1"/>
  <c r="AH105" i="1"/>
  <c r="AH116" i="1" s="1"/>
  <c r="AH117" i="1" s="1"/>
  <c r="AH100" i="1"/>
  <c r="AF99" i="1"/>
  <c r="AF100" i="1"/>
  <c r="AF105" i="1"/>
  <c r="AF116" i="1" s="1"/>
  <c r="AF117" i="1" s="1"/>
  <c r="O96" i="19" l="1"/>
  <c r="O92" i="19"/>
  <c r="O90" i="19"/>
  <c r="U133" i="1"/>
  <c r="O347" i="1"/>
  <c r="O350" i="1" s="1"/>
  <c r="E356" i="1" s="1"/>
  <c r="F175" i="1" s="1"/>
  <c r="G25" i="1" s="1"/>
  <c r="O346" i="1"/>
  <c r="O349" i="1" s="1"/>
  <c r="O351" i="1" s="1"/>
  <c r="R142" i="1"/>
  <c r="R96" i="1"/>
  <c r="R98" i="1" s="1"/>
  <c r="S93" i="1" s="1"/>
  <c r="S97" i="1" s="1"/>
  <c r="V125" i="1"/>
  <c r="W122" i="1" s="1"/>
  <c r="V129" i="1"/>
  <c r="V132" i="1" s="1"/>
  <c r="V128" i="1"/>
  <c r="V131" i="1" s="1"/>
  <c r="U144" i="1"/>
  <c r="U134" i="1"/>
  <c r="U135" i="1" s="1"/>
  <c r="N30" i="19"/>
  <c r="N106" i="19"/>
  <c r="N107" i="19" s="1"/>
  <c r="AC118" i="1"/>
  <c r="Z118" i="1"/>
  <c r="AD118" i="1"/>
  <c r="AE118" i="1"/>
  <c r="AB118" i="1"/>
  <c r="AI118" i="1"/>
  <c r="AF118" i="1"/>
  <c r="AG118" i="1"/>
  <c r="AH118" i="1"/>
  <c r="AA118" i="1"/>
  <c r="O93" i="19" l="1"/>
  <c r="O97" i="19" s="1"/>
  <c r="S142" i="1"/>
  <c r="S96" i="1"/>
  <c r="S98" i="1" s="1"/>
  <c r="T93" i="1" s="1"/>
  <c r="T97" i="1" s="1"/>
  <c r="E353" i="1"/>
  <c r="F172" i="1" s="1"/>
  <c r="G22" i="1" s="1"/>
  <c r="E355" i="1"/>
  <c r="F174" i="1" s="1"/>
  <c r="G24" i="1" s="1"/>
  <c r="E354" i="1"/>
  <c r="F173" i="1" s="1"/>
  <c r="G23" i="1" s="1"/>
  <c r="V134" i="1"/>
  <c r="V135" i="1" s="1"/>
  <c r="V133" i="1"/>
  <c r="V144" i="1"/>
  <c r="W123" i="1"/>
  <c r="W124" i="1" s="1"/>
  <c r="W126" i="1" s="1"/>
  <c r="O94" i="19" l="1"/>
  <c r="P89" i="19" s="1"/>
  <c r="P92" i="19" s="1"/>
  <c r="O95" i="19"/>
  <c r="T142" i="1"/>
  <c r="T96" i="1"/>
  <c r="T98" i="1" s="1"/>
  <c r="U93" i="1" s="1"/>
  <c r="U97" i="1" s="1"/>
  <c r="W125" i="1"/>
  <c r="X122" i="1" s="1"/>
  <c r="W128" i="1"/>
  <c r="W131" i="1" s="1"/>
  <c r="W129" i="1"/>
  <c r="W132" i="1" s="1"/>
  <c r="O98" i="19"/>
  <c r="O99" i="19" s="1"/>
  <c r="O100" i="19" s="1"/>
  <c r="O104" i="19" s="1"/>
  <c r="O21" i="19" s="1"/>
  <c r="P91" i="19" l="1"/>
  <c r="P90" i="19"/>
  <c r="P93" i="19" s="1"/>
  <c r="P97" i="19" s="1"/>
  <c r="P98" i="19" s="1"/>
  <c r="P99" i="19" s="1"/>
  <c r="P100" i="19" s="1"/>
  <c r="P104" i="19" s="1"/>
  <c r="P105" i="19" s="1"/>
  <c r="P28" i="19" s="1"/>
  <c r="P96" i="19"/>
  <c r="U96" i="1"/>
  <c r="U98" i="1" s="1"/>
  <c r="V93" i="1" s="1"/>
  <c r="V97" i="1" s="1"/>
  <c r="U142" i="1"/>
  <c r="O24" i="19"/>
  <c r="O29" i="19"/>
  <c r="O105" i="19"/>
  <c r="O28" i="19" s="1"/>
  <c r="O34" i="19" s="1"/>
  <c r="W133" i="1"/>
  <c r="W134" i="1"/>
  <c r="W144" i="1"/>
  <c r="X123" i="1"/>
  <c r="X124" i="1" s="1"/>
  <c r="X126" i="1" s="1"/>
  <c r="P95" i="19" l="1"/>
  <c r="E95" i="19" s="1"/>
  <c r="P21" i="19"/>
  <c r="D21" i="19" s="1"/>
  <c r="P94" i="19"/>
  <c r="P106" i="19"/>
  <c r="P107" i="19" s="1"/>
  <c r="X125" i="1"/>
  <c r="Y122" i="1" s="1"/>
  <c r="Y123" i="1" s="1"/>
  <c r="Y124" i="1" s="1"/>
  <c r="Y126" i="1" s="1"/>
  <c r="O30" i="19"/>
  <c r="V96" i="1"/>
  <c r="V98" i="1" s="1"/>
  <c r="W93" i="1" s="1"/>
  <c r="W97" i="1" s="1"/>
  <c r="V142" i="1"/>
  <c r="O106" i="19"/>
  <c r="O107" i="19" s="1"/>
  <c r="D28" i="19"/>
  <c r="P34" i="19"/>
  <c r="D34" i="19" s="1"/>
  <c r="W135" i="1"/>
  <c r="X128" i="1"/>
  <c r="X131" i="1" s="1"/>
  <c r="X129" i="1"/>
  <c r="X132" i="1" s="1"/>
  <c r="P29" i="19" l="1"/>
  <c r="P30" i="19" s="1"/>
  <c r="P24" i="19"/>
  <c r="D24" i="19" s="1"/>
  <c r="W96" i="1"/>
  <c r="W98" i="1" s="1"/>
  <c r="X93" i="1" s="1"/>
  <c r="X97" i="1" s="1"/>
  <c r="W142" i="1"/>
  <c r="D35" i="19"/>
  <c r="D33" i="19"/>
  <c r="Y125" i="1"/>
  <c r="Z122" i="1" s="1"/>
  <c r="D25" i="19"/>
  <c r="D23" i="19"/>
  <c r="Y128" i="1"/>
  <c r="Y131" i="1" s="1"/>
  <c r="Y129" i="1"/>
  <c r="Y132" i="1" s="1"/>
  <c r="X134" i="1"/>
  <c r="X144" i="1"/>
  <c r="X133" i="1"/>
  <c r="Y133" i="1" l="1"/>
  <c r="X142" i="1"/>
  <c r="X96" i="1"/>
  <c r="X98" i="1" s="1"/>
  <c r="Y93" i="1" s="1"/>
  <c r="Y97" i="1" s="1"/>
  <c r="X135" i="1"/>
  <c r="Y144" i="1"/>
  <c r="Y134" i="1"/>
  <c r="Y135" i="1" s="1"/>
  <c r="Z123" i="1"/>
  <c r="Z124" i="1" s="1"/>
  <c r="Z126" i="1" s="1"/>
  <c r="L9" i="19"/>
  <c r="L8" i="19" s="1"/>
  <c r="Y142" i="1" l="1"/>
  <c r="Y96" i="1"/>
  <c r="Y98" i="1" s="1"/>
  <c r="Z93" i="1" s="1"/>
  <c r="Z97" i="1" s="1"/>
  <c r="Z128" i="1"/>
  <c r="Z131" i="1" s="1"/>
  <c r="Z129" i="1"/>
  <c r="Z132" i="1" s="1"/>
  <c r="Z125" i="1"/>
  <c r="AA122" i="1" s="1"/>
  <c r="Z133" i="1" l="1"/>
  <c r="Z142" i="1"/>
  <c r="Z96" i="1"/>
  <c r="Z98" i="1" s="1"/>
  <c r="AA93" i="1" s="1"/>
  <c r="AA97" i="1" s="1"/>
  <c r="AA123" i="1"/>
  <c r="AA124" i="1" s="1"/>
  <c r="AA126" i="1" s="1"/>
  <c r="Z144" i="1"/>
  <c r="Z134" i="1"/>
  <c r="Z135" i="1" s="1"/>
  <c r="AA96" i="1" l="1"/>
  <c r="AA98" i="1" s="1"/>
  <c r="AB93" i="1" s="1"/>
  <c r="AB97" i="1" s="1"/>
  <c r="AA142" i="1"/>
  <c r="AA125" i="1"/>
  <c r="AB122" i="1" s="1"/>
  <c r="AA128" i="1"/>
  <c r="AA131" i="1" s="1"/>
  <c r="AA129" i="1"/>
  <c r="AA132" i="1" s="1"/>
  <c r="AA133" i="1" l="1"/>
  <c r="AB142" i="1"/>
  <c r="AB96" i="1"/>
  <c r="AB98" i="1" s="1"/>
  <c r="AC93" i="1" s="1"/>
  <c r="AC97" i="1" s="1"/>
  <c r="AA144" i="1"/>
  <c r="AA134" i="1"/>
  <c r="AA135" i="1" s="1"/>
  <c r="AB123" i="1"/>
  <c r="AB124" i="1" s="1"/>
  <c r="AB126" i="1" s="1"/>
  <c r="AC96" i="1" l="1"/>
  <c r="AC98" i="1" s="1"/>
  <c r="AD93" i="1" s="1"/>
  <c r="AD97" i="1" s="1"/>
  <c r="AC142" i="1"/>
  <c r="AB125" i="1"/>
  <c r="AC122" i="1" s="1"/>
  <c r="AB129" i="1"/>
  <c r="AB132" i="1" s="1"/>
  <c r="AB128" i="1"/>
  <c r="AB131" i="1" s="1"/>
  <c r="AD142" i="1" l="1"/>
  <c r="AD96" i="1"/>
  <c r="AD98" i="1" s="1"/>
  <c r="AE93" i="1" s="1"/>
  <c r="AE97" i="1" s="1"/>
  <c r="AB133" i="1"/>
  <c r="AB144" i="1"/>
  <c r="AB134" i="1"/>
  <c r="AB135" i="1" s="1"/>
  <c r="AC123" i="1"/>
  <c r="AC124" i="1" s="1"/>
  <c r="AC126" i="1" s="1"/>
  <c r="AC125" i="1" l="1"/>
  <c r="AD122" i="1" s="1"/>
  <c r="AD123" i="1" s="1"/>
  <c r="AD124" i="1" s="1"/>
  <c r="AD126" i="1" s="1"/>
  <c r="AE142" i="1"/>
  <c r="AE96" i="1"/>
  <c r="AE98" i="1" s="1"/>
  <c r="AF93" i="1" s="1"/>
  <c r="AF97" i="1" s="1"/>
  <c r="AC129" i="1"/>
  <c r="AC132" i="1" s="1"/>
  <c r="AC128" i="1"/>
  <c r="AC131" i="1" s="1"/>
  <c r="AD125" i="1" l="1"/>
  <c r="AE122" i="1" s="1"/>
  <c r="AE123" i="1" s="1"/>
  <c r="AE124" i="1" s="1"/>
  <c r="AE126" i="1" s="1"/>
  <c r="AF96" i="1"/>
  <c r="AF98" i="1" s="1"/>
  <c r="AG93" i="1" s="1"/>
  <c r="AG97" i="1" s="1"/>
  <c r="AF142" i="1"/>
  <c r="AD128" i="1"/>
  <c r="AD131" i="1" s="1"/>
  <c r="AD129" i="1"/>
  <c r="AD132" i="1" s="1"/>
  <c r="AC133" i="1"/>
  <c r="AC144" i="1"/>
  <c r="AC134" i="1"/>
  <c r="AC135" i="1" s="1"/>
  <c r="AG96" i="1" l="1"/>
  <c r="AG98" i="1" s="1"/>
  <c r="AH93" i="1" s="1"/>
  <c r="AH97" i="1" s="1"/>
  <c r="AG142" i="1"/>
  <c r="AE125" i="1"/>
  <c r="AF122" i="1" s="1"/>
  <c r="AD134" i="1"/>
  <c r="AD135" i="1" s="1"/>
  <c r="AD144" i="1"/>
  <c r="AD133" i="1"/>
  <c r="AE129" i="1"/>
  <c r="AE132" i="1" s="1"/>
  <c r="AE128" i="1"/>
  <c r="AE131" i="1" s="1"/>
  <c r="AH96" i="1" l="1"/>
  <c r="AH98" i="1" s="1"/>
  <c r="AI93" i="1" s="1"/>
  <c r="AI97" i="1" s="1"/>
  <c r="AH142" i="1"/>
  <c r="AE144" i="1"/>
  <c r="AE133" i="1"/>
  <c r="AE134" i="1"/>
  <c r="AE135" i="1" s="1"/>
  <c r="AF123" i="1"/>
  <c r="AF124" i="1" s="1"/>
  <c r="AF126" i="1" s="1"/>
  <c r="AI96" i="1" l="1"/>
  <c r="AI98" i="1" s="1"/>
  <c r="AJ93" i="1" s="1"/>
  <c r="AJ97" i="1" s="1"/>
  <c r="AI142" i="1"/>
  <c r="AF125" i="1"/>
  <c r="AG122" i="1" s="1"/>
  <c r="AF129" i="1"/>
  <c r="AF132" i="1" s="1"/>
  <c r="AF128" i="1"/>
  <c r="AF131" i="1" s="1"/>
  <c r="AJ142" i="1" l="1"/>
  <c r="AJ96" i="1"/>
  <c r="AJ98" i="1" s="1"/>
  <c r="AJ115" i="1" s="1"/>
  <c r="AJ116" i="1" s="1"/>
  <c r="AF133" i="1"/>
  <c r="AF144" i="1"/>
  <c r="AF134" i="1"/>
  <c r="AF135" i="1" s="1"/>
  <c r="AG123" i="1"/>
  <c r="AG124" i="1" s="1"/>
  <c r="AG126" i="1" s="1"/>
  <c r="D118" i="1" l="1"/>
  <c r="C20" i="1" s="1"/>
  <c r="AJ117" i="1"/>
  <c r="AJ118" i="1" s="1"/>
  <c r="AG129" i="1"/>
  <c r="AG132" i="1" s="1"/>
  <c r="AG128" i="1"/>
  <c r="AG131" i="1" s="1"/>
  <c r="AG125" i="1"/>
  <c r="AH122" i="1" s="1"/>
  <c r="AH123" i="1" l="1"/>
  <c r="AH124" i="1" s="1"/>
  <c r="AH126" i="1" s="1"/>
  <c r="AG134" i="1"/>
  <c r="AG135" i="1" s="1"/>
  <c r="AG133" i="1"/>
  <c r="AG144" i="1"/>
  <c r="AH125" i="1" l="1"/>
  <c r="AI122" i="1" s="1"/>
  <c r="AI123" i="1" s="1"/>
  <c r="AI124" i="1" s="1"/>
  <c r="AI126" i="1" s="1"/>
  <c r="AH129" i="1"/>
  <c r="AH132" i="1" s="1"/>
  <c r="AH128" i="1"/>
  <c r="AH131" i="1" s="1"/>
  <c r="AH134" i="1" l="1"/>
  <c r="AH135" i="1" s="1"/>
  <c r="AH133" i="1"/>
  <c r="AH144" i="1"/>
  <c r="AI125" i="1"/>
  <c r="AJ122" i="1" s="1"/>
  <c r="AI128" i="1"/>
  <c r="AI131" i="1" s="1"/>
  <c r="AI129" i="1"/>
  <c r="AI132" i="1" s="1"/>
  <c r="AI144" i="1" l="1"/>
  <c r="AI134" i="1"/>
  <c r="AI135" i="1" s="1"/>
  <c r="AI133" i="1"/>
  <c r="AJ123" i="1"/>
  <c r="AJ124" i="1" s="1"/>
  <c r="AJ126" i="1" s="1"/>
  <c r="AJ128" i="1" l="1"/>
  <c r="AJ131" i="1" s="1"/>
  <c r="AJ129" i="1"/>
  <c r="AJ132" i="1" s="1"/>
  <c r="D132" i="1" s="1"/>
  <c r="AJ125" i="1"/>
  <c r="AJ134" i="1" l="1"/>
  <c r="AJ135" i="1" s="1"/>
  <c r="AJ144" i="1"/>
  <c r="D145" i="1" s="1"/>
  <c r="I51" i="8" s="1"/>
  <c r="AJ133" i="1"/>
  <c r="D131" i="1"/>
  <c r="D135" i="1"/>
  <c r="I9" i="8" l="1"/>
  <c r="C21" i="1"/>
  <c r="I50" i="8"/>
  <c r="B2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Alan Stevenson</author>
  </authors>
  <commentList>
    <comment ref="I9" authorId="0" shapeId="0" xr:uid="{9DA143A7-A5EA-4BCB-AD16-4BA507BBFF49}">
      <text>
        <r>
          <rPr>
            <b/>
            <sz val="9"/>
            <color indexed="81"/>
            <rFont val="Tahoma"/>
            <family val="2"/>
          </rPr>
          <t>Alan Stevenson:</t>
        </r>
        <r>
          <rPr>
            <sz val="9"/>
            <color indexed="81"/>
            <rFont val="Tahoma"/>
            <family val="2"/>
          </rPr>
          <t xml:space="preserve">
if available as part of an offering package.</t>
        </r>
      </text>
    </comment>
    <comment ref="I41" authorId="0" shapeId="0" xr:uid="{DA513931-2003-463D-A4FB-721D5CF17826}">
      <text>
        <r>
          <rPr>
            <b/>
            <sz val="9"/>
            <color indexed="81"/>
            <rFont val="Tahoma"/>
            <family val="2"/>
          </rPr>
          <t>Alan Stevenson:</t>
        </r>
        <r>
          <rPr>
            <sz val="9"/>
            <color indexed="81"/>
            <rFont val="Tahoma"/>
            <family val="2"/>
          </rPr>
          <t xml:space="preserve">
if available as part of an offering package.</t>
        </r>
      </text>
    </comment>
  </commentList>
</comments>
</file>

<file path=xl/sharedStrings.xml><?xml version="1.0" encoding="utf-8"?>
<sst xmlns="http://schemas.openxmlformats.org/spreadsheetml/2006/main" count="1668" uniqueCount="1015">
  <si>
    <t>Price</t>
  </si>
  <si>
    <t># of spaces
MH/RV/other</t>
  </si>
  <si>
    <t>Price/space</t>
  </si>
  <si>
    <t>Additional Cash needs</t>
  </si>
  <si>
    <t>Vacancy</t>
  </si>
  <si>
    <t>Park owned homes</t>
  </si>
  <si>
    <t>Entry Cap rate</t>
  </si>
  <si>
    <t>Target IRR</t>
  </si>
  <si>
    <t>Key Attributes</t>
  </si>
  <si>
    <t>Average rent of $746 with turnover rent at $850</t>
  </si>
  <si>
    <t>Municipal water conversion complete within 30 days</t>
  </si>
  <si>
    <t>Opportunity to profitably fill vacant lots</t>
  </si>
  <si>
    <t>Amenities include pool and clubhouse</t>
  </si>
  <si>
    <t>Utilities passed through</t>
  </si>
  <si>
    <t>Currently under managed</t>
  </si>
  <si>
    <t>What makes this property an attractive investment?</t>
  </si>
  <si>
    <t>Uses of additional cash</t>
  </si>
  <si>
    <t>Summary explanation of changes of value</t>
  </si>
  <si>
    <t>Value at year 5</t>
  </si>
  <si>
    <t>Value/space</t>
  </si>
  <si>
    <t>Refi Cap rate</t>
  </si>
  <si>
    <t>5 YR ROI (cash only)</t>
  </si>
  <si>
    <r>
      <t xml:space="preserve">INVESTMENT STRUCTURE </t>
    </r>
    <r>
      <rPr>
        <b/>
        <sz val="10"/>
        <color theme="0"/>
        <rFont val="Arial"/>
        <family val="2"/>
      </rPr>
      <t>(projected returns)</t>
    </r>
  </si>
  <si>
    <t>Cash Infusion Required</t>
  </si>
  <si>
    <r>
      <t>Investment Amount</t>
    </r>
    <r>
      <rPr>
        <b/>
        <sz val="11"/>
        <rFont val="Calibri"/>
        <family val="2"/>
        <scheme val="minor"/>
      </rPr>
      <t xml:space="preserve"> </t>
    </r>
    <r>
      <rPr>
        <b/>
        <sz val="11"/>
        <color rgb="FFC00000"/>
        <rFont val="Calibri"/>
        <family val="2"/>
        <scheme val="minor"/>
      </rPr>
      <t>(</t>
    </r>
    <r>
      <rPr>
        <b/>
        <i/>
        <sz val="11"/>
        <color rgb="FFC00000"/>
        <rFont val="Calibri"/>
        <family val="2"/>
        <scheme val="minor"/>
      </rPr>
      <t>enter amt</t>
    </r>
    <r>
      <rPr>
        <b/>
        <sz val="11"/>
        <color rgb="FFC00000"/>
        <rFont val="Calibri"/>
        <family val="2"/>
        <scheme val="minor"/>
      </rPr>
      <t>)</t>
    </r>
  </si>
  <si>
    <t>Number of Units/of 10,000 total</t>
  </si>
  <si>
    <t>% of ownership</t>
  </si>
  <si>
    <t>Projected Cash Return</t>
  </si>
  <si>
    <t>Year 1</t>
  </si>
  <si>
    <t>Year 2</t>
  </si>
  <si>
    <t>Year 3</t>
  </si>
  <si>
    <t>Year 4</t>
  </si>
  <si>
    <t xml:space="preserve">        Year 5</t>
  </si>
  <si>
    <t>Projected Depreciation</t>
  </si>
  <si>
    <t>Projected total cash returned through year 5</t>
  </si>
  <si>
    <t>Investor IRR (30 Year Hold)</t>
  </si>
  <si>
    <t>Projected value of equity remaining at year 5</t>
  </si>
  <si>
    <t>Investor IRR with Tax Shield (30 Year Hold)</t>
  </si>
  <si>
    <t>Total of cash returned plus retained equity</t>
  </si>
  <si>
    <t>Equity multiple on cash plus retained equity</t>
  </si>
  <si>
    <t xml:space="preserve"> Eli Weiner    530.400.2354</t>
  </si>
  <si>
    <t xml:space="preserve">For information contact: </t>
  </si>
  <si>
    <t>eli@boavidacommunities.com</t>
  </si>
  <si>
    <t>Purchase Price</t>
  </si>
  <si>
    <t>Projections</t>
  </si>
  <si>
    <t>Year 5</t>
  </si>
  <si>
    <t>Year 6</t>
  </si>
  <si>
    <t>Acquisition Cost</t>
  </si>
  <si>
    <t>Total</t>
  </si>
  <si>
    <t>Gross Income</t>
  </si>
  <si>
    <t>Operating Expense</t>
  </si>
  <si>
    <t>Additional Capital / Closing</t>
  </si>
  <si>
    <t>Net Income</t>
  </si>
  <si>
    <t>Total Acquisition Cost</t>
  </si>
  <si>
    <t>Gross Profit</t>
  </si>
  <si>
    <t>All In Entrance Cap Rate</t>
  </si>
  <si>
    <t>Debt Service</t>
  </si>
  <si>
    <t>Equity</t>
  </si>
  <si>
    <t xml:space="preserve">Debt </t>
  </si>
  <si>
    <t>Net Cash Flow after Debt Service</t>
  </si>
  <si>
    <t>Cash from Sale of POH</t>
  </si>
  <si>
    <t>Return of Capital from Refinance</t>
  </si>
  <si>
    <t>Cash Available for Distribution</t>
  </si>
  <si>
    <t>Total Equity Investment</t>
  </si>
  <si>
    <t>Cash Flow to Investor</t>
  </si>
  <si>
    <t>Number of Spaces</t>
  </si>
  <si>
    <t>ROE</t>
  </si>
  <si>
    <t>Price/Space</t>
  </si>
  <si>
    <t>Returns</t>
  </si>
  <si>
    <t>Investor Target IRR</t>
  </si>
  <si>
    <t>Cash on Cash (5 Years)</t>
  </si>
  <si>
    <t>Distributions (5 Years)</t>
  </si>
  <si>
    <t>Shady Glen - 450 Gladycon Rd, Colfax CA 95713</t>
  </si>
  <si>
    <t>Cell T1 is used for the AutoSave Function</t>
  </si>
  <si>
    <t>Acquisition Summary</t>
  </si>
  <si>
    <t>Per Space</t>
  </si>
  <si>
    <t>Inputs / Assumptions</t>
  </si>
  <si>
    <t>Inflation</t>
  </si>
  <si>
    <t>Historical Expense Inputs To Fill</t>
  </si>
  <si>
    <r>
      <t xml:space="preserve">Addl Capital / Closing Costs </t>
    </r>
    <r>
      <rPr>
        <b/>
        <sz val="10"/>
        <rFont val="Arial"/>
        <family val="2"/>
      </rPr>
      <t>(see Notes)</t>
    </r>
  </si>
  <si>
    <t>Management Fee</t>
  </si>
  <si>
    <t>Recourse Loan</t>
  </si>
  <si>
    <t>No</t>
  </si>
  <si>
    <t>Trailing 12</t>
  </si>
  <si>
    <t>Total Investment</t>
  </si>
  <si>
    <t>Management Fee Limit</t>
  </si>
  <si>
    <t>Acquisition Fee</t>
  </si>
  <si>
    <t>2018 Annualized</t>
  </si>
  <si>
    <t>Year 1 Cap Rate Before Capital Costs</t>
  </si>
  <si>
    <t>Vacant Spaces Filled/Year</t>
  </si>
  <si>
    <t>Asset Management Fee</t>
  </si>
  <si>
    <t>Brkr Projection</t>
  </si>
  <si>
    <t>Projected Year 1 Cap Rate After Capital Costs</t>
  </si>
  <si>
    <t>Maintenance / Capital Reserve</t>
  </si>
  <si>
    <t>/space/yr</t>
  </si>
  <si>
    <t>Refinance Fee</t>
  </si>
  <si>
    <t>Refinance Cap Rate Assumption</t>
  </si>
  <si>
    <t>Insurance Cost/Pad</t>
  </si>
  <si>
    <t>Disposition Fee</t>
  </si>
  <si>
    <t>Space Rent to Acq $ Per Pad Ratio</t>
  </si>
  <si>
    <t>Occupied</t>
  </si>
  <si>
    <t>Vacant</t>
  </si>
  <si>
    <t>Vacancy Rate</t>
  </si>
  <si>
    <t>Water</t>
  </si>
  <si>
    <t>Sewer</t>
  </si>
  <si>
    <t>Notes</t>
  </si>
  <si>
    <t>Flood Zone</t>
  </si>
  <si>
    <t>MH - Original Section</t>
  </si>
  <si>
    <t>WWTP</t>
  </si>
  <si>
    <t>MH - Expanded Section</t>
  </si>
  <si>
    <t>Commercial building</t>
  </si>
  <si>
    <t>Park Owned Homes (POH)</t>
  </si>
  <si>
    <t>--&gt; POH to be sold</t>
  </si>
  <si>
    <t>Park Owned Home NOI Summary</t>
  </si>
  <si>
    <t>Home P&amp;I Calculator</t>
  </si>
  <si>
    <t>POH Rent</t>
  </si>
  <si>
    <t>$ Total</t>
  </si>
  <si>
    <t>$ / Home / Mo.</t>
  </si>
  <si>
    <t>Home Value</t>
  </si>
  <si>
    <t>Term (years)</t>
  </si>
  <si>
    <t>Return Metrics Summary</t>
  </si>
  <si>
    <t>3 Year</t>
  </si>
  <si>
    <t>5 Year</t>
  </si>
  <si>
    <t>10 Year</t>
  </si>
  <si>
    <t>Investor BVG Split</t>
  </si>
  <si>
    <t>Income</t>
  </si>
  <si>
    <t>LTV (%)</t>
  </si>
  <si>
    <t>Term (months)</t>
  </si>
  <si>
    <t>Gross IRR - Unl.</t>
  </si>
  <si>
    <t>Investor %</t>
  </si>
  <si>
    <t>Insurance</t>
  </si>
  <si>
    <t>Loan Amt</t>
  </si>
  <si>
    <t>Interest Rate</t>
  </si>
  <si>
    <t>Gross IRR - Lev.</t>
  </si>
  <si>
    <t>BVG %</t>
  </si>
  <si>
    <t>Total Exp Ratio</t>
  </si>
  <si>
    <t>Maintenance</t>
  </si>
  <si>
    <t>Investor IRR</t>
  </si>
  <si>
    <t>Investor Pref. Return (Yr 1)</t>
  </si>
  <si>
    <t>P&amp;I</t>
  </si>
  <si>
    <t>Monthly payment</t>
  </si>
  <si>
    <t>Investor EM</t>
  </si>
  <si>
    <t>Investor Pref. Return (After Yr 1)</t>
  </si>
  <si>
    <t>NOI</t>
  </si>
  <si>
    <t>Total Inv. Distrib.</t>
  </si>
  <si>
    <t>POH Cap Rate</t>
  </si>
  <si>
    <t>Total Value</t>
  </si>
  <si>
    <t>Per Home</t>
  </si>
  <si>
    <t>BVG Cash</t>
  </si>
  <si>
    <t>Yr 10 Value</t>
  </si>
  <si>
    <t>Year 10 $/Pad</t>
  </si>
  <si>
    <t>Value $ / Pad</t>
  </si>
  <si>
    <t>GL Acct</t>
  </si>
  <si>
    <t>Yr 1 Total</t>
  </si>
  <si>
    <t>Monthly Operating Summary</t>
  </si>
  <si>
    <t>Base Year</t>
  </si>
  <si>
    <t>BVG Budget</t>
  </si>
  <si>
    <t>Rental Rate by Category</t>
  </si>
  <si>
    <t>Gross Rental Income by Category</t>
  </si>
  <si>
    <t>Spaces</t>
  </si>
  <si>
    <t>Total Vac. Spaces</t>
  </si>
  <si>
    <t>Net Rental Income</t>
  </si>
  <si>
    <t>Other Income</t>
  </si>
  <si>
    <t>Annualized</t>
  </si>
  <si>
    <t>Gas / Propane</t>
  </si>
  <si>
    <t>Trash (pass through $26.55 per pad) - CHANGING TO 97%</t>
  </si>
  <si>
    <t>Sewer (continue $65 per pad)</t>
  </si>
  <si>
    <t>RV Storage</t>
  </si>
  <si>
    <t>Ground Lease - New Fiber Ground Lease</t>
  </si>
  <si>
    <t>Total Other Income</t>
  </si>
  <si>
    <t>Free Rent/Utilities to Manager</t>
  </si>
  <si>
    <t>Total Income (Monthly)</t>
  </si>
  <si>
    <t>Historical Exp.</t>
  </si>
  <si>
    <t>Yr 1 $/Pad</t>
  </si>
  <si>
    <t>Monthly Expenses</t>
  </si>
  <si>
    <t>Payroll Taxes</t>
  </si>
  <si>
    <t>Workers Comp</t>
  </si>
  <si>
    <t>Electric ($277,990 in 2024 is electric and trash - built up new number)</t>
  </si>
  <si>
    <t>Gas/Propane - based on past 31 months plus 20%</t>
  </si>
  <si>
    <t>Trash (see detail on DD Audit Tab - built up from bills)</t>
  </si>
  <si>
    <t>Sewer-septic (we don't know the opperating cost - assume $25 / unit)</t>
  </si>
  <si>
    <t>Water (built up from web numbers - need to confirm)</t>
  </si>
  <si>
    <t>Phone/Cable/Internet</t>
  </si>
  <si>
    <t>Auto expense &amp; travel</t>
  </si>
  <si>
    <t>Outside Services -plumbing, electrical, etc</t>
  </si>
  <si>
    <t>Landscape, pool, &amp; sweeping maintenance &amp; supplies</t>
  </si>
  <si>
    <t xml:space="preserve">Insurance </t>
  </si>
  <si>
    <t>Billing Software</t>
  </si>
  <si>
    <t>Legal Expenses</t>
  </si>
  <si>
    <t>LLC/LP Tax</t>
  </si>
  <si>
    <t>Advertising</t>
  </si>
  <si>
    <t>Tax Return Preparation/accounting</t>
  </si>
  <si>
    <t>Licenses and Permits</t>
  </si>
  <si>
    <t>Banking and Merchant fees (est)</t>
  </si>
  <si>
    <t>Office Supplies, Postage, Pager, Printing, dues, subscr, Misc.</t>
  </si>
  <si>
    <t>Total Operating Expense (Monthly)</t>
  </si>
  <si>
    <t>Net Operating Income (Monthly)</t>
  </si>
  <si>
    <t>Net Operating Income (Annual)</t>
  </si>
  <si>
    <t xml:space="preserve">Return On Cost </t>
  </si>
  <si>
    <t>Initial</t>
  </si>
  <si>
    <t>Refi</t>
  </si>
  <si>
    <t>LTV</t>
  </si>
  <si>
    <t>Debt service</t>
  </si>
  <si>
    <t>Additional debt/Refinance</t>
  </si>
  <si>
    <t>Amort.</t>
  </si>
  <si>
    <t>Payment</t>
  </si>
  <si>
    <t>Rate</t>
  </si>
  <si>
    <t>Principal</t>
  </si>
  <si>
    <t>Interest</t>
  </si>
  <si>
    <t>1st Refi at Year</t>
  </si>
  <si>
    <t>2nd Refi at Year</t>
  </si>
  <si>
    <t>Ending balance</t>
  </si>
  <si>
    <t>Years of IO</t>
  </si>
  <si>
    <t>DSCR</t>
  </si>
  <si>
    <t>This line isn't needed but was helpful when looking at POH Income</t>
  </si>
  <si>
    <t>DSCR w/POH Income</t>
  </si>
  <si>
    <t>Refinance Valuation</t>
  </si>
  <si>
    <t>REFI CAP RATE</t>
  </si>
  <si>
    <t>AVG PRICE EA</t>
  </si>
  <si>
    <t>Net Operating Cash Flow From POH</t>
  </si>
  <si>
    <t>Note Income from POH</t>
  </si>
  <si>
    <t>POH Seller Carry Note</t>
  </si>
  <si>
    <t>Return of Capital (other)</t>
  </si>
  <si>
    <t>Sale Proceeds at Exit</t>
  </si>
  <si>
    <t>Pretax Income Available for Distribution</t>
  </si>
  <si>
    <t>Leveraged Return On Initial Equity</t>
  </si>
  <si>
    <r>
      <t xml:space="preserve">Gross IRR </t>
    </r>
    <r>
      <rPr>
        <sz val="10"/>
        <rFont val="Arial"/>
        <family val="2"/>
      </rPr>
      <t>(par return)</t>
    </r>
  </si>
  <si>
    <t>Distributions</t>
  </si>
  <si>
    <t>Investor Preferred Return</t>
  </si>
  <si>
    <t>Beginning balance</t>
  </si>
  <si>
    <t>Preferred return</t>
  </si>
  <si>
    <t>Available</t>
  </si>
  <si>
    <t>Split</t>
  </si>
  <si>
    <t>Investor</t>
  </si>
  <si>
    <t>BVG</t>
  </si>
  <si>
    <t>Total Project Cash Flow</t>
  </si>
  <si>
    <t>Investor Pretax Leveraged Return On Initial Equity</t>
  </si>
  <si>
    <t>Total Investor Cash (5 Years)</t>
  </si>
  <si>
    <t>Total BVG Cash (5 Years)</t>
  </si>
  <si>
    <t>Investor Return Inclusive of Depreciation</t>
  </si>
  <si>
    <t>Estimated Annual Depreciation (100% investors until refi)</t>
  </si>
  <si>
    <t>Estimated Amount of Taxable Income</t>
  </si>
  <si>
    <t>Depreciation Tax Shield</t>
  </si>
  <si>
    <t>Investor Cash Flow with Tax Shield</t>
  </si>
  <si>
    <t>Investor IRR with Depreciation Tax Shield</t>
  </si>
  <si>
    <t>BVG INTERNAL METRICS BELOW (automatically hidden in Investor version)</t>
  </si>
  <si>
    <t xml:space="preserve">In Place NOI </t>
  </si>
  <si>
    <t>Cost of Sale</t>
  </si>
  <si>
    <t>Monthly</t>
  </si>
  <si>
    <t>Less Free Rent To Manager</t>
  </si>
  <si>
    <t>=Total Income</t>
  </si>
  <si>
    <t>Less Year 1 Operating Expenses</t>
  </si>
  <si>
    <t>=In Place Net Operating Income</t>
  </si>
  <si>
    <t>Going In Cap Rate</t>
  </si>
  <si>
    <t>Internal Return Metrics</t>
  </si>
  <si>
    <t>Gross IRR - Unleveraged</t>
  </si>
  <si>
    <t>Gross IRR - Leveraged</t>
  </si>
  <si>
    <t>Investor Equity Multiple</t>
  </si>
  <si>
    <t>Investor Cash</t>
  </si>
  <si>
    <t>Apartments For Rent in Colfax CA | Zillow</t>
  </si>
  <si>
    <t>FY 2024 Fair Market Rent (FMRs) Documentation System — Sacramento--Roseville--Arden-Arcade, CA HUD Metro FMR Area (huduser.gov)</t>
  </si>
  <si>
    <t>3, 5, 10 YEAR HOLD UNLEVERED CALCULATIONS</t>
  </si>
  <si>
    <t>Year 7</t>
  </si>
  <si>
    <t>Year 8</t>
  </si>
  <si>
    <t>Year 9</t>
  </si>
  <si>
    <t>Year 10</t>
  </si>
  <si>
    <t>Below The Line Items</t>
  </si>
  <si>
    <t>Yr 3 Sale Proceeds</t>
  </si>
  <si>
    <t>3 Year Hold Unlevered Cash Flows</t>
  </si>
  <si>
    <t>3 Year Hold Unlevered IRR</t>
  </si>
  <si>
    <t>Yr 5 Sale Proceeds</t>
  </si>
  <si>
    <t>5 Year Hold Unlevered Cash Flows</t>
  </si>
  <si>
    <t>5 Year Hold Unlevered IRR</t>
  </si>
  <si>
    <t>Yr 10 Sale Proceeds</t>
  </si>
  <si>
    <t>10 Year Hold Unlevered Cash Flows</t>
  </si>
  <si>
    <t>10 Year Hold Unlevered IRR</t>
  </si>
  <si>
    <t xml:space="preserve">3 Year Hold Waterfall </t>
  </si>
  <si>
    <t>Refinance Valuation (from Proforma above)</t>
  </si>
  <si>
    <t>Repay Outstanding Loan</t>
  </si>
  <si>
    <t>Leveraged Gross IRR (3 year hold)</t>
  </si>
  <si>
    <t>Available After Pref / Return Of Capital</t>
  </si>
  <si>
    <t>Investor IRR (3 Year Hold)</t>
  </si>
  <si>
    <t>Total Investor Cash Flow</t>
  </si>
  <si>
    <t>5 Year Hold Waterfall</t>
  </si>
  <si>
    <t>Leveraged Gross IRR (5 year hold)</t>
  </si>
  <si>
    <t>Investor IRR (5 Year Hold)</t>
  </si>
  <si>
    <t>Total BVG Cash Flow</t>
  </si>
  <si>
    <t>10 Year Hold Waterfall</t>
  </si>
  <si>
    <t>Leveraged Gross IRR (10 year hold)</t>
  </si>
  <si>
    <t>Investor IRR (10 Year Hold)</t>
  </si>
  <si>
    <t>BVG Internal "to be hidden section" ends here</t>
  </si>
  <si>
    <t>Trash</t>
  </si>
  <si>
    <t>Favorable</t>
  </si>
  <si>
    <t>Additional Cash Needs at Close of Escrow</t>
  </si>
  <si>
    <t>Analysis Assumptions / Notes / Questions</t>
  </si>
  <si>
    <t>Closing Costs</t>
  </si>
  <si>
    <t>Escrow, Title, Other</t>
  </si>
  <si>
    <t>Loan Origination Fees</t>
  </si>
  <si>
    <t>Appraisal, Phase I, Survey</t>
  </si>
  <si>
    <t>Reimbursable Direct Due Diligence Costs</t>
  </si>
  <si>
    <t>Loan Legal</t>
  </si>
  <si>
    <t>Buyer's Broker Fee</t>
  </si>
  <si>
    <t>Other Closing Costs</t>
  </si>
  <si>
    <t>Subtotal Closing Costs</t>
  </si>
  <si>
    <t>Immediate Capital Needs</t>
  </si>
  <si>
    <t>Park Entrance Upgrades</t>
  </si>
  <si>
    <t>Roads / Asphalt</t>
  </si>
  <si>
    <t># of Spaces</t>
  </si>
  <si>
    <t>$/Space</t>
  </si>
  <si>
    <t>Water Meter Installation</t>
  </si>
  <si>
    <t>Manager's Residence</t>
  </si>
  <si>
    <t># of Homes</t>
  </si>
  <si>
    <t>$/Home</t>
  </si>
  <si>
    <t>Home Removal</t>
  </si>
  <si>
    <t>Lot Preparation (working capital - should get back)</t>
  </si>
  <si>
    <t>New Home Installation</t>
  </si>
  <si>
    <t>Used Home Remodel</t>
  </si>
  <si>
    <t>New roof on Commercial Building</t>
  </si>
  <si>
    <t>Other Capital Needs</t>
  </si>
  <si>
    <t>Subtotal Immediate Capital Needs</t>
  </si>
  <si>
    <t>Total Additional Cash at Close of Escrow</t>
  </si>
  <si>
    <t>Property Tax Detail</t>
  </si>
  <si>
    <t>Budgeted Employee Expense</t>
  </si>
  <si>
    <t>Value</t>
  </si>
  <si>
    <t>Old</t>
  </si>
  <si>
    <t>New</t>
  </si>
  <si>
    <t>Hrs / Week</t>
  </si>
  <si>
    <t>$ Per Hour</t>
  </si>
  <si>
    <t>Total $/Mo</t>
  </si>
  <si>
    <t>Count</t>
  </si>
  <si>
    <t>FTE</t>
  </si>
  <si>
    <t xml:space="preserve"> APN</t>
  </si>
  <si>
    <t>Management</t>
  </si>
  <si>
    <t>Indirect Fees</t>
  </si>
  <si>
    <t>Manager</t>
  </si>
  <si>
    <t>Asst Manager</t>
  </si>
  <si>
    <t>Other</t>
  </si>
  <si>
    <t>Subtotal Management</t>
  </si>
  <si>
    <t>Maintenance Engineer</t>
  </si>
  <si>
    <t>Asst. Maintenance Eng.</t>
  </si>
  <si>
    <t>Other Employees</t>
  </si>
  <si>
    <t>Other 1</t>
  </si>
  <si>
    <t>Other 2</t>
  </si>
  <si>
    <t>total indirect fees</t>
  </si>
  <si>
    <t>Other 3</t>
  </si>
  <si>
    <t>Direct Levies</t>
  </si>
  <si>
    <t>Subtotal Other</t>
  </si>
  <si>
    <t>TOTALS</t>
  </si>
  <si>
    <t>analysis</t>
  </si>
  <si>
    <t>difference</t>
  </si>
  <si>
    <t>per space/mo</t>
  </si>
  <si>
    <t>Depreciation</t>
  </si>
  <si>
    <t>Category</t>
  </si>
  <si>
    <t>Schedule</t>
  </si>
  <si>
    <t>Land Allocation (20%)</t>
  </si>
  <si>
    <t>Buildings Non-Residential</t>
  </si>
  <si>
    <t>39 years</t>
  </si>
  <si>
    <t>Clubhouse</t>
  </si>
  <si>
    <t>Office</t>
  </si>
  <si>
    <t>Laundry</t>
  </si>
  <si>
    <t>Subtotal Non-Residential</t>
  </si>
  <si>
    <t>Buildings Residential</t>
  </si>
  <si>
    <t>27.5 years</t>
  </si>
  <si>
    <t>avg value each</t>
  </si>
  <si>
    <t>POH (qty)</t>
  </si>
  <si>
    <t>Subtotal Residential</t>
  </si>
  <si>
    <t>Infrastructure</t>
  </si>
  <si>
    <t>15 years</t>
  </si>
  <si>
    <t xml:space="preserve">First Year Bonus Depreciation </t>
  </si>
  <si>
    <t>Year 1 NOI</t>
  </si>
  <si>
    <t>Year 1 Taxable income</t>
  </si>
  <si>
    <t>Housing / Economic Summary</t>
  </si>
  <si>
    <t>Historical Population</t>
  </si>
  <si>
    <t>MH Affordability Analysis</t>
  </si>
  <si>
    <t>Zillow Home Value Index</t>
  </si>
  <si>
    <t>MH Pmt Inputs</t>
  </si>
  <si>
    <t>Siet Built Home Pmts.</t>
  </si>
  <si>
    <t>2 Bd Apt Rent</t>
  </si>
  <si>
    <t>Apartment Rents</t>
  </si>
  <si>
    <t>1bd</t>
  </si>
  <si>
    <t>2bd</t>
  </si>
  <si>
    <t>3bd</t>
  </si>
  <si>
    <t>Home Price</t>
  </si>
  <si>
    <t>Down Pmt</t>
  </si>
  <si>
    <t>Med. Home Price</t>
  </si>
  <si>
    <t>Avg. Rents</t>
  </si>
  <si>
    <t>Down Payment</t>
  </si>
  <si>
    <t xml:space="preserve">Median Home Price </t>
  </si>
  <si>
    <t>Population</t>
  </si>
  <si>
    <t>Amortization</t>
  </si>
  <si>
    <t>Median HH Income</t>
  </si>
  <si>
    <t>MH Taxes (Monthly)</t>
  </si>
  <si>
    <t>Prop Taxes/Mo.</t>
  </si>
  <si>
    <t>Major Employers</t>
  </si>
  <si>
    <t>In-Place</t>
  </si>
  <si>
    <t>Manufactured</t>
  </si>
  <si>
    <t>Mortgage</t>
  </si>
  <si>
    <t>Total MH Pmt</t>
  </si>
  <si>
    <t xml:space="preserve">2 Bedroom </t>
  </si>
  <si>
    <t>Med. Home</t>
  </si>
  <si>
    <t>Rental Listings in Colfax CA - 2 Rentals | Zillow</t>
  </si>
  <si>
    <t>Space Rent</t>
  </si>
  <si>
    <t>Apt Rent</t>
  </si>
  <si>
    <t>(Unfavorable)</t>
  </si>
  <si>
    <t>Historical Income / Expense Data Entry Form</t>
  </si>
  <si>
    <t>List Data for Proforma (Do Not Change)</t>
  </si>
  <si>
    <t>Deal Name</t>
  </si>
  <si>
    <t>Current Year</t>
  </si>
  <si>
    <t>Three Past Years</t>
  </si>
  <si>
    <t>Date of Statement</t>
  </si>
  <si>
    <t># of Months for YTD</t>
  </si>
  <si>
    <t>BVG Defaults</t>
  </si>
  <si>
    <t>Historical Income Data Entry</t>
  </si>
  <si>
    <t xml:space="preserve">BVG </t>
  </si>
  <si>
    <t>YTD</t>
  </si>
  <si>
    <t xml:space="preserve">Annualized </t>
  </si>
  <si>
    <t>Broker</t>
  </si>
  <si>
    <t>Historical Income Entry</t>
  </si>
  <si>
    <t>Account#</t>
  </si>
  <si>
    <t>Projection</t>
  </si>
  <si>
    <t>Defaults</t>
  </si>
  <si>
    <t>BVG Account Name</t>
  </si>
  <si>
    <t>MH Space Rent Tier 1</t>
  </si>
  <si>
    <t>RV Space Rent Permanent</t>
  </si>
  <si>
    <t>RV Space Rent Temporary</t>
  </si>
  <si>
    <t>Vacancy Loss</t>
  </si>
  <si>
    <t>Electric</t>
  </si>
  <si>
    <t>Other, misc.</t>
  </si>
  <si>
    <t>Free Rent to Manager</t>
  </si>
  <si>
    <t>Rental Income</t>
  </si>
  <si>
    <t>Trash Income</t>
  </si>
  <si>
    <t>Water Income</t>
  </si>
  <si>
    <t>Sewer Income</t>
  </si>
  <si>
    <t>Electric Income</t>
  </si>
  <si>
    <t>Fiber Optic Lease</t>
  </si>
  <si>
    <t>Totals for Checksum</t>
  </si>
  <si>
    <t>Historical Expenses Data Entry</t>
  </si>
  <si>
    <t>Historical Expenses Entry</t>
  </si>
  <si>
    <t>Bank Serivce Charge</t>
  </si>
  <si>
    <t>Manager/Maint (Fill In Description of Assumptions))</t>
  </si>
  <si>
    <t>Business licnese and permits</t>
  </si>
  <si>
    <t>Computer and internet expenses</t>
  </si>
  <si>
    <t>Management and labor</t>
  </si>
  <si>
    <t>Gas/Propane</t>
  </si>
  <si>
    <t>This can be tricky on YTD statements as is often paid twice per year.</t>
  </si>
  <si>
    <t>Water service and testing</t>
  </si>
  <si>
    <t>Sewer-septic</t>
  </si>
  <si>
    <t>Professional fees</t>
  </si>
  <si>
    <t xml:space="preserve">Water </t>
  </si>
  <si>
    <t>Repairs and maintenance</t>
  </si>
  <si>
    <t>Slaries and wages</t>
  </si>
  <si>
    <t>FTB -  state tax</t>
  </si>
  <si>
    <t xml:space="preserve">Maintenance $250 per space </t>
  </si>
  <si>
    <t>Payroll tax</t>
  </si>
  <si>
    <t>Property Taxes (Add Description of Assumptions)</t>
  </si>
  <si>
    <t>Utilities</t>
  </si>
  <si>
    <t>Proprerty Management &amp; Labor</t>
  </si>
  <si>
    <t>Biling Software</t>
  </si>
  <si>
    <t>Automobile Expense</t>
  </si>
  <si>
    <t>Bank Service Charges</t>
  </si>
  <si>
    <t>Business Licenses and Permits</t>
  </si>
  <si>
    <t>Computer and Internet Expenses</t>
  </si>
  <si>
    <t>Dues and Subscriptions</t>
  </si>
  <si>
    <t>Insurance Expense</t>
  </si>
  <si>
    <t>Office Supplies</t>
  </si>
  <si>
    <t>Outside Services</t>
  </si>
  <si>
    <t>Professional Mgmt ($2,000/mo or 5%)</t>
  </si>
  <si>
    <t>Payroll Processing Fees</t>
  </si>
  <si>
    <t>Permit/Taxes/License/Fees</t>
  </si>
  <si>
    <t>Postage and Delivery</t>
  </si>
  <si>
    <t>Professional Fees</t>
  </si>
  <si>
    <t>Repairs and Maintenance</t>
  </si>
  <si>
    <t>Salaries &amp; Wages</t>
  </si>
  <si>
    <t>Payroll Tax</t>
  </si>
  <si>
    <t>Property Tax</t>
  </si>
  <si>
    <t>Travel Expense</t>
  </si>
  <si>
    <t>Advertising and Promotion</t>
  </si>
  <si>
    <t>Commission Expense</t>
  </si>
  <si>
    <t>Depreciation Expense</t>
  </si>
  <si>
    <t>Total Insurance Expense</t>
  </si>
  <si>
    <t>Interest Expense</t>
  </si>
  <si>
    <t>Management &amp; Labor</t>
  </si>
  <si>
    <t>Small Tools and Equipment</t>
  </si>
  <si>
    <t>Tax</t>
  </si>
  <si>
    <t>FTB- State</t>
  </si>
  <si>
    <t>Payroll</t>
  </si>
  <si>
    <t>Property</t>
  </si>
  <si>
    <t>Total Tax</t>
  </si>
  <si>
    <t>Waste Management</t>
  </si>
  <si>
    <t>Historical Income Analysis Summary</t>
  </si>
  <si>
    <t>May 25 Rent Roll</t>
  </si>
  <si>
    <t>Broker Projection</t>
  </si>
  <si>
    <t>BVG Default</t>
  </si>
  <si>
    <t>BVG Yr 1</t>
  </si>
  <si>
    <t>BVG Projection vs.</t>
  </si>
  <si>
    <t>Income Item</t>
  </si>
  <si>
    <t>Max T12 / Latest CY</t>
  </si>
  <si>
    <t>Notes / Comments</t>
  </si>
  <si>
    <t>Gross Rental Income</t>
  </si>
  <si>
    <t xml:space="preserve"> </t>
  </si>
  <si>
    <t xml:space="preserve">    Less Vacancy Loss</t>
  </si>
  <si>
    <t>YOY Change</t>
  </si>
  <si>
    <t>Less Free Rent / Utilities To Manager</t>
  </si>
  <si>
    <t>Total Income</t>
  </si>
  <si>
    <t>Historical Expense Analysis Summary</t>
  </si>
  <si>
    <t>Expense Item</t>
  </si>
  <si>
    <t>BVG Yr 1 Projection</t>
  </si>
  <si>
    <t>Average Historical</t>
  </si>
  <si>
    <t>Lookup</t>
  </si>
  <si>
    <t>Maintenance / Capital Reserve ($250 per space / year)</t>
  </si>
  <si>
    <t>Landscaping, Grounds Maintenance, Outside Services</t>
  </si>
  <si>
    <t>Equipment and Supplies</t>
  </si>
  <si>
    <t>Professional Mgmt ($2,000/mo or 5.0%)</t>
  </si>
  <si>
    <t>Total Expenses</t>
  </si>
  <si>
    <t>Operating Expense / Income Ratio</t>
  </si>
  <si>
    <t>Net Operating Income</t>
  </si>
  <si>
    <t>Utility Leakage Analysis</t>
  </si>
  <si>
    <t>Overall Utility Leakage</t>
  </si>
  <si>
    <t>Utility Reimbursement Income</t>
  </si>
  <si>
    <t>Utility Expense</t>
  </si>
  <si>
    <t>Utility Leakage</t>
  </si>
  <si>
    <t>% Utility Reimbursed</t>
  </si>
  <si>
    <t>Electricity Leakage</t>
  </si>
  <si>
    <t>Electricity Reimbursement Income</t>
  </si>
  <si>
    <t>Electricity Expense</t>
  </si>
  <si>
    <t>Electrcity Leakage</t>
  </si>
  <si>
    <t>% Electricity Reimbursed</t>
  </si>
  <si>
    <t>Gas Leakage</t>
  </si>
  <si>
    <t>Gas Reimbursement Income</t>
  </si>
  <si>
    <t>Gas Expense</t>
  </si>
  <si>
    <t>% Gas Reimbursed</t>
  </si>
  <si>
    <t>Trash Leakage</t>
  </si>
  <si>
    <t>Trash Reimbursement Income</t>
  </si>
  <si>
    <t>Trash Expense</t>
  </si>
  <si>
    <t>% Trash Reimbursed</t>
  </si>
  <si>
    <t>Sewer Leakage</t>
  </si>
  <si>
    <t>Sewer Reimbursement Income</t>
  </si>
  <si>
    <t>Sewer Expense</t>
  </si>
  <si>
    <t>% Sewer Reimbursed</t>
  </si>
  <si>
    <t>Water Leakage</t>
  </si>
  <si>
    <t>Water Reimbursement Income</t>
  </si>
  <si>
    <t>Water Expense</t>
  </si>
  <si>
    <t>% Water Reimbursed</t>
  </si>
  <si>
    <t>Combined Sewer/Water Leakage</t>
  </si>
  <si>
    <t>Combined Sewer/Water Reimbursement Income</t>
  </si>
  <si>
    <t>Combined Sewer/Water Expense</t>
  </si>
  <si>
    <t>% Combined Sewer/Water Reimbursed</t>
  </si>
  <si>
    <t>don't delete - needed for chart names</t>
  </si>
  <si>
    <t>Income Account Codes</t>
  </si>
  <si>
    <t>May be included with Mobile Home income under a single line item</t>
  </si>
  <si>
    <r>
      <rPr>
        <sz val="11"/>
        <color rgb="FFFF0000"/>
        <rFont val="Calibri"/>
        <family val="2"/>
        <scheme val="minor"/>
      </rPr>
      <t>Enter as a negative amount.</t>
    </r>
    <r>
      <rPr>
        <sz val="10"/>
        <rFont val="Arial"/>
        <family val="2"/>
      </rPr>
      <t xml:space="preserve"> Usually will not be shown on historical financial statements. Will appear on broker projections</t>
    </r>
  </si>
  <si>
    <t>Income from passing through utility costs to the residents</t>
  </si>
  <si>
    <t>Other income. Would include storage income</t>
  </si>
  <si>
    <t>Enter this as a negative amount</t>
  </si>
  <si>
    <t>The BoaVida Group - Chart of Expense Accounts</t>
  </si>
  <si>
    <t>Acct#</t>
  </si>
  <si>
    <t>Name</t>
  </si>
  <si>
    <t>Description</t>
  </si>
  <si>
    <t>Manager/Maint Salary Expense</t>
  </si>
  <si>
    <t>Actual wages paid. May or may not include benefits and payroll taxes</t>
  </si>
  <si>
    <t>Usually will not see these in historical financial statements</t>
  </si>
  <si>
    <t>Usually will not see this in historical financial statements</t>
  </si>
  <si>
    <t>This can be either / both electricity provided to the mobile home or electricity for common area items (like streetlights)</t>
  </si>
  <si>
    <t>Gas</t>
  </si>
  <si>
    <t>This is usually expense for natural gas provided to the homes</t>
  </si>
  <si>
    <t>Expense for trash collection (can also be called rubbish or sanitation)</t>
  </si>
  <si>
    <t>Expense for sewer costs to the mobile home park</t>
  </si>
  <si>
    <t>Expense for water costs to the mobile home park</t>
  </si>
  <si>
    <t xml:space="preserve">Phone/Cable </t>
  </si>
  <si>
    <t>Expenses for phone service and/or internet service for the park or the park office</t>
  </si>
  <si>
    <t>Miscellaneous travel services</t>
  </si>
  <si>
    <t>Repairs &amp; Maintenance / Capex Reserve</t>
  </si>
  <si>
    <t>This is a "reserve" account for future capital expenditures. We usually will not see this on historical financial statements</t>
  </si>
  <si>
    <t>Mainly expenses for repairs where an outside contractor (i.e. not a park employee) is used</t>
  </si>
  <si>
    <t>Mainly expenses for landcaping, etc where an outside contractor (i.e. not a park employee) is used</t>
  </si>
  <si>
    <t xml:space="preserve">Property Taxes </t>
  </si>
  <si>
    <t>This is a internal expense, and we will usually not see this on historical financial statements.</t>
  </si>
  <si>
    <t>Expenses for outside lawyers. Often will not be included on historical financial statements</t>
  </si>
  <si>
    <t>Expense for the ownership entity. Usually will not be included on historical financial statements.</t>
  </si>
  <si>
    <t>Expense for adverstising for the park. Often will not be included on historial financial statements.</t>
  </si>
  <si>
    <t>This may or may not be found on historical financial statements.</t>
  </si>
  <si>
    <t>This expense is usually related to license fees paid to government agencies and municipalities.</t>
  </si>
  <si>
    <t>These are bank fees and credit card fees. These often will not be included on historical financial statements.</t>
  </si>
  <si>
    <t>This account is kind of a "catch all" for other expenses (usually small)</t>
  </si>
  <si>
    <t>This expense is for 3rd party management and will often be called "Management Fee"</t>
  </si>
  <si>
    <t>PARTNERSHIP LEVEL RETURNS - EQUITY WATERFALL</t>
  </si>
  <si>
    <t>Promote Structure Method</t>
  </si>
  <si>
    <t>IRR</t>
  </si>
  <si>
    <t>Exit Year</t>
  </si>
  <si>
    <t>Return of Capital</t>
  </si>
  <si>
    <t>Pari Passu</t>
  </si>
  <si>
    <t>Refi Year</t>
  </si>
  <si>
    <t>Do not refi in exit year</t>
  </si>
  <si>
    <t>Equity Contributions</t>
  </si>
  <si>
    <t>%</t>
  </si>
  <si>
    <t>Amount</t>
  </si>
  <si>
    <t>Exit Cap Rate</t>
  </si>
  <si>
    <t>matches refi rate on proforma</t>
  </si>
  <si>
    <t>GP</t>
  </si>
  <si>
    <t>Error Check:</t>
  </si>
  <si>
    <t>LP Investors</t>
  </si>
  <si>
    <t>Profit Dist.:</t>
  </si>
  <si>
    <t>Total Equity</t>
  </si>
  <si>
    <t>Net BTCF:</t>
  </si>
  <si>
    <t>Promote Structure Incentive Breakdown</t>
  </si>
  <si>
    <t>Distribution as %</t>
  </si>
  <si>
    <t>GP %</t>
  </si>
  <si>
    <t>LP %</t>
  </si>
  <si>
    <t>Hurdle 1 (Preferred Return)</t>
  </si>
  <si>
    <t>Equity Multiple</t>
  </si>
  <si>
    <t>Pref</t>
  </si>
  <si>
    <t>GP Promote</t>
  </si>
  <si>
    <t>Hurdle 2</t>
  </si>
  <si>
    <t>Hurdle 3</t>
  </si>
  <si>
    <t>Hurdle 4</t>
  </si>
  <si>
    <t>Summary of Investor Level Returns</t>
  </si>
  <si>
    <t>Limited Partner (LP) Returns</t>
  </si>
  <si>
    <t>Total LP Distributions</t>
  </si>
  <si>
    <t>Total LP Contributions</t>
  </si>
  <si>
    <t>Total LP Profit</t>
  </si>
  <si>
    <t>LP IRR</t>
  </si>
  <si>
    <t>LP Equity Multiple</t>
  </si>
  <si>
    <t>GP Returns</t>
  </si>
  <si>
    <t>Total GP Distributions (Co-Inv. &amp; Promote)</t>
  </si>
  <si>
    <t>Total GP Co-Invest Distributions</t>
  </si>
  <si>
    <t>Total GP Promote Distributions</t>
  </si>
  <si>
    <t>Total GP Fees</t>
  </si>
  <si>
    <t>Total GP Contributions</t>
  </si>
  <si>
    <t>Total GP Profit</t>
  </si>
  <si>
    <t>GP IRR</t>
  </si>
  <si>
    <t>GP Equity Multiple</t>
  </si>
  <si>
    <t>Net Cash Flow For Distribution</t>
  </si>
  <si>
    <t>Year Ending</t>
  </si>
  <si>
    <t>Net Levered Before Tax Cash Flow</t>
  </si>
  <si>
    <t>Asset Management Fees</t>
  </si>
  <si>
    <t>Acquisition Fees</t>
  </si>
  <si>
    <t>Disposition Fees</t>
  </si>
  <si>
    <t>CS (Investor Fee)</t>
  </si>
  <si>
    <t># of investors ($200/yr)</t>
  </si>
  <si>
    <t>CS (Solution Deployment Fee)</t>
  </si>
  <si>
    <t>Sales Commission (Expense)</t>
  </si>
  <si>
    <t>Closing Cost (Expense)</t>
  </si>
  <si>
    <t>Adjusted Levered Before Tax Cash Flow</t>
  </si>
  <si>
    <t>Levered IRR</t>
  </si>
  <si>
    <t>Return of Capital &amp; Hurdle 1 (Preferred Return)</t>
  </si>
  <si>
    <t>Return Threshold - Up to:</t>
  </si>
  <si>
    <t>Beginning Balance (LP Capital Account)</t>
  </si>
  <si>
    <t>LP Return of Capital</t>
  </si>
  <si>
    <t>Req'd Return by LP to hit Hurdle 1</t>
  </si>
  <si>
    <t>Contributions from LP</t>
  </si>
  <si>
    <t>Distributions to LP (Hurdle 1)</t>
  </si>
  <si>
    <t>Ending Balance (LP Capital Account)</t>
  </si>
  <si>
    <t>Distribution to LP</t>
  </si>
  <si>
    <t>Beginning Balance (GP Capital Account)</t>
  </si>
  <si>
    <t>Req'd Return by GP (Pref)</t>
  </si>
  <si>
    <t>Contributions from GP</t>
  </si>
  <si>
    <t>Distribution to GP</t>
  </si>
  <si>
    <t>Ending Balance (GP Capital Account)</t>
  </si>
  <si>
    <t>Cash Flow Remaining</t>
  </si>
  <si>
    <t>Req'd Return by LP to hit Hurdle 2</t>
  </si>
  <si>
    <t>Prior Distributions</t>
  </si>
  <si>
    <t>.</t>
  </si>
  <si>
    <t>Req'd Return by LP to hit Hurdle 3</t>
  </si>
  <si>
    <t>Return Threshold - Greater than:</t>
  </si>
  <si>
    <r>
      <t>Property Taxes (</t>
    </r>
    <r>
      <rPr>
        <i/>
        <sz val="10"/>
        <rFont val="Arial"/>
        <family val="2"/>
      </rPr>
      <t>Prop 13 Reset</t>
    </r>
    <r>
      <rPr>
        <sz val="10"/>
        <rFont val="Arial"/>
        <family val="2"/>
      </rPr>
      <t>)</t>
    </r>
  </si>
  <si>
    <t>Well--&gt;CITY</t>
  </si>
  <si>
    <t>Water ($45 by seller going to ~$31 with city connection) - 95%</t>
  </si>
  <si>
    <t>Retaining Walls</t>
  </si>
  <si>
    <t>Junk removal</t>
  </si>
  <si>
    <t>WWTP Automatation and improvement</t>
  </si>
  <si>
    <t>Year 1 additional salary</t>
  </si>
  <si>
    <t>Trees deferred maintainence</t>
  </si>
  <si>
    <r>
      <rPr>
        <b/>
        <sz val="11"/>
        <rFont val="Arial"/>
        <family val="2"/>
      </rPr>
      <t>Rent Roll</t>
    </r>
  </si>
  <si>
    <r>
      <rPr>
        <b/>
        <sz val="8.5"/>
        <rFont val="Arial"/>
        <family val="2"/>
      </rPr>
      <t>All Properties Owned By:</t>
    </r>
  </si>
  <si>
    <r>
      <rPr>
        <sz val="8.5"/>
        <rFont val="Arial"/>
        <family val="2"/>
      </rPr>
      <t>Colfax Holdings, LLC</t>
    </r>
  </si>
  <si>
    <r>
      <rPr>
        <b/>
        <sz val="8.5"/>
        <rFont val="Arial"/>
        <family val="2"/>
      </rPr>
      <t xml:space="preserve">Units: </t>
    </r>
    <r>
      <rPr>
        <sz val="8.5"/>
        <rFont val="Arial"/>
        <family val="2"/>
      </rPr>
      <t>Active</t>
    </r>
  </si>
  <si>
    <r>
      <rPr>
        <b/>
        <sz val="8.5"/>
        <rFont val="Arial"/>
        <family val="2"/>
      </rPr>
      <t xml:space="preserve">As of: </t>
    </r>
    <r>
      <rPr>
        <sz val="8.5"/>
        <rFont val="Arial"/>
        <family val="2"/>
      </rPr>
      <t>06/14/2025 (Today)</t>
    </r>
  </si>
  <si>
    <r>
      <rPr>
        <b/>
        <sz val="8.5"/>
        <rFont val="Arial"/>
        <family val="2"/>
      </rPr>
      <t>Include Non-Revenue Units:</t>
    </r>
  </si>
  <si>
    <r>
      <rPr>
        <sz val="8.5"/>
        <rFont val="Arial"/>
        <family val="2"/>
      </rPr>
      <t>Yes</t>
    </r>
  </si>
  <si>
    <r>
      <rPr>
        <b/>
        <sz val="8.5"/>
        <rFont val="Arial"/>
        <family val="2"/>
      </rPr>
      <t xml:space="preserve">BD/
</t>
    </r>
    <r>
      <rPr>
        <b/>
        <sz val="8.5"/>
        <rFont val="Arial"/>
        <family val="2"/>
      </rPr>
      <t xml:space="preserve">Unit  Tags
</t>
    </r>
    <r>
      <rPr>
        <b/>
        <sz val="8.5"/>
        <rFont val="Arial"/>
        <family val="2"/>
      </rPr>
      <t>BA</t>
    </r>
  </si>
  <si>
    <r>
      <rPr>
        <b/>
        <sz val="8.5"/>
        <rFont val="Arial"/>
        <family val="2"/>
      </rPr>
      <t>Tenant</t>
    </r>
  </si>
  <si>
    <r>
      <rPr>
        <b/>
        <sz val="8.5"/>
        <rFont val="Arial"/>
        <family val="2"/>
      </rPr>
      <t xml:space="preserve">Market
</t>
    </r>
    <r>
      <rPr>
        <b/>
        <sz val="8.5"/>
        <rFont val="Arial"/>
        <family val="2"/>
      </rPr>
      <t xml:space="preserve">Status  Sqft
</t>
    </r>
    <r>
      <rPr>
        <b/>
        <sz val="8.5"/>
        <rFont val="Arial"/>
        <family val="2"/>
      </rPr>
      <t>Rent</t>
    </r>
  </si>
  <si>
    <r>
      <rPr>
        <b/>
        <vertAlign val="subscript"/>
        <sz val="8.5"/>
        <rFont val="Arial"/>
        <family val="2"/>
      </rPr>
      <t>Rent</t>
    </r>
  </si>
  <si>
    <r>
      <rPr>
        <b/>
        <vertAlign val="subscript"/>
        <sz val="8.5"/>
        <rFont val="Arial"/>
        <family val="2"/>
      </rPr>
      <t>Deposit</t>
    </r>
  </si>
  <si>
    <r>
      <rPr>
        <b/>
        <sz val="8.5"/>
        <rFont val="Arial"/>
        <family val="2"/>
      </rPr>
      <t xml:space="preserve">Lease </t>
    </r>
    <r>
      <rPr>
        <b/>
        <sz val="8.5"/>
        <rFont val="Arial"/>
        <family val="2"/>
      </rPr>
      <t>From</t>
    </r>
  </si>
  <si>
    <r>
      <rPr>
        <b/>
        <sz val="8.5"/>
        <rFont val="Arial"/>
        <family val="2"/>
      </rPr>
      <t xml:space="preserve">Lease </t>
    </r>
    <r>
      <rPr>
        <b/>
        <sz val="8.5"/>
        <rFont val="Arial"/>
        <family val="2"/>
      </rPr>
      <t>To</t>
    </r>
  </si>
  <si>
    <r>
      <rPr>
        <b/>
        <sz val="8.5"/>
        <rFont val="Arial"/>
        <family val="2"/>
      </rPr>
      <t xml:space="preserve">Move-
</t>
    </r>
    <r>
      <rPr>
        <b/>
        <sz val="8.5"/>
        <rFont val="Arial"/>
        <family val="2"/>
      </rPr>
      <t xml:space="preserve">Move-in
</t>
    </r>
    <r>
      <rPr>
        <b/>
        <sz val="8.5"/>
        <rFont val="Arial"/>
        <family val="2"/>
      </rPr>
      <t>out</t>
    </r>
  </si>
  <si>
    <r>
      <rPr>
        <b/>
        <sz val="8.5"/>
        <rFont val="Arial"/>
        <family val="2"/>
      </rPr>
      <t>Past Due</t>
    </r>
  </si>
  <si>
    <r>
      <rPr>
        <b/>
        <sz val="8.5"/>
        <rFont val="Arial"/>
        <family val="2"/>
      </rPr>
      <t xml:space="preserve">NSF </t>
    </r>
    <r>
      <rPr>
        <b/>
        <sz val="8.5"/>
        <rFont val="Arial"/>
        <family val="2"/>
      </rPr>
      <t>Count</t>
    </r>
  </si>
  <si>
    <r>
      <rPr>
        <b/>
        <sz val="8.5"/>
        <rFont val="Arial"/>
        <family val="2"/>
      </rPr>
      <t xml:space="preserve">Late </t>
    </r>
    <r>
      <rPr>
        <b/>
        <sz val="8.5"/>
        <rFont val="Arial"/>
        <family val="2"/>
      </rPr>
      <t>Count</t>
    </r>
  </si>
  <si>
    <r>
      <rPr>
        <b/>
        <sz val="8.5"/>
        <rFont val="Arial"/>
        <family val="2"/>
      </rPr>
      <t>Shady Glen Estates - 450</t>
    </r>
  </si>
  <si>
    <r>
      <rPr>
        <b/>
        <sz val="8.5"/>
        <rFont val="Arial"/>
        <family val="2"/>
      </rPr>
      <t>Gladycon Rd Colfax,</t>
    </r>
  </si>
  <si>
    <r>
      <rPr>
        <b/>
        <sz val="8.5"/>
        <rFont val="Arial"/>
        <family val="2"/>
      </rPr>
      <t>CA 95713</t>
    </r>
  </si>
  <si>
    <r>
      <rPr>
        <sz val="8.5"/>
        <rFont val="Arial"/>
        <family val="2"/>
      </rPr>
      <t xml:space="preserve">1  </t>
    </r>
    <r>
      <rPr>
        <i/>
        <sz val="11"/>
        <rFont val="Arial"/>
        <family val="2"/>
      </rPr>
      <t>--I--</t>
    </r>
  </si>
  <si>
    <r>
      <rPr>
        <sz val="8.5"/>
        <rFont val="Arial"/>
        <family val="2"/>
      </rPr>
      <t>Vacant-Unrented</t>
    </r>
  </si>
  <si>
    <r>
      <rPr>
        <sz val="8.5"/>
        <rFont val="Arial"/>
        <family val="2"/>
      </rPr>
      <t>2  --I--</t>
    </r>
  </si>
  <si>
    <r>
      <rPr>
        <sz val="8.5"/>
        <rFont val="Arial"/>
        <family val="2"/>
      </rPr>
      <t>Susan Peterson</t>
    </r>
  </si>
  <si>
    <r>
      <rPr>
        <sz val="8.5"/>
        <rFont val="Arial"/>
        <family val="2"/>
      </rPr>
      <t>Current</t>
    </r>
  </si>
  <si>
    <r>
      <rPr>
        <sz val="8.5"/>
        <rFont val="Arial"/>
        <family val="2"/>
      </rPr>
      <t xml:space="preserve">04/30/
</t>
    </r>
    <r>
      <rPr>
        <sz val="8.5"/>
        <rFont val="Arial"/>
        <family val="2"/>
      </rPr>
      <t>1999</t>
    </r>
  </si>
  <si>
    <r>
      <rPr>
        <sz val="8.5"/>
        <rFont val="Arial"/>
        <family val="2"/>
      </rPr>
      <t xml:space="preserve">07/01/
</t>
    </r>
    <r>
      <rPr>
        <sz val="8.5"/>
        <rFont val="Arial"/>
        <family val="2"/>
      </rPr>
      <t>2024</t>
    </r>
  </si>
  <si>
    <r>
      <rPr>
        <sz val="8.5"/>
        <rFont val="Arial"/>
        <family val="2"/>
      </rPr>
      <t>3  --/--</t>
    </r>
  </si>
  <si>
    <r>
      <rPr>
        <sz val="8.5"/>
        <rFont val="Arial"/>
        <family val="2"/>
      </rPr>
      <t>RUSS</t>
    </r>
  </si>
  <si>
    <r>
      <rPr>
        <sz val="8.5"/>
        <rFont val="Arial"/>
        <family val="2"/>
      </rPr>
      <t>10/29/</t>
    </r>
  </si>
  <si>
    <r>
      <rPr>
        <sz val="8.5"/>
        <rFont val="Arial"/>
        <family val="2"/>
      </rPr>
      <t>ENGELSTAD</t>
    </r>
  </si>
  <si>
    <r>
      <rPr>
        <b/>
        <sz val="8.5"/>
        <rFont val="Arial"/>
        <family val="2"/>
      </rPr>
      <t>4  --/--</t>
    </r>
  </si>
  <si>
    <r>
      <rPr>
        <sz val="8.5"/>
        <rFont val="Arial"/>
        <family val="2"/>
      </rPr>
      <t>CATHIE BECK</t>
    </r>
  </si>
  <si>
    <r>
      <rPr>
        <sz val="8.5"/>
        <rFont val="Arial"/>
        <family val="2"/>
      </rPr>
      <t xml:space="preserve">02/19/
</t>
    </r>
    <r>
      <rPr>
        <sz val="8.5"/>
        <rFont val="Arial"/>
        <family val="2"/>
      </rPr>
      <t>2014</t>
    </r>
  </si>
  <si>
    <r>
      <rPr>
        <sz val="8.5"/>
        <rFont val="Arial"/>
        <family val="2"/>
      </rPr>
      <t>5  --/--</t>
    </r>
  </si>
  <si>
    <r>
      <rPr>
        <sz val="8.5"/>
        <rFont val="Arial"/>
        <family val="2"/>
      </rPr>
      <t>PHYLLIS</t>
    </r>
  </si>
  <si>
    <r>
      <rPr>
        <sz val="8.5"/>
        <rFont val="Arial"/>
        <family val="2"/>
      </rPr>
      <t>01/06/</t>
    </r>
  </si>
  <si>
    <r>
      <rPr>
        <sz val="8.5"/>
        <rFont val="Arial"/>
        <family val="2"/>
      </rPr>
      <t>HOWLETT</t>
    </r>
  </si>
  <si>
    <r>
      <rPr>
        <sz val="8.5"/>
        <rFont val="Arial"/>
        <family val="2"/>
      </rPr>
      <t>6  --I—</t>
    </r>
  </si>
  <si>
    <r>
      <rPr>
        <sz val="8.5"/>
        <rFont val="Arial"/>
        <family val="2"/>
      </rPr>
      <t>WAYNE LEE</t>
    </r>
  </si>
  <si>
    <r>
      <rPr>
        <sz val="8.5"/>
        <rFont val="Arial"/>
        <family val="2"/>
      </rPr>
      <t xml:space="preserve">10/01/
</t>
    </r>
    <r>
      <rPr>
        <sz val="8.5"/>
        <rFont val="Arial"/>
        <family val="2"/>
      </rPr>
      <t>1977</t>
    </r>
  </si>
  <si>
    <r>
      <rPr>
        <sz val="8.5"/>
        <rFont val="Arial"/>
        <family val="2"/>
      </rPr>
      <t>7  --/--</t>
    </r>
  </si>
  <si>
    <r>
      <rPr>
        <sz val="8.5"/>
        <rFont val="Arial"/>
        <family val="2"/>
      </rPr>
      <t xml:space="preserve">06/04/
</t>
    </r>
    <r>
      <rPr>
        <sz val="8.5"/>
        <rFont val="Arial"/>
        <family val="2"/>
      </rPr>
      <t>2022</t>
    </r>
  </si>
  <si>
    <r>
      <rPr>
        <sz val="8.5"/>
        <rFont val="Arial"/>
        <family val="2"/>
      </rPr>
      <t>8  --/--</t>
    </r>
  </si>
  <si>
    <r>
      <rPr>
        <sz val="8.5"/>
        <rFont val="Arial"/>
        <family val="2"/>
      </rPr>
      <t>AUDY SEARCY</t>
    </r>
  </si>
  <si>
    <r>
      <rPr>
        <sz val="8.5"/>
        <rFont val="Arial"/>
        <family val="2"/>
      </rPr>
      <t xml:space="preserve">08/01/
</t>
    </r>
    <r>
      <rPr>
        <sz val="8.5"/>
        <rFont val="Arial"/>
        <family val="2"/>
      </rPr>
      <t>2013</t>
    </r>
  </si>
  <si>
    <r>
      <rPr>
        <sz val="8.5"/>
        <rFont val="Arial"/>
        <family val="2"/>
      </rPr>
      <t>9  --/--</t>
    </r>
  </si>
  <si>
    <r>
      <rPr>
        <sz val="8.5"/>
        <rFont val="Arial"/>
        <family val="2"/>
      </rPr>
      <t>SANDRA</t>
    </r>
  </si>
  <si>
    <r>
      <rPr>
        <sz val="8.5"/>
        <rFont val="Arial"/>
        <family val="2"/>
      </rPr>
      <t>05/20/</t>
    </r>
  </si>
  <si>
    <r>
      <rPr>
        <sz val="8.5"/>
        <rFont val="Arial"/>
        <family val="2"/>
      </rPr>
      <t>HUFFORD</t>
    </r>
  </si>
  <si>
    <r>
      <rPr>
        <sz val="8.5"/>
        <rFont val="Arial"/>
        <family val="2"/>
      </rPr>
      <t>10  --/--</t>
    </r>
  </si>
  <si>
    <r>
      <rPr>
        <sz val="8.5"/>
        <rFont val="Arial"/>
        <family val="2"/>
      </rPr>
      <t>EDWARD VINES</t>
    </r>
  </si>
  <si>
    <r>
      <rPr>
        <sz val="8.5"/>
        <rFont val="Arial"/>
        <family val="2"/>
      </rPr>
      <t xml:space="preserve">05/18/
</t>
    </r>
    <r>
      <rPr>
        <sz val="8.5"/>
        <rFont val="Arial"/>
        <family val="2"/>
      </rPr>
      <t>2018</t>
    </r>
  </si>
  <si>
    <r>
      <rPr>
        <sz val="8.5"/>
        <rFont val="Arial"/>
        <family val="2"/>
      </rPr>
      <t>11  --/--</t>
    </r>
  </si>
  <si>
    <r>
      <rPr>
        <sz val="8.5"/>
        <rFont val="Arial"/>
        <family val="2"/>
      </rPr>
      <t>12  --/--</t>
    </r>
  </si>
  <si>
    <r>
      <rPr>
        <sz val="8.5"/>
        <rFont val="Arial"/>
        <family val="2"/>
      </rPr>
      <t>Elvie Pierini</t>
    </r>
  </si>
  <si>
    <r>
      <rPr>
        <sz val="8.5"/>
        <rFont val="Arial"/>
        <family val="2"/>
      </rPr>
      <t xml:space="preserve">01/29/
</t>
    </r>
    <r>
      <rPr>
        <sz val="8.5"/>
        <rFont val="Arial"/>
        <family val="2"/>
      </rPr>
      <t>2014</t>
    </r>
  </si>
  <si>
    <r>
      <rPr>
        <sz val="8.5"/>
        <rFont val="Arial"/>
        <family val="2"/>
      </rPr>
      <t>13  --I--</t>
    </r>
  </si>
  <si>
    <r>
      <rPr>
        <sz val="8.5"/>
        <rFont val="Arial"/>
        <family val="2"/>
      </rPr>
      <t>14  --I--</t>
    </r>
  </si>
  <si>
    <r>
      <rPr>
        <sz val="8.5"/>
        <rFont val="Arial"/>
        <family val="2"/>
      </rPr>
      <t>Lee Brown</t>
    </r>
  </si>
  <si>
    <r>
      <rPr>
        <sz val="8.5"/>
        <rFont val="Arial"/>
        <family val="2"/>
      </rPr>
      <t>11/01/</t>
    </r>
  </si>
  <si>
    <r>
      <rPr>
        <sz val="8.5"/>
        <rFont val="Arial"/>
        <family val="2"/>
      </rPr>
      <t>10/31/</t>
    </r>
  </si>
  <si>
    <r>
      <rPr>
        <sz val="8.5"/>
        <rFont val="Arial"/>
        <family val="2"/>
      </rPr>
      <t>15  --/--</t>
    </r>
  </si>
  <si>
    <r>
      <rPr>
        <sz val="8.5"/>
        <rFont val="Arial"/>
        <family val="2"/>
      </rPr>
      <t>John Lopopolo</t>
    </r>
  </si>
  <si>
    <r>
      <rPr>
        <sz val="8.5"/>
        <rFont val="Arial"/>
        <family val="2"/>
      </rPr>
      <t xml:space="preserve">11/01/
</t>
    </r>
    <r>
      <rPr>
        <sz val="8.5"/>
        <rFont val="Arial"/>
        <family val="2"/>
      </rPr>
      <t>2023</t>
    </r>
  </si>
  <si>
    <r>
      <rPr>
        <sz val="8.5"/>
        <rFont val="Arial"/>
        <family val="2"/>
      </rPr>
      <t>16  --/--</t>
    </r>
  </si>
  <si>
    <r>
      <rPr>
        <sz val="8.5"/>
        <rFont val="Arial"/>
        <family val="2"/>
      </rPr>
      <t>Cynthia Connor</t>
    </r>
  </si>
  <si>
    <r>
      <rPr>
        <sz val="8.5"/>
        <rFont val="Arial"/>
        <family val="2"/>
      </rPr>
      <t xml:space="preserve">04/02/
</t>
    </r>
    <r>
      <rPr>
        <sz val="8.5"/>
        <rFont val="Arial"/>
        <family val="2"/>
      </rPr>
      <t>2024</t>
    </r>
  </si>
  <si>
    <r>
      <rPr>
        <sz val="8.5"/>
        <rFont val="Arial"/>
        <family val="2"/>
      </rPr>
      <t xml:space="preserve">04/01/
</t>
    </r>
    <r>
      <rPr>
        <sz val="8.5"/>
        <rFont val="Arial"/>
        <family val="2"/>
      </rPr>
      <t>2025</t>
    </r>
  </si>
  <si>
    <r>
      <rPr>
        <sz val="8.5"/>
        <rFont val="Arial"/>
        <family val="2"/>
      </rPr>
      <t>17  --/--</t>
    </r>
  </si>
  <si>
    <r>
      <rPr>
        <sz val="8.5"/>
        <rFont val="Arial"/>
        <family val="2"/>
      </rPr>
      <t>SHIRLEY</t>
    </r>
  </si>
  <si>
    <r>
      <rPr>
        <sz val="8.5"/>
        <rFont val="Arial"/>
        <family val="2"/>
      </rPr>
      <t>08/01/</t>
    </r>
  </si>
  <si>
    <r>
      <rPr>
        <sz val="8.5"/>
        <rFont val="Arial"/>
        <family val="2"/>
      </rPr>
      <t>YOKOYAMA</t>
    </r>
  </si>
  <si>
    <r>
      <rPr>
        <sz val="8.5"/>
        <rFont val="Arial"/>
        <family val="2"/>
      </rPr>
      <t>18  --/--</t>
    </r>
  </si>
  <si>
    <r>
      <rPr>
        <sz val="8.5"/>
        <rFont val="Arial"/>
        <family val="2"/>
      </rPr>
      <t>Ellen Millbourn</t>
    </r>
  </si>
  <si>
    <r>
      <rPr>
        <sz val="8.5"/>
        <rFont val="Arial"/>
        <family val="2"/>
      </rPr>
      <t>02/07/</t>
    </r>
  </si>
  <si>
    <r>
      <rPr>
        <sz val="8.5"/>
        <rFont val="Arial"/>
        <family val="2"/>
      </rPr>
      <t>19  --/--</t>
    </r>
  </si>
  <si>
    <r>
      <rPr>
        <sz val="8.5"/>
        <rFont val="Arial"/>
        <family val="2"/>
      </rPr>
      <t>WILLIAM WHELAN</t>
    </r>
  </si>
  <si>
    <r>
      <rPr>
        <sz val="8.5"/>
        <rFont val="Arial"/>
        <family val="2"/>
      </rPr>
      <t>04/01/</t>
    </r>
  </si>
  <si>
    <r>
      <rPr>
        <b/>
        <sz val="8.5"/>
        <rFont val="Arial"/>
        <family val="2"/>
      </rPr>
      <t>Unit  Tags</t>
    </r>
  </si>
  <si>
    <r>
      <rPr>
        <b/>
        <sz val="8.5"/>
        <rFont val="Arial"/>
        <family val="2"/>
      </rPr>
      <t xml:space="preserve">BD/
</t>
    </r>
    <r>
      <rPr>
        <b/>
        <sz val="8.5"/>
        <rFont val="Arial"/>
        <family val="2"/>
      </rPr>
      <t>BA</t>
    </r>
  </si>
  <si>
    <r>
      <rPr>
        <sz val="8.5"/>
        <rFont val="Arial"/>
        <family val="2"/>
      </rPr>
      <t>--/--</t>
    </r>
  </si>
  <si>
    <r>
      <rPr>
        <sz val="8.5"/>
        <rFont val="Arial"/>
        <family val="2"/>
      </rPr>
      <t>RICKIE BROWN</t>
    </r>
  </si>
  <si>
    <r>
      <rPr>
        <sz val="8.5"/>
        <rFont val="Arial"/>
        <family val="2"/>
      </rPr>
      <t xml:space="preserve">06/22/
</t>
    </r>
    <r>
      <rPr>
        <sz val="8.5"/>
        <rFont val="Arial"/>
        <family val="2"/>
      </rPr>
      <t>2023</t>
    </r>
  </si>
  <si>
    <r>
      <rPr>
        <sz val="8.5"/>
        <rFont val="Arial"/>
        <family val="2"/>
      </rPr>
      <t>Melanie Phillips</t>
    </r>
  </si>
  <si>
    <r>
      <rPr>
        <sz val="8.5"/>
        <rFont val="Arial"/>
        <family val="2"/>
      </rPr>
      <t xml:space="preserve">05/01/
</t>
    </r>
    <r>
      <rPr>
        <sz val="8.5"/>
        <rFont val="Arial"/>
        <family val="2"/>
      </rPr>
      <t>2025</t>
    </r>
  </si>
  <si>
    <r>
      <rPr>
        <sz val="8.5"/>
        <rFont val="Arial"/>
        <family val="2"/>
      </rPr>
      <t>SHARON MILLER</t>
    </r>
  </si>
  <si>
    <r>
      <rPr>
        <sz val="8.5"/>
        <rFont val="Arial"/>
        <family val="2"/>
      </rPr>
      <t xml:space="preserve">03/08/
</t>
    </r>
    <r>
      <rPr>
        <sz val="8.5"/>
        <rFont val="Arial"/>
        <family val="2"/>
      </rPr>
      <t>2002</t>
    </r>
  </si>
  <si>
    <r>
      <rPr>
        <sz val="8.5"/>
        <rFont val="Arial"/>
        <family val="2"/>
      </rPr>
      <t>MICHELLE</t>
    </r>
  </si>
  <si>
    <r>
      <rPr>
        <sz val="8.5"/>
        <rFont val="Arial"/>
        <family val="2"/>
      </rPr>
      <t>12/21/</t>
    </r>
  </si>
  <si>
    <r>
      <rPr>
        <sz val="8.5"/>
        <rFont val="Arial"/>
        <family val="2"/>
      </rPr>
      <t>LUCETI</t>
    </r>
  </si>
  <si>
    <r>
      <rPr>
        <sz val="8.5"/>
        <rFont val="Arial"/>
        <family val="2"/>
      </rPr>
      <t>--I--</t>
    </r>
  </si>
  <si>
    <r>
      <rPr>
        <sz val="8.5"/>
        <rFont val="Arial"/>
        <family val="2"/>
      </rPr>
      <t>Mary Hiatt</t>
    </r>
  </si>
  <si>
    <r>
      <rPr>
        <sz val="8.5"/>
        <rFont val="Arial"/>
        <family val="2"/>
      </rPr>
      <t xml:space="preserve">11/10/
</t>
    </r>
    <r>
      <rPr>
        <sz val="8.5"/>
        <rFont val="Arial"/>
        <family val="2"/>
      </rPr>
      <t>2013</t>
    </r>
  </si>
  <si>
    <r>
      <rPr>
        <sz val="8.5"/>
        <rFont val="Arial"/>
        <family val="2"/>
      </rPr>
      <t>Cynthia Lang</t>
    </r>
  </si>
  <si>
    <r>
      <rPr>
        <sz val="8.5"/>
        <rFont val="Arial"/>
        <family val="2"/>
      </rPr>
      <t xml:space="preserve">08/16/
</t>
    </r>
    <r>
      <rPr>
        <sz val="8.5"/>
        <rFont val="Arial"/>
        <family val="2"/>
      </rPr>
      <t>2021</t>
    </r>
  </si>
  <si>
    <r>
      <rPr>
        <sz val="8.5"/>
        <rFont val="Arial"/>
        <family val="2"/>
      </rPr>
      <t>David Fitzgerald</t>
    </r>
  </si>
  <si>
    <r>
      <rPr>
        <sz val="8.5"/>
        <rFont val="Arial"/>
        <family val="2"/>
      </rPr>
      <t xml:space="preserve">06/01/
</t>
    </r>
    <r>
      <rPr>
        <sz val="8.5"/>
        <rFont val="Arial"/>
        <family val="2"/>
      </rPr>
      <t>2024</t>
    </r>
  </si>
  <si>
    <r>
      <rPr>
        <sz val="8.5"/>
        <rFont val="Arial"/>
        <family val="2"/>
      </rPr>
      <t xml:space="preserve">05/10/
</t>
    </r>
    <r>
      <rPr>
        <sz val="8.5"/>
        <rFont val="Arial"/>
        <family val="2"/>
      </rPr>
      <t>2024</t>
    </r>
  </si>
  <si>
    <r>
      <rPr>
        <sz val="8.5"/>
        <rFont val="Arial"/>
        <family val="2"/>
      </rPr>
      <t>John Hodges</t>
    </r>
  </si>
  <si>
    <r>
      <rPr>
        <sz val="8.5"/>
        <rFont val="Arial"/>
        <family val="2"/>
      </rPr>
      <t xml:space="preserve">12/03/
</t>
    </r>
    <r>
      <rPr>
        <sz val="8.5"/>
        <rFont val="Arial"/>
        <family val="2"/>
      </rPr>
      <t>2009</t>
    </r>
  </si>
  <si>
    <r>
      <rPr>
        <sz val="8.5"/>
        <rFont val="Arial"/>
        <family val="2"/>
      </rPr>
      <t>Alicia Lein</t>
    </r>
  </si>
  <si>
    <r>
      <rPr>
        <sz val="8.5"/>
        <rFont val="Arial"/>
        <family val="2"/>
      </rPr>
      <t>Evict</t>
    </r>
  </si>
  <si>
    <r>
      <rPr>
        <sz val="8.5"/>
        <rFont val="Arial"/>
        <family val="2"/>
      </rPr>
      <t>0,00</t>
    </r>
  </si>
  <si>
    <r>
      <rPr>
        <sz val="8.5"/>
        <rFont val="Arial"/>
        <family val="2"/>
      </rPr>
      <t xml:space="preserve">08/01/
</t>
    </r>
    <r>
      <rPr>
        <sz val="8.5"/>
        <rFont val="Arial"/>
        <family val="2"/>
      </rPr>
      <t>2016</t>
    </r>
  </si>
  <si>
    <r>
      <rPr>
        <sz val="8.5"/>
        <rFont val="Arial"/>
        <family val="2"/>
      </rPr>
      <t>Arlene Weistreich</t>
    </r>
  </si>
  <si>
    <r>
      <rPr>
        <sz val="8.5"/>
        <rFont val="Arial"/>
        <family val="2"/>
      </rPr>
      <t xml:space="preserve">11/01/
</t>
    </r>
    <r>
      <rPr>
        <sz val="8.5"/>
        <rFont val="Arial"/>
        <family val="2"/>
      </rPr>
      <t>2021</t>
    </r>
  </si>
  <si>
    <r>
      <rPr>
        <sz val="8.5"/>
        <rFont val="Arial"/>
        <family val="2"/>
      </rPr>
      <t>Cathlyn Griggs</t>
    </r>
  </si>
  <si>
    <r>
      <rPr>
        <sz val="8.5"/>
        <rFont val="Arial"/>
        <family val="2"/>
      </rPr>
      <t xml:space="preserve">12/01/
</t>
    </r>
    <r>
      <rPr>
        <sz val="8.5"/>
        <rFont val="Arial"/>
        <family val="2"/>
      </rPr>
      <t>2024</t>
    </r>
  </si>
  <si>
    <r>
      <rPr>
        <sz val="8.5"/>
        <rFont val="Arial"/>
        <family val="2"/>
      </rPr>
      <t xml:space="preserve">11/30/
</t>
    </r>
    <r>
      <rPr>
        <sz val="8.5"/>
        <rFont val="Arial"/>
        <family val="2"/>
      </rPr>
      <t>2025</t>
    </r>
  </si>
  <si>
    <r>
      <rPr>
        <sz val="8.5"/>
        <rFont val="Arial"/>
        <family val="2"/>
      </rPr>
      <t>Kevin Kennerson</t>
    </r>
  </si>
  <si>
    <r>
      <rPr>
        <sz val="8.5"/>
        <rFont val="Arial"/>
        <family val="2"/>
      </rPr>
      <t xml:space="preserve">08/08/
</t>
    </r>
    <r>
      <rPr>
        <sz val="8.5"/>
        <rFont val="Arial"/>
        <family val="2"/>
      </rPr>
      <t>2008</t>
    </r>
  </si>
  <si>
    <r>
      <rPr>
        <sz val="8.5"/>
        <rFont val="Arial"/>
        <family val="2"/>
      </rPr>
      <t>Karen Atwood</t>
    </r>
  </si>
  <si>
    <r>
      <rPr>
        <sz val="8.5"/>
        <rFont val="Arial"/>
        <family val="2"/>
      </rPr>
      <t xml:space="preserve">01/29/
</t>
    </r>
    <r>
      <rPr>
        <sz val="8.5"/>
        <rFont val="Arial"/>
        <family val="2"/>
      </rPr>
      <t>2010</t>
    </r>
  </si>
  <si>
    <r>
      <rPr>
        <sz val="8.5"/>
        <rFont val="Arial"/>
        <family val="2"/>
      </rPr>
      <t>Karl Berg</t>
    </r>
  </si>
  <si>
    <r>
      <rPr>
        <sz val="8.5"/>
        <rFont val="Arial"/>
        <family val="2"/>
      </rPr>
      <t xml:space="preserve">05/06/
</t>
    </r>
    <r>
      <rPr>
        <sz val="8.5"/>
        <rFont val="Arial"/>
        <family val="2"/>
      </rPr>
      <t>2016</t>
    </r>
  </si>
  <si>
    <r>
      <rPr>
        <sz val="8.5"/>
        <rFont val="Arial"/>
        <family val="2"/>
      </rPr>
      <t>Kim James</t>
    </r>
  </si>
  <si>
    <r>
      <rPr>
        <sz val="8.5"/>
        <rFont val="Arial"/>
        <family val="2"/>
      </rPr>
      <t xml:space="preserve">07/19/
</t>
    </r>
    <r>
      <rPr>
        <sz val="8.5"/>
        <rFont val="Arial"/>
        <family val="2"/>
      </rPr>
      <t>2014</t>
    </r>
  </si>
  <si>
    <r>
      <rPr>
        <sz val="8.5"/>
        <rFont val="Arial"/>
        <family val="2"/>
      </rPr>
      <t>Brent Brewer</t>
    </r>
  </si>
  <si>
    <r>
      <rPr>
        <sz val="8.5"/>
        <rFont val="Arial"/>
        <family val="2"/>
      </rPr>
      <t xml:space="preserve">06/04/
</t>
    </r>
    <r>
      <rPr>
        <sz val="8.5"/>
        <rFont val="Arial"/>
        <family val="2"/>
      </rPr>
      <t>2018</t>
    </r>
  </si>
  <si>
    <r>
      <rPr>
        <sz val="8.5"/>
        <rFont val="Arial"/>
        <family val="2"/>
      </rPr>
      <t>Peggy Cain</t>
    </r>
  </si>
  <si>
    <r>
      <rPr>
        <sz val="8.5"/>
        <rFont val="Arial"/>
        <family val="2"/>
      </rPr>
      <t xml:space="preserve">02/01/
</t>
    </r>
    <r>
      <rPr>
        <sz val="8.5"/>
        <rFont val="Arial"/>
        <family val="2"/>
      </rPr>
      <t>2021</t>
    </r>
  </si>
  <si>
    <r>
      <rPr>
        <sz val="8.5"/>
        <rFont val="Arial"/>
        <family val="2"/>
      </rPr>
      <t>Kevin Vanderbes</t>
    </r>
  </si>
  <si>
    <r>
      <rPr>
        <sz val="8.5"/>
        <rFont val="Arial"/>
        <family val="2"/>
      </rPr>
      <t xml:space="preserve">01/03/
</t>
    </r>
    <r>
      <rPr>
        <sz val="8.5"/>
        <rFont val="Arial"/>
        <family val="2"/>
      </rPr>
      <t>2019</t>
    </r>
  </si>
  <si>
    <r>
      <rPr>
        <sz val="8.5"/>
        <rFont val="Arial"/>
        <family val="2"/>
      </rPr>
      <t>Earl Young</t>
    </r>
  </si>
  <si>
    <r>
      <rPr>
        <sz val="8.5"/>
        <rFont val="Arial"/>
        <family val="2"/>
      </rPr>
      <t xml:space="preserve">04/03/
</t>
    </r>
    <r>
      <rPr>
        <sz val="8.5"/>
        <rFont val="Arial"/>
        <family val="2"/>
      </rPr>
      <t>1996</t>
    </r>
  </si>
  <si>
    <r>
      <rPr>
        <b/>
        <sz val="8.5"/>
        <rFont val="Arial"/>
        <family val="2"/>
      </rPr>
      <t>Market</t>
    </r>
  </si>
  <si>
    <r>
      <rPr>
        <b/>
        <sz val="8.5"/>
        <rFont val="Arial"/>
        <family val="2"/>
      </rPr>
      <t>Rent</t>
    </r>
  </si>
  <si>
    <r>
      <rPr>
        <b/>
        <sz val="8.5"/>
        <rFont val="Arial"/>
        <family val="2"/>
      </rPr>
      <t>Deposit</t>
    </r>
  </si>
  <si>
    <r>
      <rPr>
        <b/>
        <sz val="8.5"/>
        <rFont val="Arial"/>
        <family val="2"/>
      </rPr>
      <t>Lease  Lease</t>
    </r>
  </si>
  <si>
    <r>
      <rPr>
        <b/>
        <sz val="8.5"/>
        <rFont val="Arial"/>
        <family val="2"/>
      </rPr>
      <t>Move</t>
    </r>
    <r>
      <rPr>
        <b/>
        <vertAlign val="superscript"/>
        <sz val="8.5"/>
        <rFont val="Arial"/>
        <family val="2"/>
      </rPr>
      <t>-</t>
    </r>
    <r>
      <rPr>
        <b/>
        <sz val="8.5"/>
        <rFont val="Arial"/>
        <family val="2"/>
      </rPr>
      <t xml:space="preserve">
</t>
    </r>
    <r>
      <rPr>
        <b/>
        <sz val="8.5"/>
        <rFont val="Arial"/>
        <family val="2"/>
      </rPr>
      <t>Move-in</t>
    </r>
  </si>
  <si>
    <r>
      <rPr>
        <b/>
        <sz val="8.5"/>
        <rFont val="Arial"/>
        <family val="2"/>
      </rPr>
      <t>NSF</t>
    </r>
  </si>
  <si>
    <r>
      <rPr>
        <b/>
        <sz val="8.5"/>
        <rFont val="Arial"/>
        <family val="2"/>
      </rPr>
      <t>Late</t>
    </r>
  </si>
  <si>
    <r>
      <rPr>
        <b/>
        <vertAlign val="superscript"/>
        <sz val="8.5"/>
        <rFont val="Arial"/>
        <family val="2"/>
      </rPr>
      <t>BD/</t>
    </r>
    <r>
      <rPr>
        <b/>
        <sz val="8.5"/>
        <rFont val="Arial"/>
        <family val="2"/>
      </rPr>
      <t xml:space="preserve">
</t>
    </r>
    <r>
      <rPr>
        <b/>
        <sz val="8.5"/>
        <rFont val="Arial"/>
        <family val="2"/>
      </rPr>
      <t>BA</t>
    </r>
  </si>
  <si>
    <r>
      <rPr>
        <b/>
        <sz val="8.5"/>
        <rFont val="Arial"/>
        <family val="2"/>
      </rPr>
      <t xml:space="preserve">Sqft
</t>
    </r>
    <r>
      <rPr>
        <b/>
        <sz val="8.5"/>
        <rFont val="Arial"/>
        <family val="2"/>
      </rPr>
      <t xml:space="preserve">Status
</t>
    </r>
    <r>
      <rPr>
        <b/>
        <sz val="8.5"/>
        <rFont val="Arial"/>
        <family val="2"/>
      </rPr>
      <t>Rent</t>
    </r>
  </si>
  <si>
    <r>
      <rPr>
        <b/>
        <sz val="8.5"/>
        <rFont val="Arial"/>
        <family val="2"/>
      </rPr>
      <t>From  To</t>
    </r>
  </si>
  <si>
    <r>
      <rPr>
        <b/>
        <sz val="8.5"/>
        <rFont val="Arial"/>
        <family val="2"/>
      </rPr>
      <t>out</t>
    </r>
  </si>
  <si>
    <r>
      <rPr>
        <b/>
        <sz val="8.5"/>
        <rFont val="Arial"/>
        <family val="2"/>
      </rPr>
      <t>Count</t>
    </r>
  </si>
  <si>
    <r>
      <rPr>
        <sz val="8.5"/>
        <rFont val="Arial"/>
        <family val="2"/>
      </rPr>
      <t>Hazel Jenkins</t>
    </r>
  </si>
  <si>
    <r>
      <rPr>
        <sz val="8.5"/>
        <rFont val="Arial"/>
        <family val="2"/>
      </rPr>
      <t xml:space="preserve">08/12/
</t>
    </r>
    <r>
      <rPr>
        <sz val="8.5"/>
        <rFont val="Arial"/>
        <family val="2"/>
      </rPr>
      <t>2014</t>
    </r>
  </si>
  <si>
    <r>
      <rPr>
        <sz val="8.5"/>
        <rFont val="Arial"/>
        <family val="2"/>
      </rPr>
      <t>James Boganes</t>
    </r>
  </si>
  <si>
    <r>
      <rPr>
        <sz val="8.5"/>
        <rFont val="Arial"/>
        <family val="2"/>
      </rPr>
      <t xml:space="preserve">03/05/
</t>
    </r>
    <r>
      <rPr>
        <sz val="8.5"/>
        <rFont val="Arial"/>
        <family val="2"/>
      </rPr>
      <t>2008</t>
    </r>
  </si>
  <si>
    <r>
      <rPr>
        <i/>
        <sz val="11.5"/>
        <rFont val="Arial Narrow"/>
        <family val="2"/>
      </rPr>
      <t>--I--</t>
    </r>
  </si>
  <si>
    <r>
      <rPr>
        <sz val="8.5"/>
        <rFont val="Arial"/>
        <family val="2"/>
      </rPr>
      <t>Sheryl Shields</t>
    </r>
  </si>
  <si>
    <r>
      <rPr>
        <sz val="8.5"/>
        <rFont val="Arial"/>
        <family val="2"/>
      </rPr>
      <t xml:space="preserve">11/13/
</t>
    </r>
    <r>
      <rPr>
        <sz val="8.5"/>
        <rFont val="Arial"/>
        <family val="2"/>
      </rPr>
      <t>2010</t>
    </r>
  </si>
  <si>
    <r>
      <rPr>
        <sz val="8.5"/>
        <rFont val="Arial"/>
        <family val="2"/>
      </rPr>
      <t>Darin Matlock</t>
    </r>
  </si>
  <si>
    <r>
      <rPr>
        <sz val="8.5"/>
        <rFont val="Arial"/>
        <family val="2"/>
      </rPr>
      <t xml:space="preserve">09/16/
</t>
    </r>
    <r>
      <rPr>
        <sz val="8.5"/>
        <rFont val="Arial"/>
        <family val="2"/>
      </rPr>
      <t>2013</t>
    </r>
  </si>
  <si>
    <r>
      <rPr>
        <sz val="8.5"/>
        <rFont val="Arial"/>
        <family val="2"/>
      </rPr>
      <t>Robert Jackson</t>
    </r>
  </si>
  <si>
    <r>
      <rPr>
        <sz val="8.5"/>
        <rFont val="Arial"/>
        <family val="2"/>
      </rPr>
      <t xml:space="preserve">01/01/
</t>
    </r>
    <r>
      <rPr>
        <sz val="8.5"/>
        <rFont val="Arial"/>
        <family val="2"/>
      </rPr>
      <t>1970</t>
    </r>
  </si>
  <si>
    <r>
      <rPr>
        <sz val="8.5"/>
        <rFont val="Arial"/>
        <family val="2"/>
      </rPr>
      <t>Kimberly Alford</t>
    </r>
  </si>
  <si>
    <r>
      <rPr>
        <sz val="8.5"/>
        <rFont val="Arial"/>
        <family val="2"/>
      </rPr>
      <t xml:space="preserve">12/21/
</t>
    </r>
    <r>
      <rPr>
        <sz val="8.5"/>
        <rFont val="Arial"/>
        <family val="2"/>
      </rPr>
      <t>2001</t>
    </r>
  </si>
  <si>
    <r>
      <rPr>
        <sz val="8.5"/>
        <rFont val="Arial"/>
        <family val="2"/>
      </rPr>
      <t>William Madeiros</t>
    </r>
  </si>
  <si>
    <r>
      <rPr>
        <sz val="8.5"/>
        <rFont val="Arial"/>
        <family val="2"/>
      </rPr>
      <t xml:space="preserve">01/01/
</t>
    </r>
    <r>
      <rPr>
        <sz val="8.5"/>
        <rFont val="Arial"/>
        <family val="2"/>
      </rPr>
      <t>2004</t>
    </r>
  </si>
  <si>
    <r>
      <rPr>
        <sz val="8.5"/>
        <rFont val="Arial"/>
        <family val="2"/>
      </rPr>
      <t>Brian Williamson</t>
    </r>
  </si>
  <si>
    <r>
      <rPr>
        <sz val="8.5"/>
        <rFont val="Arial"/>
        <family val="2"/>
      </rPr>
      <t xml:space="preserve">06/29/
</t>
    </r>
    <r>
      <rPr>
        <sz val="8.5"/>
        <rFont val="Arial"/>
        <family val="2"/>
      </rPr>
      <t>2006</t>
    </r>
  </si>
  <si>
    <r>
      <rPr>
        <sz val="8.5"/>
        <rFont val="Arial"/>
        <family val="2"/>
      </rPr>
      <t>Carolyn</t>
    </r>
  </si>
  <si>
    <r>
      <rPr>
        <sz val="8.5"/>
        <rFont val="Arial"/>
        <family val="2"/>
      </rPr>
      <t>12/23/</t>
    </r>
  </si>
  <si>
    <r>
      <rPr>
        <sz val="8.5"/>
        <rFont val="Arial"/>
        <family val="2"/>
      </rPr>
      <t>Devencenzi</t>
    </r>
  </si>
  <si>
    <r>
      <rPr>
        <sz val="8.5"/>
        <rFont val="Arial"/>
        <family val="2"/>
      </rPr>
      <t>Glen Keema</t>
    </r>
  </si>
  <si>
    <r>
      <rPr>
        <sz val="8.5"/>
        <rFont val="Arial"/>
        <family val="2"/>
      </rPr>
      <t xml:space="preserve">05/15/
</t>
    </r>
    <r>
      <rPr>
        <sz val="8.5"/>
        <rFont val="Arial"/>
        <family val="2"/>
      </rPr>
      <t>2012</t>
    </r>
  </si>
  <si>
    <r>
      <rPr>
        <sz val="8.5"/>
        <rFont val="Arial"/>
        <family val="2"/>
      </rPr>
      <t>Judith Goray</t>
    </r>
  </si>
  <si>
    <r>
      <rPr>
        <sz val="8.5"/>
        <rFont val="Arial"/>
        <family val="2"/>
      </rPr>
      <t xml:space="preserve">05/01/
</t>
    </r>
    <r>
      <rPr>
        <sz val="8.5"/>
        <rFont val="Arial"/>
        <family val="2"/>
      </rPr>
      <t>2005</t>
    </r>
  </si>
  <si>
    <r>
      <rPr>
        <sz val="8.5"/>
        <rFont val="Arial"/>
        <family val="2"/>
      </rPr>
      <t>Shelly Hahn</t>
    </r>
  </si>
  <si>
    <r>
      <rPr>
        <sz val="8.5"/>
        <rFont val="Arial"/>
        <family val="2"/>
      </rPr>
      <t>Michele Hamilton</t>
    </r>
  </si>
  <si>
    <r>
      <rPr>
        <sz val="8.5"/>
        <rFont val="Arial"/>
        <family val="2"/>
      </rPr>
      <t>Jarad Oniel</t>
    </r>
  </si>
  <si>
    <r>
      <rPr>
        <sz val="8.5"/>
        <rFont val="Arial"/>
        <family val="2"/>
      </rPr>
      <t xml:space="preserve">01/07/
</t>
    </r>
    <r>
      <rPr>
        <sz val="8.5"/>
        <rFont val="Arial"/>
        <family val="2"/>
      </rPr>
      <t>2011</t>
    </r>
  </si>
  <si>
    <r>
      <rPr>
        <sz val="8.5"/>
        <rFont val="Arial"/>
        <family val="2"/>
      </rPr>
      <t>Tom Hiatt</t>
    </r>
  </si>
  <si>
    <r>
      <rPr>
        <sz val="8.5"/>
        <rFont val="Arial"/>
        <family val="2"/>
      </rPr>
      <t xml:space="preserve">08/28/
</t>
    </r>
    <r>
      <rPr>
        <sz val="8.5"/>
        <rFont val="Arial"/>
        <family val="2"/>
      </rPr>
      <t>2002</t>
    </r>
  </si>
  <si>
    <r>
      <rPr>
        <sz val="8.5"/>
        <rFont val="Arial"/>
        <family val="2"/>
      </rPr>
      <t>Gabriel Angulo</t>
    </r>
  </si>
  <si>
    <r>
      <rPr>
        <sz val="8.5"/>
        <rFont val="Arial"/>
        <family val="2"/>
      </rPr>
      <t xml:space="preserve">05/16/
</t>
    </r>
    <r>
      <rPr>
        <sz val="8.5"/>
        <rFont val="Arial"/>
        <family val="2"/>
      </rPr>
      <t>2003</t>
    </r>
  </si>
  <si>
    <r>
      <rPr>
        <sz val="8.5"/>
        <rFont val="Arial"/>
        <family val="2"/>
      </rPr>
      <t>Clifford Surrell</t>
    </r>
  </si>
  <si>
    <r>
      <rPr>
        <sz val="8.5"/>
        <rFont val="Arial"/>
        <family val="2"/>
      </rPr>
      <t xml:space="preserve">08/28/
</t>
    </r>
    <r>
      <rPr>
        <sz val="8.5"/>
        <rFont val="Arial"/>
        <family val="2"/>
      </rPr>
      <t>2023</t>
    </r>
  </si>
  <si>
    <r>
      <rPr>
        <sz val="8.5"/>
        <rFont val="Arial"/>
        <family val="2"/>
      </rPr>
      <t>Christa Kerns</t>
    </r>
  </si>
  <si>
    <r>
      <rPr>
        <sz val="8.5"/>
        <rFont val="Arial"/>
        <family val="2"/>
      </rPr>
      <t xml:space="preserve">06/21/
</t>
    </r>
    <r>
      <rPr>
        <sz val="8.5"/>
        <rFont val="Arial"/>
        <family val="2"/>
      </rPr>
      <t>2023</t>
    </r>
  </si>
  <si>
    <r>
      <rPr>
        <sz val="8.5"/>
        <rFont val="Arial"/>
        <family val="2"/>
      </rPr>
      <t>Patricia Curtain</t>
    </r>
  </si>
  <si>
    <r>
      <rPr>
        <sz val="8.5"/>
        <rFont val="Arial"/>
        <family val="2"/>
      </rPr>
      <t xml:space="preserve">06/15/
</t>
    </r>
    <r>
      <rPr>
        <sz val="8.5"/>
        <rFont val="Arial"/>
        <family val="2"/>
      </rPr>
      <t>2002</t>
    </r>
  </si>
  <si>
    <r>
      <rPr>
        <sz val="8.5"/>
        <rFont val="Arial"/>
        <family val="2"/>
      </rPr>
      <t>Richard Schnittger</t>
    </r>
  </si>
  <si>
    <r>
      <rPr>
        <sz val="8.5"/>
        <rFont val="Arial"/>
        <family val="2"/>
      </rPr>
      <t xml:space="preserve">10/10/
</t>
    </r>
    <r>
      <rPr>
        <sz val="8.5"/>
        <rFont val="Arial"/>
        <family val="2"/>
      </rPr>
      <t>2019</t>
    </r>
  </si>
  <si>
    <r>
      <rPr>
        <b/>
        <sz val="8.5"/>
        <rFont val="Arial"/>
        <family val="2"/>
      </rPr>
      <t xml:space="preserve">BD </t>
    </r>
    <r>
      <rPr>
        <b/>
        <sz val="8.5"/>
        <rFont val="Arial"/>
        <family val="2"/>
      </rPr>
      <t xml:space="preserve">/
</t>
    </r>
    <r>
      <rPr>
        <b/>
        <sz val="8.5"/>
        <rFont val="Arial"/>
        <family val="2"/>
      </rPr>
      <t xml:space="preserve">Unit  Tags
</t>
    </r>
    <r>
      <rPr>
        <b/>
        <sz val="8.5"/>
        <rFont val="Arial"/>
        <family val="2"/>
      </rPr>
      <t>BA</t>
    </r>
  </si>
  <si>
    <r>
      <rPr>
        <b/>
        <sz val="8.5"/>
        <rFont val="Arial"/>
        <family val="2"/>
      </rPr>
      <t xml:space="preserve">Lease  Lease
</t>
    </r>
    <r>
      <rPr>
        <b/>
        <sz val="8.5"/>
        <rFont val="Arial"/>
        <family val="2"/>
      </rPr>
      <t>From  To</t>
    </r>
  </si>
  <si>
    <r>
      <rPr>
        <b/>
        <sz val="8.5"/>
        <rFont val="Arial"/>
        <family val="2"/>
      </rPr>
      <t xml:space="preserve">Move-
</t>
    </r>
    <r>
      <rPr>
        <b/>
        <sz val="8.5"/>
        <rFont val="Arial"/>
        <family val="2"/>
      </rPr>
      <t xml:space="preserve">Move-in  Past
</t>
    </r>
    <r>
      <rPr>
        <b/>
        <sz val="8.5"/>
        <rFont val="Arial"/>
        <family val="2"/>
      </rPr>
      <t>out</t>
    </r>
  </si>
  <si>
    <r>
      <rPr>
        <b/>
        <sz val="8.5"/>
        <rFont val="Arial"/>
        <family val="2"/>
      </rPr>
      <t>Due</t>
    </r>
  </si>
  <si>
    <r>
      <rPr>
        <sz val="8.5"/>
        <rFont val="Arial"/>
        <family val="2"/>
      </rPr>
      <t>64  --/--</t>
    </r>
  </si>
  <si>
    <r>
      <rPr>
        <sz val="8.5"/>
        <rFont val="Arial"/>
        <family val="2"/>
      </rPr>
      <t>Keith Whiteley</t>
    </r>
  </si>
  <si>
    <r>
      <rPr>
        <sz val="8.5"/>
        <rFont val="Arial"/>
        <family val="2"/>
      </rPr>
      <t xml:space="preserve">08/09/
</t>
    </r>
    <r>
      <rPr>
        <sz val="8.5"/>
        <rFont val="Arial"/>
        <family val="2"/>
      </rPr>
      <t>2023</t>
    </r>
  </si>
  <si>
    <r>
      <rPr>
        <sz val="8.5"/>
        <rFont val="Arial"/>
        <family val="2"/>
      </rPr>
      <t>65  --/--</t>
    </r>
  </si>
  <si>
    <r>
      <rPr>
        <sz val="8.5"/>
        <rFont val="Arial"/>
        <family val="2"/>
      </rPr>
      <t>Kellie Kiugh</t>
    </r>
  </si>
  <si>
    <r>
      <rPr>
        <sz val="8.5"/>
        <rFont val="Arial"/>
        <family val="2"/>
      </rPr>
      <t xml:space="preserve">06/01/
</t>
    </r>
    <r>
      <rPr>
        <sz val="8.5"/>
        <rFont val="Arial"/>
        <family val="2"/>
      </rPr>
      <t>2008</t>
    </r>
  </si>
  <si>
    <r>
      <rPr>
        <sz val="8.5"/>
        <rFont val="Arial"/>
        <family val="2"/>
      </rPr>
      <t>66  --/--</t>
    </r>
  </si>
  <si>
    <r>
      <rPr>
        <sz val="8.5"/>
        <rFont val="Arial"/>
        <family val="2"/>
      </rPr>
      <t>Lawrence Fodrini</t>
    </r>
  </si>
  <si>
    <r>
      <rPr>
        <sz val="8.5"/>
        <rFont val="Arial"/>
        <family val="2"/>
      </rPr>
      <t xml:space="preserve">05/04/
</t>
    </r>
    <r>
      <rPr>
        <sz val="8.5"/>
        <rFont val="Arial"/>
        <family val="2"/>
      </rPr>
      <t>2012</t>
    </r>
  </si>
  <si>
    <r>
      <rPr>
        <sz val="8.5"/>
        <rFont val="Arial"/>
        <family val="2"/>
      </rPr>
      <t>67  --I--</t>
    </r>
  </si>
  <si>
    <r>
      <rPr>
        <sz val="8.5"/>
        <rFont val="Arial"/>
        <family val="2"/>
      </rPr>
      <t>Gary Pahule</t>
    </r>
  </si>
  <si>
    <r>
      <rPr>
        <sz val="8.5"/>
        <rFont val="Arial"/>
        <family val="2"/>
      </rPr>
      <t xml:space="preserve">02/01/
</t>
    </r>
    <r>
      <rPr>
        <sz val="8.5"/>
        <rFont val="Arial"/>
        <family val="2"/>
      </rPr>
      <t>2023</t>
    </r>
  </si>
  <si>
    <r>
      <rPr>
        <sz val="8.5"/>
        <rFont val="Arial"/>
        <family val="2"/>
      </rPr>
      <t xml:space="preserve">02/19/
</t>
    </r>
    <r>
      <rPr>
        <sz val="8.5"/>
        <rFont val="Arial"/>
        <family val="2"/>
      </rPr>
      <t>1999</t>
    </r>
  </si>
  <si>
    <r>
      <rPr>
        <sz val="8.5"/>
        <rFont val="Arial"/>
        <family val="2"/>
      </rPr>
      <t>68  --/--</t>
    </r>
  </si>
  <si>
    <r>
      <rPr>
        <sz val="8.5"/>
        <rFont val="Arial"/>
        <family val="2"/>
      </rPr>
      <t>Nanette Hall</t>
    </r>
  </si>
  <si>
    <r>
      <rPr>
        <sz val="8.5"/>
        <rFont val="Arial"/>
        <family val="2"/>
      </rPr>
      <t xml:space="preserve">01/31/
</t>
    </r>
    <r>
      <rPr>
        <sz val="8.5"/>
        <rFont val="Arial"/>
        <family val="2"/>
      </rPr>
      <t>2001</t>
    </r>
  </si>
  <si>
    <r>
      <rPr>
        <sz val="8.5"/>
        <rFont val="Arial"/>
        <family val="2"/>
      </rPr>
      <t>69  --I--</t>
    </r>
  </si>
  <si>
    <r>
      <rPr>
        <sz val="8.5"/>
        <rFont val="Arial"/>
        <family val="2"/>
      </rPr>
      <t>Richard Degaugh</t>
    </r>
  </si>
  <si>
    <r>
      <rPr>
        <sz val="8.5"/>
        <rFont val="Arial"/>
        <family val="2"/>
      </rPr>
      <t xml:space="preserve">07/18/
</t>
    </r>
    <r>
      <rPr>
        <sz val="8.5"/>
        <rFont val="Arial"/>
        <family val="2"/>
      </rPr>
      <t>2013</t>
    </r>
  </si>
  <si>
    <r>
      <rPr>
        <sz val="8.5"/>
        <rFont val="Arial"/>
        <family val="2"/>
      </rPr>
      <t>70  --/--</t>
    </r>
  </si>
  <si>
    <r>
      <rPr>
        <sz val="8.5"/>
        <rFont val="Arial"/>
        <family val="2"/>
      </rPr>
      <t>Albert Howlett</t>
    </r>
  </si>
  <si>
    <r>
      <rPr>
        <sz val="8.5"/>
        <rFont val="Arial"/>
        <family val="2"/>
      </rPr>
      <t xml:space="preserve">03/15/
</t>
    </r>
    <r>
      <rPr>
        <sz val="8.5"/>
        <rFont val="Arial"/>
        <family val="2"/>
      </rPr>
      <t>2006</t>
    </r>
  </si>
  <si>
    <r>
      <rPr>
        <sz val="8.5"/>
        <rFont val="Arial"/>
        <family val="2"/>
      </rPr>
      <t>71  --/--</t>
    </r>
  </si>
  <si>
    <r>
      <rPr>
        <sz val="8.5"/>
        <rFont val="Arial"/>
        <family val="2"/>
      </rPr>
      <t>Linda Nichols</t>
    </r>
  </si>
  <si>
    <r>
      <rPr>
        <sz val="8.5"/>
        <rFont val="Arial"/>
        <family val="2"/>
      </rPr>
      <t xml:space="preserve">02/17/
</t>
    </r>
    <r>
      <rPr>
        <sz val="8.5"/>
        <rFont val="Arial"/>
        <family val="2"/>
      </rPr>
      <t>2017</t>
    </r>
  </si>
  <si>
    <r>
      <rPr>
        <sz val="8.5"/>
        <rFont val="Arial"/>
        <family val="2"/>
      </rPr>
      <t>72  --/--</t>
    </r>
  </si>
  <si>
    <r>
      <rPr>
        <sz val="8.5"/>
        <rFont val="Arial"/>
        <family val="2"/>
      </rPr>
      <t>Gary Anderson</t>
    </r>
  </si>
  <si>
    <r>
      <rPr>
        <sz val="8.5"/>
        <rFont val="Arial"/>
        <family val="2"/>
      </rPr>
      <t xml:space="preserve">01/16/
</t>
    </r>
    <r>
      <rPr>
        <sz val="8.5"/>
        <rFont val="Arial"/>
        <family val="2"/>
      </rPr>
      <t>1997</t>
    </r>
  </si>
  <si>
    <r>
      <rPr>
        <sz val="8.5"/>
        <rFont val="Arial"/>
        <family val="2"/>
      </rPr>
      <t>73  --/--</t>
    </r>
  </si>
  <si>
    <r>
      <rPr>
        <sz val="8.5"/>
        <rFont val="Arial"/>
        <family val="2"/>
      </rPr>
      <t>Dorothy Lindeman</t>
    </r>
  </si>
  <si>
    <r>
      <rPr>
        <sz val="8.5"/>
        <rFont val="Arial"/>
        <family val="2"/>
      </rPr>
      <t xml:space="preserve">03/31/
</t>
    </r>
    <r>
      <rPr>
        <sz val="8.5"/>
        <rFont val="Arial"/>
        <family val="2"/>
      </rPr>
      <t>2014</t>
    </r>
  </si>
  <si>
    <r>
      <rPr>
        <sz val="8.5"/>
        <rFont val="Arial"/>
        <family val="2"/>
      </rPr>
      <t>74  --/--</t>
    </r>
  </si>
  <si>
    <r>
      <rPr>
        <sz val="8.5"/>
        <rFont val="Arial"/>
        <family val="2"/>
      </rPr>
      <t>Steve Beutel</t>
    </r>
  </si>
  <si>
    <r>
      <rPr>
        <sz val="8.5"/>
        <rFont val="Arial"/>
        <family val="2"/>
      </rPr>
      <t xml:space="preserve">03/01/
</t>
    </r>
    <r>
      <rPr>
        <sz val="8.5"/>
        <rFont val="Arial"/>
        <family val="2"/>
      </rPr>
      <t>2017</t>
    </r>
  </si>
  <si>
    <r>
      <rPr>
        <sz val="8.5"/>
        <rFont val="Arial"/>
        <family val="2"/>
      </rPr>
      <t>75  --/--</t>
    </r>
  </si>
  <si>
    <r>
      <rPr>
        <sz val="8.5"/>
        <rFont val="Arial"/>
        <family val="2"/>
      </rPr>
      <t>David Selvy</t>
    </r>
  </si>
  <si>
    <r>
      <rPr>
        <sz val="8.5"/>
        <rFont val="Arial"/>
        <family val="2"/>
      </rPr>
      <t xml:space="preserve">07/17/
</t>
    </r>
    <r>
      <rPr>
        <sz val="8.5"/>
        <rFont val="Arial"/>
        <family val="2"/>
      </rPr>
      <t>2013</t>
    </r>
  </si>
  <si>
    <r>
      <rPr>
        <sz val="8.5"/>
        <rFont val="Arial"/>
        <family val="2"/>
      </rPr>
      <t>76  --/--</t>
    </r>
  </si>
  <si>
    <r>
      <rPr>
        <sz val="8.5"/>
        <rFont val="Arial"/>
        <family val="2"/>
      </rPr>
      <t>Ronald Greenwell</t>
    </r>
  </si>
  <si>
    <r>
      <rPr>
        <sz val="8.5"/>
        <rFont val="Arial"/>
        <family val="2"/>
      </rPr>
      <t xml:space="preserve">06/13/
</t>
    </r>
    <r>
      <rPr>
        <sz val="8.5"/>
        <rFont val="Arial"/>
        <family val="2"/>
      </rPr>
      <t>2014</t>
    </r>
  </si>
  <si>
    <r>
      <rPr>
        <sz val="8.5"/>
        <rFont val="Arial"/>
        <family val="2"/>
      </rPr>
      <t>77  --/--</t>
    </r>
  </si>
  <si>
    <r>
      <rPr>
        <sz val="8.5"/>
        <rFont val="Arial"/>
        <family val="2"/>
      </rPr>
      <t>William Bebe</t>
    </r>
  </si>
  <si>
    <r>
      <rPr>
        <sz val="8.5"/>
        <rFont val="Arial"/>
        <family val="2"/>
      </rPr>
      <t xml:space="preserve">04/16/
</t>
    </r>
    <r>
      <rPr>
        <sz val="8.5"/>
        <rFont val="Arial"/>
        <family val="2"/>
      </rPr>
      <t>1979</t>
    </r>
  </si>
  <si>
    <r>
      <rPr>
        <sz val="8.5"/>
        <rFont val="Arial"/>
        <family val="2"/>
      </rPr>
      <t>79  --/--</t>
    </r>
  </si>
  <si>
    <r>
      <rPr>
        <sz val="8.5"/>
        <rFont val="Arial"/>
        <family val="2"/>
      </rPr>
      <t>Kimberly Wiseman</t>
    </r>
  </si>
  <si>
    <r>
      <rPr>
        <sz val="8.5"/>
        <rFont val="Arial"/>
        <family val="2"/>
      </rPr>
      <t xml:space="preserve">04/14/
</t>
    </r>
    <r>
      <rPr>
        <sz val="8.5"/>
        <rFont val="Arial"/>
        <family val="2"/>
      </rPr>
      <t>2021</t>
    </r>
  </si>
  <si>
    <r>
      <rPr>
        <sz val="8.5"/>
        <rFont val="Arial"/>
        <family val="2"/>
      </rPr>
      <t>80  --/--</t>
    </r>
  </si>
  <si>
    <r>
      <rPr>
        <sz val="8.5"/>
        <rFont val="Arial"/>
        <family val="2"/>
      </rPr>
      <t>Geneille Dougherty</t>
    </r>
  </si>
  <si>
    <r>
      <rPr>
        <sz val="8.5"/>
        <rFont val="Arial"/>
        <family val="2"/>
      </rPr>
      <t>82  --/--</t>
    </r>
  </si>
  <si>
    <r>
      <rPr>
        <sz val="8.5"/>
        <rFont val="Arial"/>
        <family val="2"/>
      </rPr>
      <t>Loland Moutray</t>
    </r>
  </si>
  <si>
    <r>
      <rPr>
        <sz val="8.5"/>
        <rFont val="Arial"/>
        <family val="2"/>
      </rPr>
      <t xml:space="preserve">07/01/
</t>
    </r>
    <r>
      <rPr>
        <sz val="8.5"/>
        <rFont val="Arial"/>
        <family val="2"/>
      </rPr>
      <t>2012</t>
    </r>
  </si>
  <si>
    <r>
      <rPr>
        <sz val="8.5"/>
        <rFont val="Arial"/>
        <family val="2"/>
      </rPr>
      <t>83  --/--</t>
    </r>
  </si>
  <si>
    <r>
      <rPr>
        <sz val="8.5"/>
        <rFont val="Arial"/>
        <family val="2"/>
      </rPr>
      <t>Gerald Barlett</t>
    </r>
  </si>
  <si>
    <r>
      <rPr>
        <sz val="8.5"/>
        <rFont val="Arial"/>
        <family val="2"/>
      </rPr>
      <t xml:space="preserve">12/20/
</t>
    </r>
    <r>
      <rPr>
        <sz val="8.5"/>
        <rFont val="Arial"/>
        <family val="2"/>
      </rPr>
      <t>2015</t>
    </r>
  </si>
  <si>
    <r>
      <rPr>
        <sz val="8.5"/>
        <rFont val="Arial"/>
        <family val="2"/>
      </rPr>
      <t>84  --/--</t>
    </r>
  </si>
  <si>
    <r>
      <rPr>
        <sz val="8.5"/>
        <rFont val="Arial"/>
        <family val="2"/>
      </rPr>
      <t>Dana Daniel</t>
    </r>
  </si>
  <si>
    <r>
      <rPr>
        <sz val="8.5"/>
        <rFont val="Arial"/>
        <family val="2"/>
      </rPr>
      <t xml:space="preserve">12/15/
</t>
    </r>
    <r>
      <rPr>
        <sz val="8.5"/>
        <rFont val="Arial"/>
        <family val="2"/>
      </rPr>
      <t>2015</t>
    </r>
  </si>
  <si>
    <r>
      <rPr>
        <sz val="8.5"/>
        <rFont val="Arial"/>
        <family val="2"/>
      </rPr>
      <t>86  --/--</t>
    </r>
  </si>
  <si>
    <r>
      <rPr>
        <sz val="8.5"/>
        <rFont val="Arial"/>
        <family val="2"/>
      </rPr>
      <t>Dawn Warrior</t>
    </r>
  </si>
  <si>
    <r>
      <rPr>
        <sz val="8.5"/>
        <rFont val="Arial"/>
        <family val="2"/>
      </rPr>
      <t xml:space="preserve">04/08/
</t>
    </r>
    <r>
      <rPr>
        <sz val="8.5"/>
        <rFont val="Arial"/>
        <family val="2"/>
      </rPr>
      <t>2021</t>
    </r>
  </si>
  <si>
    <r>
      <rPr>
        <sz val="8.5"/>
        <rFont val="Arial"/>
        <family val="2"/>
      </rPr>
      <t>S7  --/--</t>
    </r>
  </si>
  <si>
    <r>
      <rPr>
        <sz val="8.5"/>
        <rFont val="Arial"/>
        <family val="2"/>
      </rPr>
      <t>Deborah Clifton</t>
    </r>
  </si>
  <si>
    <r>
      <rPr>
        <sz val="8.5"/>
        <rFont val="Arial"/>
        <family val="2"/>
      </rPr>
      <t>02/23/</t>
    </r>
  </si>
  <si>
    <r>
      <rPr>
        <sz val="8.5"/>
        <rFont val="Arial"/>
        <family val="2"/>
      </rPr>
      <t>Jess Holiar</t>
    </r>
  </si>
  <si>
    <r>
      <rPr>
        <sz val="8.5"/>
        <rFont val="Arial"/>
        <family val="2"/>
      </rPr>
      <t xml:space="preserve">03/04/
</t>
    </r>
    <r>
      <rPr>
        <sz val="8.5"/>
        <rFont val="Arial"/>
        <family val="2"/>
      </rPr>
      <t>2021</t>
    </r>
  </si>
  <si>
    <r>
      <rPr>
        <sz val="8.5"/>
        <rFont val="Arial"/>
        <family val="2"/>
      </rPr>
      <t>Linda Stephens</t>
    </r>
  </si>
  <si>
    <r>
      <rPr>
        <sz val="8.5"/>
        <rFont val="Arial"/>
        <family val="2"/>
      </rPr>
      <t xml:space="preserve">08/22/
</t>
    </r>
    <r>
      <rPr>
        <sz val="8.5"/>
        <rFont val="Arial"/>
        <family val="2"/>
      </rPr>
      <t>2012</t>
    </r>
  </si>
  <si>
    <r>
      <rPr>
        <sz val="8.5"/>
        <rFont val="Arial"/>
        <family val="2"/>
      </rPr>
      <t>Edward Carver</t>
    </r>
  </si>
  <si>
    <r>
      <rPr>
        <sz val="8.5"/>
        <rFont val="Arial"/>
        <family val="2"/>
      </rPr>
      <t xml:space="preserve">09/01/
</t>
    </r>
    <r>
      <rPr>
        <sz val="8.5"/>
        <rFont val="Arial"/>
        <family val="2"/>
      </rPr>
      <t>2021</t>
    </r>
  </si>
  <si>
    <r>
      <rPr>
        <sz val="8.5"/>
        <rFont val="Arial"/>
        <family val="2"/>
      </rPr>
      <t>Gary Matlock</t>
    </r>
  </si>
  <si>
    <r>
      <rPr>
        <sz val="8.5"/>
        <rFont val="Arial"/>
        <family val="2"/>
      </rPr>
      <t xml:space="preserve">01/04/
</t>
    </r>
    <r>
      <rPr>
        <sz val="8.5"/>
        <rFont val="Arial"/>
        <family val="2"/>
      </rPr>
      <t>2005</t>
    </r>
  </si>
  <si>
    <r>
      <rPr>
        <sz val="8.5"/>
        <rFont val="Arial"/>
        <family val="2"/>
      </rPr>
      <t>Fred Ball</t>
    </r>
  </si>
  <si>
    <r>
      <rPr>
        <sz val="8.5"/>
        <rFont val="Arial"/>
        <family val="2"/>
      </rPr>
      <t xml:space="preserve">08/11/
</t>
    </r>
    <r>
      <rPr>
        <sz val="8.5"/>
        <rFont val="Arial"/>
        <family val="2"/>
      </rPr>
      <t>2023</t>
    </r>
  </si>
  <si>
    <r>
      <rPr>
        <sz val="8.5"/>
        <rFont val="Arial"/>
        <family val="2"/>
      </rPr>
      <t>Joanne Caires</t>
    </r>
  </si>
  <si>
    <r>
      <rPr>
        <sz val="8.5"/>
        <rFont val="Arial"/>
        <family val="2"/>
      </rPr>
      <t xml:space="preserve">03/24/
</t>
    </r>
    <r>
      <rPr>
        <sz val="8.5"/>
        <rFont val="Arial"/>
        <family val="2"/>
      </rPr>
      <t>2004</t>
    </r>
  </si>
  <si>
    <r>
      <rPr>
        <sz val="8.5"/>
        <rFont val="Arial"/>
        <family val="2"/>
      </rPr>
      <t>Ernylla England</t>
    </r>
  </si>
  <si>
    <r>
      <rPr>
        <sz val="8.5"/>
        <rFont val="Arial"/>
        <family val="2"/>
      </rPr>
      <t xml:space="preserve">11/05/
</t>
    </r>
    <r>
      <rPr>
        <sz val="8.5"/>
        <rFont val="Arial"/>
        <family val="2"/>
      </rPr>
      <t>2002</t>
    </r>
  </si>
  <si>
    <r>
      <rPr>
        <sz val="8.5"/>
        <rFont val="Arial"/>
        <family val="2"/>
      </rPr>
      <t>Gary Sullivan</t>
    </r>
  </si>
  <si>
    <r>
      <rPr>
        <sz val="8.5"/>
        <rFont val="Arial"/>
        <family val="2"/>
      </rPr>
      <t xml:space="preserve">01/01/
</t>
    </r>
    <r>
      <rPr>
        <sz val="8.5"/>
        <rFont val="Arial"/>
        <family val="2"/>
      </rPr>
      <t>2020</t>
    </r>
  </si>
  <si>
    <r>
      <rPr>
        <sz val="8.5"/>
        <rFont val="Arial"/>
        <family val="2"/>
      </rPr>
      <t>Kent Williamse</t>
    </r>
  </si>
  <si>
    <r>
      <rPr>
        <sz val="8.5"/>
        <rFont val="Arial"/>
        <family val="2"/>
      </rPr>
      <t xml:space="preserve">10/01/
</t>
    </r>
    <r>
      <rPr>
        <sz val="8.5"/>
        <rFont val="Arial"/>
        <family val="2"/>
      </rPr>
      <t>2017</t>
    </r>
  </si>
  <si>
    <r>
      <rPr>
        <sz val="8.5"/>
        <rFont val="Arial"/>
        <family val="2"/>
      </rPr>
      <t>John Dugan</t>
    </r>
  </si>
  <si>
    <r>
      <rPr>
        <sz val="8.5"/>
        <rFont val="Arial"/>
        <family val="2"/>
      </rPr>
      <t xml:space="preserve">05/19/
</t>
    </r>
    <r>
      <rPr>
        <sz val="8.5"/>
        <rFont val="Arial"/>
        <family val="2"/>
      </rPr>
      <t>2000</t>
    </r>
  </si>
  <si>
    <r>
      <rPr>
        <sz val="8.5"/>
        <rFont val="Arial"/>
        <family val="2"/>
      </rPr>
      <t>Carol Griffin</t>
    </r>
  </si>
  <si>
    <r>
      <rPr>
        <sz val="8.5"/>
        <rFont val="Arial"/>
        <family val="2"/>
      </rPr>
      <t xml:space="preserve">09/16/
</t>
    </r>
    <r>
      <rPr>
        <sz val="8.5"/>
        <rFont val="Arial"/>
        <family val="2"/>
      </rPr>
      <t>2008</t>
    </r>
  </si>
  <si>
    <r>
      <rPr>
        <sz val="8.5"/>
        <rFont val="Arial"/>
        <family val="2"/>
      </rPr>
      <t>Verna Bow</t>
    </r>
  </si>
  <si>
    <r>
      <rPr>
        <sz val="8.5"/>
        <rFont val="Arial"/>
        <family val="2"/>
      </rPr>
      <t xml:space="preserve">12/15/
</t>
    </r>
    <r>
      <rPr>
        <sz val="8.5"/>
        <rFont val="Arial"/>
        <family val="2"/>
      </rPr>
      <t>1998</t>
    </r>
  </si>
  <si>
    <r>
      <rPr>
        <sz val="8.5"/>
        <rFont val="Arial"/>
        <family val="2"/>
      </rPr>
      <t>Cindy Giannoni</t>
    </r>
  </si>
  <si>
    <r>
      <rPr>
        <sz val="8.5"/>
        <rFont val="Arial"/>
        <family val="2"/>
      </rPr>
      <t xml:space="preserve">10/02/
</t>
    </r>
    <r>
      <rPr>
        <sz val="8.5"/>
        <rFont val="Arial"/>
        <family val="2"/>
      </rPr>
      <t>2014</t>
    </r>
  </si>
  <si>
    <r>
      <rPr>
        <sz val="8.5"/>
        <rFont val="Arial"/>
        <family val="2"/>
      </rPr>
      <t>Dean Mansfield</t>
    </r>
  </si>
  <si>
    <r>
      <rPr>
        <sz val="8.5"/>
        <rFont val="Arial"/>
        <family val="2"/>
      </rPr>
      <t>Nancy Carnes</t>
    </r>
  </si>
  <si>
    <r>
      <rPr>
        <sz val="8.5"/>
        <rFont val="Arial"/>
        <family val="2"/>
      </rPr>
      <t xml:space="preserve">05/01/
</t>
    </r>
    <r>
      <rPr>
        <sz val="8.5"/>
        <rFont val="Arial"/>
        <family val="2"/>
      </rPr>
      <t>2023</t>
    </r>
  </si>
  <si>
    <r>
      <rPr>
        <sz val="8.5"/>
        <rFont val="Arial"/>
        <family val="2"/>
      </rPr>
      <t>Dale Fritchle</t>
    </r>
  </si>
  <si>
    <r>
      <rPr>
        <sz val="8.5"/>
        <rFont val="Arial"/>
        <family val="2"/>
      </rPr>
      <t xml:space="preserve">06/21/
</t>
    </r>
    <r>
      <rPr>
        <sz val="8.5"/>
        <rFont val="Arial"/>
        <family val="2"/>
      </rPr>
      <t>2020</t>
    </r>
  </si>
  <si>
    <r>
      <rPr>
        <sz val="8.5"/>
        <rFont val="Arial"/>
        <family val="2"/>
      </rPr>
      <t>Garlinda Berry</t>
    </r>
  </si>
  <si>
    <r>
      <rPr>
        <sz val="8.5"/>
        <rFont val="Arial"/>
        <family val="2"/>
      </rPr>
      <t xml:space="preserve">10/22/
</t>
    </r>
    <r>
      <rPr>
        <sz val="8.5"/>
        <rFont val="Arial"/>
        <family val="2"/>
      </rPr>
      <t>2014</t>
    </r>
  </si>
  <si>
    <r>
      <rPr>
        <sz val="8.5"/>
        <rFont val="Arial"/>
        <family val="2"/>
      </rPr>
      <t>Dani Heinrich</t>
    </r>
  </si>
  <si>
    <r>
      <rPr>
        <sz val="8.5"/>
        <rFont val="Arial"/>
        <family val="2"/>
      </rPr>
      <t xml:space="preserve">03/19/
</t>
    </r>
    <r>
      <rPr>
        <sz val="8.5"/>
        <rFont val="Arial"/>
        <family val="2"/>
      </rPr>
      <t>2013</t>
    </r>
  </si>
  <si>
    <r>
      <rPr>
        <sz val="8.5"/>
        <rFont val="Arial"/>
        <family val="2"/>
      </rPr>
      <t>-4--</t>
    </r>
  </si>
  <si>
    <r>
      <rPr>
        <sz val="8.5"/>
        <rFont val="Arial"/>
        <family val="2"/>
      </rPr>
      <t>Ted Huss</t>
    </r>
  </si>
  <si>
    <r>
      <rPr>
        <sz val="8.5"/>
        <rFont val="Arial"/>
        <family val="2"/>
      </rPr>
      <t xml:space="preserve">06/29/
</t>
    </r>
    <r>
      <rPr>
        <sz val="8.5"/>
        <rFont val="Arial"/>
        <family val="2"/>
      </rPr>
      <t>2020</t>
    </r>
  </si>
  <si>
    <r>
      <rPr>
        <sz val="8.5"/>
        <rFont val="Arial"/>
        <family val="2"/>
      </rPr>
      <t>Stephan Nolan</t>
    </r>
  </si>
  <si>
    <r>
      <rPr>
        <sz val="8.5"/>
        <rFont val="Arial"/>
        <family val="2"/>
      </rPr>
      <t xml:space="preserve">10/22/
</t>
    </r>
    <r>
      <rPr>
        <sz val="8.5"/>
        <rFont val="Arial"/>
        <family val="2"/>
      </rPr>
      <t>2004</t>
    </r>
  </si>
  <si>
    <r>
      <rPr>
        <b/>
        <sz val="10.5"/>
        <rFont val="Arial"/>
        <family val="2"/>
      </rPr>
      <t>Rent Roll</t>
    </r>
  </si>
  <si>
    <r>
      <rPr>
        <b/>
        <sz val="8.5"/>
        <rFont val="Arial"/>
        <family val="2"/>
      </rPr>
      <t>Status</t>
    </r>
  </si>
  <si>
    <r>
      <rPr>
        <b/>
        <sz val="8.5"/>
        <rFont val="Arial"/>
        <family val="2"/>
      </rPr>
      <t>Sqft</t>
    </r>
  </si>
  <si>
    <r>
      <rPr>
        <b/>
        <sz val="8.5"/>
        <rFont val="Arial"/>
        <family val="2"/>
      </rPr>
      <t xml:space="preserve">Market
</t>
    </r>
    <r>
      <rPr>
        <b/>
        <sz val="8.5"/>
        <rFont val="Arial"/>
        <family val="2"/>
      </rPr>
      <t>Rent</t>
    </r>
  </si>
  <si>
    <r>
      <rPr>
        <b/>
        <sz val="8.5"/>
        <rFont val="Arial"/>
        <family val="2"/>
      </rPr>
      <t>Move</t>
    </r>
    <r>
      <rPr>
        <b/>
        <vertAlign val="superscript"/>
        <sz val="8.5"/>
        <rFont val="Arial"/>
        <family val="2"/>
      </rPr>
      <t>-</t>
    </r>
    <r>
      <rPr>
        <b/>
        <sz val="8.5"/>
        <rFont val="Arial"/>
        <family val="2"/>
      </rPr>
      <t xml:space="preserve">
</t>
    </r>
    <r>
      <rPr>
        <b/>
        <sz val="8.5"/>
        <rFont val="Arial"/>
        <family val="2"/>
      </rPr>
      <t>Move-in  out</t>
    </r>
  </si>
  <si>
    <r>
      <rPr>
        <sz val="8.5"/>
        <rFont val="Arial"/>
        <family val="2"/>
      </rPr>
      <t>Joe Pollock</t>
    </r>
  </si>
  <si>
    <r>
      <rPr>
        <sz val="8.5"/>
        <rFont val="Arial"/>
        <family val="2"/>
      </rPr>
      <t xml:space="preserve">11/01/
</t>
    </r>
    <r>
      <rPr>
        <sz val="8.5"/>
        <rFont val="Arial"/>
        <family val="2"/>
      </rPr>
      <t>2019</t>
    </r>
  </si>
  <si>
    <r>
      <rPr>
        <sz val="8.5"/>
        <rFont val="Arial"/>
        <family val="2"/>
      </rPr>
      <t>Dorothy Grey</t>
    </r>
  </si>
  <si>
    <r>
      <rPr>
        <sz val="8.5"/>
        <rFont val="Arial"/>
        <family val="2"/>
      </rPr>
      <t xml:space="preserve">08/16/
</t>
    </r>
    <r>
      <rPr>
        <sz val="8.5"/>
        <rFont val="Arial"/>
        <family val="2"/>
      </rPr>
      <t>2023</t>
    </r>
  </si>
  <si>
    <r>
      <rPr>
        <i/>
        <sz val="10.5"/>
        <rFont val="Arial"/>
        <family val="2"/>
      </rPr>
      <t>--I—</t>
    </r>
  </si>
  <si>
    <r>
      <rPr>
        <sz val="8.5"/>
        <rFont val="Arial"/>
        <family val="2"/>
      </rPr>
      <t>Dana Dustard</t>
    </r>
  </si>
  <si>
    <r>
      <rPr>
        <sz val="8.5"/>
        <rFont val="Arial"/>
        <family val="2"/>
      </rPr>
      <t xml:space="preserve">09/16/
</t>
    </r>
    <r>
      <rPr>
        <sz val="8.5"/>
        <rFont val="Arial"/>
        <family val="2"/>
      </rPr>
      <t>2019</t>
    </r>
  </si>
  <si>
    <r>
      <rPr>
        <sz val="8.5"/>
        <rFont val="Arial"/>
        <family val="2"/>
      </rPr>
      <t>Lila Copeland</t>
    </r>
  </si>
  <si>
    <r>
      <rPr>
        <sz val="8.5"/>
        <rFont val="Arial"/>
        <family val="2"/>
      </rPr>
      <t xml:space="preserve">07/15/
</t>
    </r>
    <r>
      <rPr>
        <sz val="8.5"/>
        <rFont val="Arial"/>
        <family val="2"/>
      </rPr>
      <t>1993</t>
    </r>
  </si>
  <si>
    <r>
      <rPr>
        <sz val="8.5"/>
        <rFont val="Arial"/>
        <family val="2"/>
      </rPr>
      <t>Greg &amp; Valerie</t>
    </r>
  </si>
  <si>
    <r>
      <rPr>
        <sz val="8.5"/>
        <rFont val="Arial"/>
        <family val="2"/>
      </rPr>
      <t>05/01/</t>
    </r>
  </si>
  <si>
    <r>
      <rPr>
        <sz val="8.5"/>
        <rFont val="Arial"/>
        <family val="2"/>
      </rPr>
      <t>04/30/</t>
    </r>
  </si>
  <si>
    <r>
      <rPr>
        <sz val="8.5"/>
        <rFont val="Arial"/>
        <family val="2"/>
      </rPr>
      <t>04/22/</t>
    </r>
  </si>
  <si>
    <r>
      <rPr>
        <sz val="8.5"/>
        <rFont val="Arial"/>
        <family val="2"/>
      </rPr>
      <t>Crist</t>
    </r>
  </si>
  <si>
    <r>
      <rPr>
        <sz val="8.5"/>
        <rFont val="Arial"/>
        <family val="2"/>
      </rPr>
      <t>Thomas Johnson</t>
    </r>
  </si>
  <si>
    <r>
      <rPr>
        <sz val="8.5"/>
        <rFont val="Arial"/>
        <family val="2"/>
      </rPr>
      <t xml:space="preserve">02/08/
</t>
    </r>
    <r>
      <rPr>
        <sz val="8.5"/>
        <rFont val="Arial"/>
        <family val="2"/>
      </rPr>
      <t>2022</t>
    </r>
  </si>
  <si>
    <r>
      <rPr>
        <sz val="8.5"/>
        <rFont val="Arial"/>
        <family val="2"/>
      </rPr>
      <t>Marilyn Crouch</t>
    </r>
  </si>
  <si>
    <r>
      <rPr>
        <sz val="8.5"/>
        <rFont val="Arial"/>
        <family val="2"/>
      </rPr>
      <t xml:space="preserve">03/12/
</t>
    </r>
    <r>
      <rPr>
        <sz val="8.5"/>
        <rFont val="Arial"/>
        <family val="2"/>
      </rPr>
      <t>2004</t>
    </r>
  </si>
  <si>
    <r>
      <rPr>
        <sz val="8.5"/>
        <rFont val="Arial"/>
        <family val="2"/>
      </rPr>
      <t xml:space="preserve">Alice </t>
    </r>
    <r>
      <rPr>
        <b/>
        <sz val="8.5"/>
        <rFont val="Arial"/>
        <family val="2"/>
      </rPr>
      <t>Heath</t>
    </r>
  </si>
  <si>
    <r>
      <rPr>
        <sz val="8.5"/>
        <rFont val="Arial"/>
        <family val="2"/>
      </rPr>
      <t xml:space="preserve">01/15/
</t>
    </r>
    <r>
      <rPr>
        <sz val="8.5"/>
        <rFont val="Arial"/>
        <family val="2"/>
      </rPr>
      <t>2003</t>
    </r>
  </si>
  <si>
    <r>
      <rPr>
        <sz val="8.5"/>
        <rFont val="Arial"/>
        <family val="2"/>
      </rPr>
      <t>John West</t>
    </r>
  </si>
  <si>
    <r>
      <rPr>
        <sz val="8.5"/>
        <rFont val="Arial"/>
        <family val="2"/>
      </rPr>
      <t xml:space="preserve">06/01/
</t>
    </r>
    <r>
      <rPr>
        <sz val="8.5"/>
        <rFont val="Arial"/>
        <family val="2"/>
      </rPr>
      <t>2025</t>
    </r>
  </si>
  <si>
    <r>
      <rPr>
        <sz val="8.5"/>
        <rFont val="Arial"/>
        <family val="2"/>
      </rPr>
      <t>Tishel Garten</t>
    </r>
  </si>
  <si>
    <r>
      <rPr>
        <sz val="8.5"/>
        <rFont val="Arial"/>
        <family val="2"/>
      </rPr>
      <t xml:space="preserve">03/15/
</t>
    </r>
    <r>
      <rPr>
        <sz val="8.5"/>
        <rFont val="Arial"/>
        <family val="2"/>
      </rPr>
      <t>2016</t>
    </r>
  </si>
  <si>
    <r>
      <rPr>
        <sz val="8.5"/>
        <rFont val="Arial"/>
        <family val="2"/>
      </rPr>
      <t>Jac Bianchi</t>
    </r>
  </si>
  <si>
    <r>
      <rPr>
        <sz val="8.5"/>
        <rFont val="Arial"/>
        <family val="2"/>
      </rPr>
      <t xml:space="preserve">10/14/
</t>
    </r>
    <r>
      <rPr>
        <sz val="8.5"/>
        <rFont val="Arial"/>
        <family val="2"/>
      </rPr>
      <t>2016</t>
    </r>
  </si>
  <si>
    <r>
      <rPr>
        <sz val="8.5"/>
        <rFont val="Arial"/>
        <family val="2"/>
      </rPr>
      <t>Jan Newman</t>
    </r>
  </si>
  <si>
    <r>
      <rPr>
        <sz val="8.5"/>
        <rFont val="Arial"/>
        <family val="2"/>
      </rPr>
      <t xml:space="preserve">08/20/
</t>
    </r>
    <r>
      <rPr>
        <sz val="8.5"/>
        <rFont val="Arial"/>
        <family val="2"/>
      </rPr>
      <t>2021</t>
    </r>
  </si>
  <si>
    <r>
      <rPr>
        <sz val="8.5"/>
        <rFont val="Arial"/>
        <family val="2"/>
      </rPr>
      <t>Diane Greene</t>
    </r>
  </si>
  <si>
    <r>
      <rPr>
        <sz val="8.5"/>
        <rFont val="Arial"/>
        <family val="2"/>
      </rPr>
      <t xml:space="preserve">10/23/
</t>
    </r>
    <r>
      <rPr>
        <sz val="8.5"/>
        <rFont val="Arial"/>
        <family val="2"/>
      </rPr>
      <t>2015</t>
    </r>
  </si>
  <si>
    <r>
      <rPr>
        <sz val="8.5"/>
        <rFont val="Arial"/>
        <family val="2"/>
      </rPr>
      <t>Amy Sibley</t>
    </r>
  </si>
  <si>
    <r>
      <rPr>
        <sz val="8.5"/>
        <rFont val="Arial"/>
        <family val="2"/>
      </rPr>
      <t xml:space="preserve">10/10/
</t>
    </r>
    <r>
      <rPr>
        <sz val="8.5"/>
        <rFont val="Arial"/>
        <family val="2"/>
      </rPr>
      <t>2024</t>
    </r>
  </si>
  <si>
    <r>
      <rPr>
        <b/>
        <sz val="8.5"/>
        <rFont val="Arial"/>
        <family val="2"/>
      </rPr>
      <t>95.7% Occupied</t>
    </r>
  </si>
  <si>
    <r>
      <rPr>
        <b/>
        <sz val="8.5"/>
        <rFont val="Arial"/>
        <family val="2"/>
      </rPr>
      <t>Units</t>
    </r>
  </si>
  <si>
    <r>
      <rPr>
        <b/>
        <sz val="8.5"/>
        <rFont val="Arial"/>
        <family val="2"/>
      </rPr>
      <t>Total</t>
    </r>
  </si>
  <si>
    <t>Total Monthly Rent</t>
  </si>
  <si>
    <t>at occupancy of</t>
  </si>
  <si>
    <t>paying spaces</t>
  </si>
  <si>
    <t>annulized</t>
  </si>
  <si>
    <t>6,</t>
  </si>
  <si>
    <t>Shop</t>
  </si>
  <si>
    <t>Restroom / Laundry</t>
  </si>
  <si>
    <t>Base</t>
  </si>
  <si>
    <t>Less 10% insurable exclusions</t>
  </si>
  <si>
    <t>Net</t>
  </si>
  <si>
    <t>BVG Value Adjustment %</t>
  </si>
  <si>
    <t>BVG Value Adjustmen</t>
  </si>
  <si>
    <t>Final Depreciable Value</t>
  </si>
  <si>
    <t>Homes in park sell for $80k to $295K</t>
  </si>
  <si>
    <t>Municpal Sewer could be coming in 2027-2029</t>
  </si>
  <si>
    <t>Municipal Water completed July 2025</t>
  </si>
  <si>
    <r>
      <t xml:space="preserve">Electric (Assume </t>
    </r>
    <r>
      <rPr>
        <b/>
        <sz val="11"/>
        <rFont val="Calibri"/>
        <family val="2"/>
        <scheme val="minor"/>
      </rPr>
      <t>90%</t>
    </r>
    <r>
      <rPr>
        <sz val="11"/>
        <rFont val="Calibri"/>
        <family val="2"/>
        <scheme val="minor"/>
      </rPr>
      <t xml:space="preserve"> pass through)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</si>
</sst>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00000%"/>
    <numFmt numFmtId="168" formatCode="0.000000000%"/>
    <numFmt numFmtId="169" formatCode="0%\ &quot;LTV&quot;"/>
    <numFmt numFmtId="170" formatCode="_-&quot;$&quot;* #,##0_-;\-&quot;$&quot;* #,##0_-;_-&quot;$&quot;* &quot;-&quot;??_-;_-@_-"/>
    <numFmt numFmtId="171" formatCode="0.0&quot;x&quot;"/>
    <numFmt numFmtId="172" formatCode="&quot;Year&quot;\ 0"/>
    <numFmt numFmtId="173" formatCode="0.0"/>
    <numFmt numFmtId="174" formatCode="_(&quot;$&quot;* #,##0_);_(&quot;$&quot;* \(#,##0\);_(&quot;$&quot;* &quot;-&quot;?_);_(@_)"/>
    <numFmt numFmtId="175" formatCode="&quot;Vac. Sp=&quot;0.0"/>
    <numFmt numFmtId="176" formatCode="#,##0.0"/>
    <numFmt numFmtId="177" formatCode="0.00&quot;X&quot;"/>
    <numFmt numFmtId="178" formatCode="&quot;v&quot;0.00"/>
    <numFmt numFmtId="179" formatCode="0.000&quot;MM&quot;"/>
    <numFmt numFmtId="180" formatCode="&quot; Up to &quot;0.0%\ \I\R\R&quot; to LP&quot;"/>
    <numFmt numFmtId="181" formatCode="&quot;&gt;&quot;\ 0.00&quot;X EM to LP&quot;"/>
    <numFmt numFmtId="182" formatCode="&quot;&gt;&quot;\ 0.0%\ \I\R\R&quot; to LP&quot;"/>
    <numFmt numFmtId="183" formatCode="&quot; up to &quot;0.0%\ \I\R\R&quot; to LP&quot;"/>
    <numFmt numFmtId="184" formatCode="0.00&quot;x&quot;"/>
    <numFmt numFmtId="185" formatCode="[$-409]d\-mmm\-yy;@"/>
    <numFmt numFmtId="186" formatCode="&quot;IRR Error Check -&quot;\ 0.0%"/>
    <numFmt numFmtId="187" formatCode="&quot;$&quot;#,##0.00"/>
    <numFmt numFmtId="188" formatCode="#,##0.00\x"/>
    <numFmt numFmtId="189" formatCode="0.000000000000000"/>
    <numFmt numFmtId="190" formatCode="_(* #,##0.0000_);_(* \(#,##0.0000\);_(* &quot;-&quot;??_);_(@_)"/>
  </numFmts>
  <fonts count="129" x14ac:knownFonts="1">
    <font>
      <sz val="10"/>
      <name val="Arial"/>
    </font>
    <font>
      <sz val="11"/>
      <color theme="1"/>
      <name val="Calibri"/>
      <family val="2"/>
      <scheme val="minor"/>
    </font>
    <font>
      <sz val="10"/>
      <name val="Arial"/>
      <family val="2"/>
    </font>
    <font>
      <sz val="10"/>
      <name val="Arial"/>
      <family val="2"/>
    </font>
    <font>
      <sz val="11"/>
      <color theme="1"/>
      <name val="Calibri"/>
      <family val="2"/>
      <scheme val="minor"/>
    </font>
    <font>
      <sz val="10"/>
      <color theme="1"/>
      <name val="Arial"/>
      <family val="2"/>
    </font>
    <font>
      <sz val="11"/>
      <color theme="1"/>
      <name val="Calibri"/>
      <family val="2"/>
      <scheme val="minor"/>
    </font>
    <font>
      <sz val="10"/>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9"/>
      <name val="Arial"/>
      <family val="2"/>
    </font>
    <font>
      <sz val="10"/>
      <color rgb="FF0000FF"/>
      <name val="Arial"/>
      <family val="2"/>
    </font>
    <font>
      <i/>
      <sz val="9"/>
      <name val="Arial"/>
      <family val="2"/>
    </font>
    <font>
      <sz val="11"/>
      <name val="Calibri"/>
      <family val="2"/>
    </font>
    <font>
      <b/>
      <sz val="11"/>
      <color theme="0"/>
      <name val="Arial"/>
      <family val="2"/>
    </font>
    <font>
      <b/>
      <sz val="10"/>
      <color theme="0"/>
      <name val="Arial"/>
      <family val="2"/>
    </font>
    <font>
      <sz val="10"/>
      <color theme="0"/>
      <name val="Arial"/>
      <family val="2"/>
    </font>
    <font>
      <b/>
      <sz val="10"/>
      <color theme="1"/>
      <name val="Arial"/>
      <family val="2"/>
    </font>
    <font>
      <i/>
      <sz val="8"/>
      <name val="Arial"/>
      <family val="2"/>
    </font>
    <font>
      <b/>
      <i/>
      <sz val="9"/>
      <name val="Arial"/>
      <family val="2"/>
    </font>
    <font>
      <i/>
      <u val="singleAccounting"/>
      <sz val="9"/>
      <name val="Arial"/>
      <family val="2"/>
    </font>
    <font>
      <i/>
      <u/>
      <sz val="9"/>
      <name val="Arial"/>
      <family val="2"/>
    </font>
    <font>
      <sz val="11"/>
      <color theme="1"/>
      <name val="Arial"/>
      <family val="2"/>
    </font>
    <font>
      <sz val="11"/>
      <name val="Calibri"/>
      <family val="2"/>
      <scheme val="minor"/>
    </font>
    <font>
      <i/>
      <sz val="10"/>
      <name val="Arial"/>
      <family val="2"/>
    </font>
    <font>
      <sz val="10"/>
      <color theme="4"/>
      <name val="Arial"/>
      <family val="2"/>
    </font>
    <font>
      <b/>
      <i/>
      <sz val="8"/>
      <name val="Arial"/>
      <family val="2"/>
    </font>
    <font>
      <sz val="10"/>
      <color theme="1" tint="0.499984740745262"/>
      <name val="Arial"/>
      <family val="2"/>
    </font>
    <font>
      <sz val="10"/>
      <name val="Calibri"/>
      <family val="2"/>
      <scheme val="minor"/>
    </font>
    <font>
      <sz val="10"/>
      <color rgb="FF000000"/>
      <name val="Times New Roman"/>
      <family val="1"/>
    </font>
    <font>
      <b/>
      <sz val="14"/>
      <color theme="0"/>
      <name val="Arial"/>
      <family val="2"/>
    </font>
    <font>
      <b/>
      <sz val="11"/>
      <name val="Calibri"/>
      <family val="2"/>
      <scheme val="minor"/>
    </font>
    <font>
      <b/>
      <sz val="11"/>
      <color rgb="FFC00000"/>
      <name val="Calibri"/>
      <family val="2"/>
      <scheme val="minor"/>
    </font>
    <font>
      <b/>
      <i/>
      <sz val="11"/>
      <color rgb="FFC00000"/>
      <name val="Calibri"/>
      <family val="2"/>
      <scheme val="minor"/>
    </font>
    <font>
      <i/>
      <sz val="9"/>
      <name val="Calibri"/>
      <family val="2"/>
      <scheme val="minor"/>
    </font>
    <font>
      <b/>
      <sz val="10"/>
      <name val="Calibri"/>
      <family val="2"/>
      <scheme val="minor"/>
    </font>
    <font>
      <b/>
      <u/>
      <sz val="11"/>
      <name val="Calibri"/>
      <family val="2"/>
    </font>
    <font>
      <b/>
      <sz val="10"/>
      <name val="Calibri"/>
      <family val="2"/>
    </font>
    <font>
      <u val="singleAccounting"/>
      <sz val="10"/>
      <name val="Calibri"/>
      <family val="2"/>
      <scheme val="minor"/>
    </font>
    <font>
      <b/>
      <sz val="10"/>
      <color rgb="FFFFFF00"/>
      <name val="Arial"/>
      <family val="2"/>
    </font>
    <font>
      <b/>
      <i/>
      <sz val="9"/>
      <color theme="0"/>
      <name val="Arial"/>
      <family val="2"/>
    </font>
    <font>
      <b/>
      <sz val="11"/>
      <color rgb="FFFFFF00"/>
      <name val="Arial"/>
      <family val="2"/>
    </font>
    <font>
      <sz val="9"/>
      <color indexed="81"/>
      <name val="Tahoma"/>
      <family val="2"/>
    </font>
    <font>
      <b/>
      <sz val="9"/>
      <color indexed="81"/>
      <name val="Tahoma"/>
      <family val="2"/>
    </font>
    <font>
      <u/>
      <sz val="10"/>
      <color theme="10"/>
      <name val="Arial"/>
      <family val="2"/>
    </font>
    <font>
      <sz val="10"/>
      <color rgb="FF7030A0"/>
      <name val="Arial"/>
      <family val="2"/>
    </font>
    <font>
      <b/>
      <sz val="11"/>
      <color theme="0"/>
      <name val="Calibri"/>
      <family val="2"/>
      <scheme val="minor"/>
    </font>
    <font>
      <sz val="11"/>
      <color theme="0"/>
      <name val="Calibri"/>
      <family val="2"/>
      <scheme val="minor"/>
    </font>
    <font>
      <b/>
      <sz val="9"/>
      <name val="Arial"/>
      <family val="2"/>
    </font>
    <font>
      <sz val="11"/>
      <color rgb="FFFF0000"/>
      <name val="Calibri"/>
      <family val="2"/>
      <scheme val="minor"/>
    </font>
    <font>
      <b/>
      <sz val="11"/>
      <color theme="1"/>
      <name val="Calibri"/>
      <family val="2"/>
      <scheme val="minor"/>
    </font>
    <font>
      <b/>
      <sz val="11"/>
      <color theme="4"/>
      <name val="Calibri"/>
      <family val="2"/>
      <scheme val="minor"/>
    </font>
    <font>
      <i/>
      <sz val="11"/>
      <color theme="1"/>
      <name val="Calibri"/>
      <family val="2"/>
      <scheme val="minor"/>
    </font>
    <font>
      <i/>
      <sz val="11"/>
      <color rgb="FF7030A0"/>
      <name val="Calibri"/>
      <family val="2"/>
      <scheme val="minor"/>
    </font>
    <font>
      <b/>
      <i/>
      <sz val="11"/>
      <color rgb="FF7030A0"/>
      <name val="Calibri"/>
      <family val="2"/>
      <scheme val="minor"/>
    </font>
    <font>
      <sz val="11"/>
      <color rgb="FF7030A0"/>
      <name val="Calibri"/>
      <family val="2"/>
      <scheme val="minor"/>
    </font>
    <font>
      <sz val="9"/>
      <color theme="9" tint="-0.249977111117893"/>
      <name val="Calibri"/>
      <family val="2"/>
      <scheme val="minor"/>
    </font>
    <font>
      <sz val="9"/>
      <color theme="9" tint="-0.249977111117893"/>
      <name val="Arial"/>
      <family val="2"/>
    </font>
    <font>
      <sz val="9"/>
      <name val="Calibri"/>
      <family val="2"/>
      <scheme val="minor"/>
    </font>
    <font>
      <sz val="11"/>
      <color theme="9" tint="-0.249977111117893"/>
      <name val="Calibri"/>
      <family val="2"/>
      <scheme val="minor"/>
    </font>
    <font>
      <sz val="9"/>
      <color rgb="FF7030A0"/>
      <name val="Calibri"/>
      <family val="2"/>
      <scheme val="minor"/>
    </font>
    <font>
      <b/>
      <i/>
      <sz val="8"/>
      <color theme="0"/>
      <name val="Arial"/>
      <family val="2"/>
    </font>
    <font>
      <b/>
      <i/>
      <sz val="11"/>
      <color theme="1"/>
      <name val="Calibri"/>
      <family val="2"/>
      <scheme val="minor"/>
    </font>
    <font>
      <i/>
      <sz val="6"/>
      <color theme="0"/>
      <name val="Arial"/>
      <family val="2"/>
    </font>
    <font>
      <sz val="10"/>
      <color theme="3" tint="-0.249977111117893"/>
      <name val="Arial"/>
      <family val="2"/>
    </font>
    <font>
      <b/>
      <sz val="10"/>
      <color rgb="FFFF0000"/>
      <name val="Arial"/>
      <family val="2"/>
    </font>
    <font>
      <sz val="11"/>
      <name val="Arial"/>
      <family val="1"/>
    </font>
    <font>
      <sz val="11"/>
      <color indexed="8"/>
      <name val="Calibri"/>
      <family val="2"/>
      <scheme val="minor"/>
    </font>
    <font>
      <i/>
      <sz val="8"/>
      <color theme="4" tint="-0.249977111117893"/>
      <name val="Arial"/>
      <family val="2"/>
    </font>
    <font>
      <b/>
      <i/>
      <u/>
      <sz val="10"/>
      <name val="Arial"/>
      <family val="2"/>
    </font>
    <font>
      <i/>
      <sz val="9"/>
      <color theme="4" tint="-0.249977111117893"/>
      <name val="Arial"/>
      <family val="2"/>
    </font>
    <font>
      <i/>
      <sz val="8"/>
      <color rgb="FFFF0000"/>
      <name val="Arial"/>
      <family val="2"/>
    </font>
    <font>
      <sz val="10"/>
      <color theme="0" tint="-0.14999847407452621"/>
      <name val="Arial"/>
      <family val="2"/>
    </font>
    <font>
      <i/>
      <sz val="10"/>
      <color theme="0" tint="-0.14999847407452621"/>
      <name val="Arial"/>
      <family val="2"/>
    </font>
    <font>
      <b/>
      <sz val="14"/>
      <color theme="0"/>
      <name val="Calibri"/>
      <family val="2"/>
      <scheme val="minor"/>
    </font>
    <font>
      <b/>
      <sz val="12"/>
      <name val="Calibri"/>
      <family val="2"/>
      <scheme val="minor"/>
    </font>
    <font>
      <sz val="11"/>
      <color indexed="12"/>
      <name val="Calibri"/>
      <family val="2"/>
      <scheme val="minor"/>
    </font>
    <font>
      <u/>
      <sz val="11"/>
      <name val="Calibri"/>
      <family val="2"/>
      <scheme val="minor"/>
    </font>
    <font>
      <b/>
      <sz val="12"/>
      <color theme="1"/>
      <name val="Calibri"/>
      <family val="2"/>
      <scheme val="minor"/>
    </font>
    <font>
      <sz val="9"/>
      <color theme="1"/>
      <name val="Calibri"/>
      <family val="2"/>
      <scheme val="minor"/>
    </font>
    <font>
      <b/>
      <sz val="9"/>
      <color rgb="FFFF0000"/>
      <name val="Calibri"/>
      <family val="2"/>
      <scheme val="minor"/>
    </font>
    <font>
      <b/>
      <u/>
      <sz val="11"/>
      <color theme="1"/>
      <name val="Calibri"/>
      <family val="2"/>
      <scheme val="minor"/>
    </font>
    <font>
      <u/>
      <sz val="11"/>
      <color theme="1"/>
      <name val="Calibri"/>
      <family val="2"/>
      <scheme val="minor"/>
    </font>
    <font>
      <b/>
      <u/>
      <sz val="11"/>
      <name val="Calibri"/>
      <family val="2"/>
      <scheme val="minor"/>
    </font>
    <font>
      <sz val="11"/>
      <color rgb="FF124579"/>
      <name val="Calibri"/>
      <family val="2"/>
      <scheme val="minor"/>
    </font>
    <font>
      <sz val="10"/>
      <color rgb="FF124579"/>
      <name val="Arial"/>
      <family val="2"/>
    </font>
    <font>
      <b/>
      <sz val="9"/>
      <name val="Calibri"/>
      <family val="2"/>
      <scheme val="minor"/>
    </font>
    <font>
      <i/>
      <sz val="10"/>
      <color rgb="FFFF0000"/>
      <name val="Calibri"/>
      <family val="2"/>
      <scheme val="minor"/>
    </font>
    <font>
      <sz val="9"/>
      <color theme="4" tint="-0.499984740745262"/>
      <name val="Arial"/>
      <family val="2"/>
    </font>
    <font>
      <i/>
      <sz val="9"/>
      <color theme="4" tint="-0.499984740745262"/>
      <name val="Arial"/>
      <family val="2"/>
    </font>
    <font>
      <sz val="9"/>
      <color theme="9" tint="-0.499984740745262"/>
      <name val="Arial"/>
      <family val="2"/>
    </font>
    <font>
      <sz val="9"/>
      <color theme="0"/>
      <name val="Calibri"/>
      <family val="2"/>
      <scheme val="minor"/>
    </font>
    <font>
      <sz val="9"/>
      <color theme="1"/>
      <name val="Arial"/>
      <family val="2"/>
    </font>
    <font>
      <b/>
      <sz val="9"/>
      <color theme="0"/>
      <name val="Calibri"/>
      <family val="2"/>
      <scheme val="minor"/>
    </font>
    <font>
      <i/>
      <sz val="9"/>
      <color theme="3"/>
      <name val="Arial"/>
      <family val="2"/>
    </font>
    <font>
      <sz val="9"/>
      <color theme="3"/>
      <name val="Arial"/>
      <family val="2"/>
    </font>
    <font>
      <u/>
      <sz val="11"/>
      <color theme="10"/>
      <name val="Calibri"/>
      <family val="2"/>
      <scheme val="minor"/>
    </font>
    <font>
      <u/>
      <sz val="10"/>
      <name val="Arial"/>
      <family val="2"/>
    </font>
    <font>
      <sz val="8"/>
      <color theme="3"/>
      <name val="Arial"/>
      <family val="2"/>
    </font>
    <font>
      <sz val="13"/>
      <color theme="0"/>
      <name val="Calibri"/>
      <family val="2"/>
      <scheme val="minor"/>
    </font>
    <font>
      <b/>
      <sz val="12"/>
      <color theme="0"/>
      <name val="Calibri"/>
      <family val="2"/>
      <scheme val="minor"/>
    </font>
    <font>
      <sz val="11"/>
      <color rgb="FF9C0006"/>
      <name val="Calibri"/>
      <family val="2"/>
      <scheme val="minor"/>
    </font>
    <font>
      <sz val="11"/>
      <color rgb="FF9C5700"/>
      <name val="Calibri"/>
      <family val="2"/>
      <scheme val="minor"/>
    </font>
    <font>
      <sz val="11"/>
      <color indexed="8"/>
      <name val="Calibri"/>
      <family val="2"/>
    </font>
    <font>
      <sz val="11"/>
      <color indexed="9"/>
      <name val="Calibri"/>
      <family val="2"/>
    </font>
    <font>
      <sz val="11"/>
      <color indexed="20"/>
      <name val="Calibri"/>
      <family val="2"/>
    </font>
    <font>
      <sz val="11"/>
      <color rgb="FF006100"/>
      <name val="Calibri"/>
      <family val="2"/>
      <scheme val="minor"/>
    </font>
    <font>
      <sz val="11"/>
      <color rgb="FF000000"/>
      <name val="Calibri"/>
      <family val="2"/>
    </font>
    <font>
      <b/>
      <sz val="11"/>
      <color rgb="FF000000"/>
      <name val="Arial"/>
      <family val="2"/>
    </font>
    <font>
      <b/>
      <sz val="11"/>
      <name val="Arial"/>
      <family val="2"/>
    </font>
    <font>
      <b/>
      <sz val="8.5"/>
      <color rgb="FF000000"/>
      <name val="Arial"/>
      <family val="2"/>
    </font>
    <font>
      <b/>
      <sz val="8.5"/>
      <name val="Arial"/>
      <family val="2"/>
    </font>
    <font>
      <sz val="8.5"/>
      <color rgb="FF000000"/>
      <name val="Arial"/>
      <family val="2"/>
    </font>
    <font>
      <sz val="8.5"/>
      <name val="Arial"/>
      <family val="2"/>
    </font>
    <font>
      <b/>
      <vertAlign val="subscript"/>
      <sz val="8.5"/>
      <name val="Arial"/>
      <family val="2"/>
    </font>
    <font>
      <i/>
      <sz val="11"/>
      <name val="Arial"/>
      <family val="2"/>
    </font>
    <font>
      <b/>
      <vertAlign val="superscript"/>
      <sz val="8.5"/>
      <name val="Arial"/>
      <family val="2"/>
    </font>
    <font>
      <i/>
      <sz val="11.5"/>
      <color rgb="FF000000"/>
      <name val="Arial Narrow"/>
      <family val="2"/>
    </font>
    <font>
      <i/>
      <sz val="11.5"/>
      <name val="Arial Narrow"/>
      <family val="2"/>
    </font>
    <font>
      <b/>
      <sz val="10.5"/>
      <color rgb="FF000000"/>
      <name val="Arial"/>
      <family val="2"/>
    </font>
    <font>
      <b/>
      <sz val="10.5"/>
      <name val="Arial"/>
      <family val="2"/>
    </font>
    <font>
      <i/>
      <sz val="10.5"/>
      <color rgb="FF000000"/>
      <name val="Arial"/>
      <family val="2"/>
    </font>
    <font>
      <i/>
      <sz val="10.5"/>
      <name val="Arial"/>
      <family val="2"/>
    </font>
    <font>
      <b/>
      <i/>
      <sz val="5"/>
      <color rgb="FF000000"/>
      <name val="Arial"/>
      <family val="2"/>
    </font>
  </fonts>
  <fills count="4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63"/>
        <bgColor indexed="64"/>
      </patternFill>
    </fill>
    <fill>
      <patternFill patternType="solid">
        <fgColor indexed="57"/>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9"/>
      </patternFill>
    </fill>
    <fill>
      <patternFill patternType="solid">
        <fgColor theme="4"/>
      </patternFill>
    </fill>
    <fill>
      <patternFill patternType="solid">
        <fgColor theme="4" tint="0.59999389629810485"/>
        <bgColor indexed="65"/>
      </patternFill>
    </fill>
    <fill>
      <patternFill patternType="solid">
        <fgColor indexed="22"/>
        <bgColor indexed="64"/>
      </patternFill>
    </fill>
    <fill>
      <patternFill patternType="solid">
        <fgColor rgb="FF002060"/>
        <bgColor indexed="64"/>
      </patternFill>
    </fill>
    <fill>
      <patternFill patternType="solid">
        <fgColor theme="4" tint="0.79998168889431442"/>
        <bgColor indexed="65"/>
      </patternFill>
    </fill>
    <fill>
      <patternFill patternType="solid">
        <fgColor theme="7"/>
      </patternFill>
    </fill>
    <fill>
      <patternFill patternType="solid">
        <fgColor theme="5"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9E42"/>
        <bgColor indexed="64"/>
      </patternFill>
    </fill>
    <fill>
      <patternFill patternType="solid">
        <fgColor rgb="FF124579"/>
        <bgColor indexed="64"/>
      </patternFill>
    </fill>
    <fill>
      <patternFill patternType="solid">
        <fgColor theme="6"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FFC7CE"/>
      </patternFill>
    </fill>
    <fill>
      <patternFill patternType="solid">
        <fgColor theme="3" tint="0.59999389629810485"/>
        <bgColor indexed="64"/>
      </patternFill>
    </fill>
    <fill>
      <patternFill patternType="solid">
        <fgColor rgb="FFFFEB9C"/>
      </patternFill>
    </fill>
    <fill>
      <patternFill patternType="solid">
        <fgColor theme="5" tint="0.79998168889431442"/>
        <bgColor indexed="65"/>
      </patternFill>
    </fill>
    <fill>
      <patternFill patternType="solid">
        <fgColor indexed="29"/>
      </patternFill>
    </fill>
    <fill>
      <patternFill patternType="solid">
        <fgColor indexed="11"/>
      </patternFill>
    </fill>
    <fill>
      <patternFill patternType="solid">
        <fgColor indexed="62"/>
      </patternFill>
    </fill>
    <fill>
      <patternFill patternType="solid">
        <fgColor indexed="45"/>
      </patternFill>
    </fill>
    <fill>
      <patternFill patternType="solid">
        <fgColor indexed="51"/>
      </patternFill>
    </fill>
    <fill>
      <patternFill patternType="solid">
        <fgColor rgb="FFC6EFCE"/>
      </patternFill>
    </fill>
  </fills>
  <borders count="62">
    <border>
      <left/>
      <right/>
      <top/>
      <bottom/>
      <diagonal/>
    </border>
    <border>
      <left/>
      <right/>
      <top/>
      <bottom style="thin">
        <color auto="1"/>
      </bottom>
      <diagonal/>
    </border>
    <border>
      <left/>
      <right style="thin">
        <color auto="1"/>
      </right>
      <top/>
      <bottom/>
      <diagonal/>
    </border>
    <border>
      <left style="medium">
        <color auto="1"/>
      </left>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bottom style="thin">
        <color auto="1"/>
      </bottom>
      <diagonal/>
    </border>
    <border>
      <left style="thin">
        <color indexed="55"/>
      </left>
      <right style="thin">
        <color indexed="55"/>
      </right>
      <top style="thin">
        <color indexed="55"/>
      </top>
      <bottom style="thin">
        <color indexed="55"/>
      </bottom>
      <diagonal/>
    </border>
    <border>
      <left style="thin">
        <color indexed="58"/>
      </left>
      <right style="thin">
        <color indexed="58"/>
      </right>
      <top style="thin">
        <color indexed="58"/>
      </top>
      <bottom style="thin">
        <color indexed="58"/>
      </bottom>
      <diagonal/>
    </border>
    <border>
      <left style="medium">
        <color auto="1"/>
      </left>
      <right/>
      <top/>
      <bottom style="medium">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rgb="FFC00000"/>
      </left>
      <right style="medium">
        <color rgb="FFC00000"/>
      </right>
      <top style="medium">
        <color rgb="FFC00000"/>
      </top>
      <bottom style="medium">
        <color rgb="FFC00000"/>
      </bottom>
      <diagonal/>
    </border>
    <border>
      <left/>
      <right/>
      <top/>
      <bottom style="medium">
        <color auto="1"/>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indexed="64"/>
      </right>
      <top/>
      <bottom style="medium">
        <color auto="1"/>
      </bottom>
      <diagonal/>
    </border>
    <border>
      <left/>
      <right style="hair">
        <color auto="1"/>
      </right>
      <top/>
      <bottom/>
      <diagonal/>
    </border>
    <border>
      <left style="hair">
        <color auto="1"/>
      </left>
      <right/>
      <top/>
      <bottom/>
      <diagonal/>
    </border>
    <border>
      <left/>
      <right style="hair">
        <color auto="1"/>
      </right>
      <top/>
      <bottom style="thin">
        <color auto="1"/>
      </bottom>
      <diagonal/>
    </border>
    <border>
      <left style="hair">
        <color auto="1"/>
      </left>
      <right/>
      <top/>
      <bottom style="thin">
        <color auto="1"/>
      </bottom>
      <diagonal/>
    </border>
    <border>
      <left style="hair">
        <color auto="1"/>
      </left>
      <right/>
      <top style="thin">
        <color auto="1"/>
      </top>
      <bottom/>
      <diagonal/>
    </border>
    <border>
      <left/>
      <right/>
      <top/>
      <bottom style="double">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top style="medium">
        <color theme="1" tint="0.499984740745262"/>
      </top>
      <bottom style="medium">
        <color auto="1"/>
      </bottom>
      <diagonal/>
    </border>
    <border>
      <left/>
      <right style="medium">
        <color theme="1" tint="0.499984740745262"/>
      </right>
      <top style="medium">
        <color theme="1" tint="0.499984740745262"/>
      </top>
      <bottom style="medium">
        <color indexed="64"/>
      </bottom>
      <diagonal/>
    </border>
    <border>
      <left/>
      <right style="medium">
        <color theme="1" tint="0.499984740745262"/>
      </right>
      <top/>
      <bottom/>
      <diagonal/>
    </border>
    <border>
      <left/>
      <right style="medium">
        <color theme="0" tint="-0.499984740745262"/>
      </right>
      <top/>
      <bottom/>
      <diagonal/>
    </border>
    <border>
      <left style="medium">
        <color theme="0" tint="-0.499984740745262"/>
      </left>
      <right/>
      <top/>
      <bottom/>
      <diagonal/>
    </border>
    <border>
      <left style="thin">
        <color theme="0" tint="-0.34998626667073579"/>
      </left>
      <right/>
      <top/>
      <bottom style="thin">
        <color indexed="64"/>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indexed="64"/>
      </left>
      <right style="thin">
        <color auto="1"/>
      </right>
      <top/>
      <bottom style="medium">
        <color auto="1"/>
      </bottom>
      <diagonal/>
    </border>
    <border>
      <left style="thin">
        <color indexed="64"/>
      </left>
      <right style="thin">
        <color auto="1"/>
      </right>
      <top style="medium">
        <color auto="1"/>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double">
        <color auto="1"/>
      </bottom>
      <diagonal/>
    </border>
    <border>
      <left/>
      <right style="thick">
        <color theme="0"/>
      </right>
      <top style="thin">
        <color auto="1"/>
      </top>
      <bottom style="double">
        <color auto="1"/>
      </bottom>
      <diagonal/>
    </border>
    <border>
      <left style="thick">
        <color theme="0"/>
      </left>
      <right style="thick">
        <color theme="0"/>
      </right>
      <top style="thin">
        <color auto="1"/>
      </top>
      <bottom style="double">
        <color auto="1"/>
      </bottom>
      <diagonal/>
    </border>
    <border>
      <left style="thick">
        <color theme="0"/>
      </left>
      <right/>
      <top style="thin">
        <color auto="1"/>
      </top>
      <bottom style="double">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auto="1"/>
      </left>
      <right/>
      <top style="thin">
        <color indexed="64"/>
      </top>
      <bottom/>
      <diagonal/>
    </border>
    <border>
      <left style="thin">
        <color indexed="64"/>
      </left>
      <right style="thin">
        <color indexed="64"/>
      </right>
      <top style="thin">
        <color indexed="64"/>
      </top>
      <bottom/>
      <diagonal/>
    </border>
    <border>
      <left style="thick">
        <color theme="0"/>
      </left>
      <right style="thick">
        <color theme="0"/>
      </right>
      <top style="thin">
        <color auto="1"/>
      </top>
      <bottom/>
      <diagonal/>
    </border>
  </borders>
  <cellStyleXfs count="63">
    <xf numFmtId="0" fontId="0" fillId="0" borderId="0"/>
    <xf numFmtId="43"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9" fontId="12"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43" fontId="2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xf numFmtId="0" fontId="12" fillId="2" borderId="8" applyNumberFormat="0" applyFont="0" applyProtection="0">
      <alignment horizontal="left" vertical="center"/>
    </xf>
    <xf numFmtId="0" fontId="12" fillId="8" borderId="8" applyNumberFormat="0" applyFont="0" applyProtection="0">
      <alignment horizontal="left" vertical="center"/>
    </xf>
    <xf numFmtId="0" fontId="12" fillId="2" borderId="9" applyNumberFormat="0" applyFont="0" applyProtection="0">
      <alignment horizontal="left" vertical="center"/>
    </xf>
    <xf numFmtId="0" fontId="12" fillId="9" borderId="9" applyNumberFormat="0" applyFont="0" applyProtection="0">
      <alignment horizontal="left" vertical="center"/>
    </xf>
    <xf numFmtId="0" fontId="12" fillId="2" borderId="9" applyNumberFormat="0" applyFont="0" applyProtection="0">
      <alignment horizontal="left" vertical="center"/>
    </xf>
    <xf numFmtId="0" fontId="12" fillId="9" borderId="9" applyNumberFormat="0" applyFont="0" applyProtection="0">
      <alignment horizontal="left" vertical="center"/>
    </xf>
    <xf numFmtId="0" fontId="34" fillId="0" borderId="0"/>
    <xf numFmtId="43" fontId="34" fillId="0" borderId="0" applyFont="0" applyFill="0" applyBorder="0" applyAlignment="0" applyProtection="0"/>
    <xf numFmtId="0" fontId="49" fillId="0" borderId="0" applyNumberFormat="0" applyFill="0" applyBorder="0" applyAlignment="0" applyProtection="0"/>
    <xf numFmtId="0" fontId="52" fillId="13" borderId="0" applyNumberFormat="0" applyBorder="0" applyAlignment="0" applyProtection="0"/>
    <xf numFmtId="0" fontId="52" fillId="14" borderId="0" applyNumberFormat="0" applyBorder="0" applyAlignment="0" applyProtection="0"/>
    <xf numFmtId="0" fontId="11" fillId="15" borderId="0" applyNumberFormat="0" applyBorder="0" applyAlignment="0" applyProtection="0"/>
    <xf numFmtId="0" fontId="11" fillId="0" borderId="0"/>
    <xf numFmtId="0" fontId="71" fillId="0" borderId="0"/>
    <xf numFmtId="0" fontId="72" fillId="0" borderId="0"/>
    <xf numFmtId="44" fontId="71" fillId="0" borderId="0" applyFont="0" applyFill="0" applyBorder="0" applyAlignment="0" applyProtection="0"/>
    <xf numFmtId="0" fontId="10" fillId="18" borderId="0" applyNumberFormat="0" applyBorder="0" applyAlignment="0" applyProtection="0"/>
    <xf numFmtId="0" fontId="52" fillId="19" borderId="0" applyNumberFormat="0" applyBorder="0" applyAlignment="0" applyProtection="0"/>
    <xf numFmtId="0" fontId="9" fillId="0" borderId="0"/>
    <xf numFmtId="0" fontId="8" fillId="25" borderId="0" applyNumberFormat="0" applyBorder="0" applyAlignment="0" applyProtection="0"/>
    <xf numFmtId="0" fontId="6"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5" fillId="26" borderId="0" applyNumberFormat="0" applyBorder="0" applyAlignment="0" applyProtection="0"/>
    <xf numFmtId="0" fontId="4" fillId="0" borderId="0"/>
    <xf numFmtId="0" fontId="101" fillId="0" borderId="0" applyNumberForma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06" fillId="31" borderId="0" applyNumberFormat="0" applyBorder="0" applyAlignment="0" applyProtection="0"/>
    <xf numFmtId="0" fontId="107" fillId="33" borderId="0" applyNumberFormat="0" applyBorder="0" applyAlignment="0" applyProtection="0"/>
    <xf numFmtId="0" fontId="1" fillId="34" borderId="0" applyNumberFormat="0" applyBorder="0" applyAlignment="0" applyProtection="0"/>
    <xf numFmtId="0" fontId="2" fillId="0" borderId="0"/>
    <xf numFmtId="0" fontId="108" fillId="35" borderId="0" applyNumberFormat="0" applyBorder="0" applyAlignment="0" applyProtection="0"/>
    <xf numFmtId="0" fontId="108" fillId="36" borderId="0" applyNumberFormat="0" applyBorder="0" applyAlignment="0" applyProtection="0"/>
    <xf numFmtId="0" fontId="109" fillId="37" borderId="0" applyNumberFormat="0" applyBorder="0" applyAlignment="0" applyProtection="0"/>
    <xf numFmtId="43" fontId="2" fillId="0" borderId="0" applyFont="0" applyFill="0" applyBorder="0" applyAlignment="0" applyProtection="0"/>
    <xf numFmtId="0" fontId="110" fillId="38" borderId="0" applyNumberFormat="0" applyBorder="0" applyAlignment="0" applyProtection="0"/>
    <xf numFmtId="0" fontId="108" fillId="39" borderId="0" applyNumberFormat="0" applyBorder="0" applyAlignment="0" applyProtection="0"/>
    <xf numFmtId="0" fontId="111" fillId="40" borderId="0" applyNumberFormat="0" applyBorder="0" applyAlignment="0" applyProtection="0"/>
    <xf numFmtId="0" fontId="112" fillId="0" borderId="0"/>
  </cellStyleXfs>
  <cellXfs count="896">
    <xf numFmtId="0" fontId="0" fillId="0" borderId="0" xfId="0"/>
    <xf numFmtId="0" fontId="17" fillId="0" borderId="0" xfId="5" applyFont="1" applyAlignment="1">
      <alignment horizontal="left" indent="1"/>
    </xf>
    <xf numFmtId="6" fontId="18" fillId="0" borderId="6" xfId="0" applyNumberFormat="1" applyFont="1" applyBorder="1" applyAlignment="1">
      <alignment horizontal="center" vertical="center" wrapText="1"/>
    </xf>
    <xf numFmtId="10" fontId="18" fillId="0" borderId="4" xfId="0" applyNumberFormat="1"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left" vertical="center" indent="2"/>
    </xf>
    <xf numFmtId="0" fontId="20" fillId="5" borderId="0" xfId="5" applyFont="1" applyFill="1" applyAlignment="1">
      <alignment horizontal="left"/>
    </xf>
    <xf numFmtId="0" fontId="12" fillId="0" borderId="0" xfId="5" applyFont="1"/>
    <xf numFmtId="0" fontId="22" fillId="0" borderId="0" xfId="5" applyFont="1"/>
    <xf numFmtId="0" fontId="17" fillId="0" borderId="0" xfId="0" applyFont="1"/>
    <xf numFmtId="0" fontId="12" fillId="0" borderId="0" xfId="0" applyFont="1"/>
    <xf numFmtId="0" fontId="14" fillId="0" borderId="0" xfId="0" applyFont="1"/>
    <xf numFmtId="165" fontId="12" fillId="0" borderId="0" xfId="1" applyNumberFormat="1"/>
    <xf numFmtId="166" fontId="12" fillId="0" borderId="0" xfId="2" applyNumberFormat="1"/>
    <xf numFmtId="0" fontId="23" fillId="0" borderId="0" xfId="0" applyFont="1" applyAlignment="1">
      <alignment horizontal="right"/>
    </xf>
    <xf numFmtId="44" fontId="12" fillId="0" borderId="0" xfId="2"/>
    <xf numFmtId="9" fontId="12" fillId="0" borderId="0" xfId="4"/>
    <xf numFmtId="0" fontId="17" fillId="0" borderId="0" xfId="0" applyFont="1" applyAlignment="1">
      <alignment horizontal="center"/>
    </xf>
    <xf numFmtId="165" fontId="12" fillId="0" borderId="0" xfId="1" applyNumberFormat="1" applyAlignment="1">
      <alignment horizontal="center"/>
    </xf>
    <xf numFmtId="166" fontId="14" fillId="0" borderId="0" xfId="5" applyNumberFormat="1" applyFont="1"/>
    <xf numFmtId="0" fontId="20" fillId="6" borderId="0" xfId="5" applyFont="1" applyFill="1" applyAlignment="1">
      <alignment horizontal="left"/>
    </xf>
    <xf numFmtId="0" fontId="20" fillId="6" borderId="0" xfId="5" applyFont="1" applyFill="1" applyAlignment="1">
      <alignment horizontal="center"/>
    </xf>
    <xf numFmtId="0" fontId="14" fillId="0" borderId="0" xfId="5" applyFont="1"/>
    <xf numFmtId="0" fontId="0" fillId="0" borderId="0" xfId="0" applyAlignment="1">
      <alignment horizontal="left" indent="2"/>
    </xf>
    <xf numFmtId="172" fontId="20" fillId="6" borderId="1" xfId="0" applyNumberFormat="1" applyFont="1" applyFill="1" applyBorder="1" applyAlignment="1">
      <alignment horizontal="center"/>
    </xf>
    <xf numFmtId="166" fontId="17" fillId="7" borderId="0" xfId="2" applyNumberFormat="1" applyFont="1" applyFill="1"/>
    <xf numFmtId="166" fontId="25" fillId="7" borderId="0" xfId="2" applyNumberFormat="1" applyFont="1" applyFill="1" applyAlignment="1">
      <alignment horizontal="center"/>
    </xf>
    <xf numFmtId="10" fontId="12" fillId="0" borderId="0" xfId="4" applyNumberFormat="1" applyAlignment="1">
      <alignment horizontal="center"/>
    </xf>
    <xf numFmtId="166" fontId="23" fillId="0" borderId="0" xfId="0" applyNumberFormat="1" applyFont="1"/>
    <xf numFmtId="0" fontId="12" fillId="0" borderId="0" xfId="10" applyAlignment="1">
      <alignment horizontal="left" indent="1"/>
    </xf>
    <xf numFmtId="0" fontId="20" fillId="5" borderId="0" xfId="5" applyFont="1" applyFill="1" applyAlignment="1">
      <alignment horizontal="center"/>
    </xf>
    <xf numFmtId="9" fontId="0" fillId="0" borderId="0" xfId="15" applyFont="1"/>
    <xf numFmtId="0" fontId="0" fillId="0" borderId="0" xfId="0" applyAlignment="1">
      <alignment horizontal="left" indent="1"/>
    </xf>
    <xf numFmtId="165" fontId="0" fillId="0" borderId="0" xfId="13" applyNumberFormat="1" applyFont="1"/>
    <xf numFmtId="173" fontId="23" fillId="0" borderId="0" xfId="0" applyNumberFormat="1" applyFont="1" applyAlignment="1">
      <alignment horizontal="right"/>
    </xf>
    <xf numFmtId="0" fontId="23" fillId="0" borderId="0" xfId="0" applyFont="1"/>
    <xf numFmtId="165" fontId="0" fillId="10" borderId="1" xfId="13" applyNumberFormat="1" applyFont="1" applyFill="1" applyBorder="1"/>
    <xf numFmtId="164" fontId="14" fillId="0" borderId="0" xfId="0" applyNumberFormat="1" applyFont="1"/>
    <xf numFmtId="164" fontId="17" fillId="0" borderId="0" xfId="7" applyNumberFormat="1" applyFont="1" applyAlignment="1">
      <alignment horizontal="right"/>
    </xf>
    <xf numFmtId="165" fontId="0" fillId="0" borderId="0" xfId="0" applyNumberFormat="1"/>
    <xf numFmtId="0" fontId="20" fillId="5" borderId="0" xfId="10" applyFont="1" applyFill="1" applyAlignment="1">
      <alignment horizontal="centerContinuous"/>
    </xf>
    <xf numFmtId="0" fontId="14" fillId="0" borderId="0" xfId="0" applyFont="1" applyAlignment="1">
      <alignment horizontal="left" indent="1"/>
    </xf>
    <xf numFmtId="0" fontId="20" fillId="5" borderId="0" xfId="10" applyFont="1" applyFill="1" applyAlignment="1">
      <alignment horizontal="left"/>
    </xf>
    <xf numFmtId="0" fontId="20" fillId="5" borderId="0" xfId="10" applyFont="1" applyFill="1" applyAlignment="1">
      <alignment horizontal="center"/>
    </xf>
    <xf numFmtId="0" fontId="12" fillId="0" borderId="0" xfId="10"/>
    <xf numFmtId="0" fontId="14" fillId="0" borderId="0" xfId="10" applyFont="1" applyAlignment="1">
      <alignment horizontal="left"/>
    </xf>
    <xf numFmtId="0" fontId="14" fillId="0" borderId="1" xfId="10" applyFont="1" applyBorder="1" applyAlignment="1">
      <alignment horizontal="center"/>
    </xf>
    <xf numFmtId="170" fontId="12" fillId="0" borderId="0" xfId="10" applyNumberFormat="1"/>
    <xf numFmtId="166" fontId="14" fillId="0" borderId="0" xfId="3" applyNumberFormat="1" applyFont="1" applyAlignment="1">
      <alignment horizontal="right"/>
    </xf>
    <xf numFmtId="0" fontId="14" fillId="0" borderId="0" xfId="10" applyFont="1" applyAlignment="1">
      <alignment horizontal="left" indent="1"/>
    </xf>
    <xf numFmtId="164" fontId="12" fillId="0" borderId="0" xfId="10" applyNumberFormat="1"/>
    <xf numFmtId="171" fontId="12" fillId="0" borderId="0" xfId="10" applyNumberFormat="1"/>
    <xf numFmtId="0" fontId="17" fillId="0" borderId="0" xfId="10" applyFont="1" applyAlignment="1">
      <alignment horizontal="left" indent="2"/>
    </xf>
    <xf numFmtId="10" fontId="17" fillId="0" borderId="0" xfId="10" applyNumberFormat="1" applyFont="1"/>
    <xf numFmtId="0" fontId="14" fillId="0" borderId="0" xfId="5" applyFont="1" applyAlignment="1">
      <alignment horizontal="left" indent="1"/>
    </xf>
    <xf numFmtId="169" fontId="15" fillId="0" borderId="0" xfId="7" applyNumberFormat="1" applyFont="1" applyAlignment="1">
      <alignment horizontal="left"/>
    </xf>
    <xf numFmtId="9" fontId="17" fillId="0" borderId="0" xfId="7" applyFont="1"/>
    <xf numFmtId="164" fontId="17" fillId="0" borderId="0" xfId="7" applyNumberFormat="1" applyFont="1"/>
    <xf numFmtId="170" fontId="14" fillId="0" borderId="0" xfId="5" applyNumberFormat="1" applyFont="1"/>
    <xf numFmtId="166" fontId="15" fillId="0" borderId="0" xfId="0" applyNumberFormat="1" applyFont="1"/>
    <xf numFmtId="0" fontId="15" fillId="0" borderId="0" xfId="0" applyFont="1"/>
    <xf numFmtId="0" fontId="14" fillId="0" borderId="1" xfId="5" applyFont="1" applyBorder="1"/>
    <xf numFmtId="0" fontId="14" fillId="0" borderId="1" xfId="5" applyFont="1" applyBorder="1" applyAlignment="1">
      <alignment horizontal="center"/>
    </xf>
    <xf numFmtId="0" fontId="23" fillId="0" borderId="0" xfId="0" applyFont="1" applyAlignment="1">
      <alignment horizontal="center"/>
    </xf>
    <xf numFmtId="0" fontId="14" fillId="0" borderId="1" xfId="0" applyFont="1" applyBorder="1" applyAlignment="1">
      <alignment horizontal="center"/>
    </xf>
    <xf numFmtId="6" fontId="18" fillId="0" borderId="4" xfId="0" applyNumberFormat="1" applyFont="1" applyBorder="1" applyAlignment="1">
      <alignment horizontal="center" vertical="center" wrapText="1"/>
    </xf>
    <xf numFmtId="0" fontId="33" fillId="0" borderId="0" xfId="0" applyFont="1"/>
    <xf numFmtId="0" fontId="18" fillId="0" borderId="0" xfId="0" applyFont="1" applyAlignment="1">
      <alignment vertical="center"/>
    </xf>
    <xf numFmtId="164" fontId="12" fillId="0" borderId="1" xfId="4" applyNumberFormat="1" applyBorder="1" applyAlignment="1">
      <alignment horizontal="center"/>
    </xf>
    <xf numFmtId="0" fontId="0" fillId="0" borderId="1" xfId="0" applyBorder="1"/>
    <xf numFmtId="0" fontId="0" fillId="0" borderId="0" xfId="0" applyAlignment="1">
      <alignment horizontal="right"/>
    </xf>
    <xf numFmtId="9" fontId="16" fillId="0" borderId="0" xfId="12" applyFont="1"/>
    <xf numFmtId="9" fontId="17" fillId="0" borderId="0" xfId="0" applyNumberFormat="1" applyFont="1" applyAlignment="1">
      <alignment wrapText="1"/>
    </xf>
    <xf numFmtId="9" fontId="14" fillId="0" borderId="0" xfId="0" applyNumberFormat="1" applyFont="1"/>
    <xf numFmtId="164" fontId="12" fillId="0" borderId="0" xfId="4" applyNumberFormat="1" applyAlignment="1">
      <alignment vertical="center"/>
    </xf>
    <xf numFmtId="0" fontId="0" fillId="12" borderId="0" xfId="0" applyFill="1"/>
    <xf numFmtId="0" fontId="35" fillId="12" borderId="0" xfId="0" applyFont="1" applyFill="1" applyAlignment="1">
      <alignment vertical="center"/>
    </xf>
    <xf numFmtId="0" fontId="20" fillId="12" borderId="0" xfId="0" applyFont="1" applyFill="1" applyAlignment="1">
      <alignment vertical="center"/>
    </xf>
    <xf numFmtId="0" fontId="35" fillId="5" borderId="14" xfId="10" applyFont="1" applyFill="1" applyBorder="1" applyAlignment="1">
      <alignment horizontal="left" indent="1"/>
    </xf>
    <xf numFmtId="0" fontId="20" fillId="5" borderId="15" xfId="10" applyFont="1" applyFill="1" applyBorder="1" applyAlignment="1">
      <alignment horizontal="left"/>
    </xf>
    <xf numFmtId="0" fontId="20" fillId="5" borderId="16" xfId="10" applyFont="1" applyFill="1" applyBorder="1" applyAlignment="1">
      <alignment horizontal="left"/>
    </xf>
    <xf numFmtId="0" fontId="12" fillId="0" borderId="3" xfId="10" applyBorder="1"/>
    <xf numFmtId="170" fontId="33" fillId="0" borderId="0" xfId="10" applyNumberFormat="1" applyFont="1"/>
    <xf numFmtId="165" fontId="33" fillId="0" borderId="0" xfId="1" applyNumberFormat="1" applyFont="1"/>
    <xf numFmtId="43" fontId="33" fillId="0" borderId="0" xfId="10" applyNumberFormat="1" applyFont="1"/>
    <xf numFmtId="0" fontId="33" fillId="0" borderId="0" xfId="10" applyFont="1" applyAlignment="1">
      <alignment horizontal="left" vertical="top" wrapText="1"/>
    </xf>
    <xf numFmtId="0" fontId="33" fillId="0" borderId="17" xfId="10" applyFont="1" applyBorder="1" applyAlignment="1">
      <alignment horizontal="left" vertical="top" wrapText="1"/>
    </xf>
    <xf numFmtId="166" fontId="33" fillId="0" borderId="0" xfId="0" applyNumberFormat="1" applyFont="1"/>
    <xf numFmtId="166" fontId="33" fillId="0" borderId="17" xfId="0" applyNumberFormat="1" applyFont="1" applyBorder="1"/>
    <xf numFmtId="164" fontId="39" fillId="0" borderId="0" xfId="4" applyNumberFormat="1" applyFont="1"/>
    <xf numFmtId="164" fontId="39" fillId="0" borderId="17" xfId="4" applyNumberFormat="1" applyFont="1" applyBorder="1"/>
    <xf numFmtId="0" fontId="33" fillId="0" borderId="17" xfId="0" applyFont="1" applyBorder="1"/>
    <xf numFmtId="166" fontId="33" fillId="0" borderId="0" xfId="2" applyNumberFormat="1" applyFont="1"/>
    <xf numFmtId="166" fontId="33" fillId="0" borderId="17" xfId="2" applyNumberFormat="1" applyFont="1" applyBorder="1"/>
    <xf numFmtId="0" fontId="0" fillId="0" borderId="19" xfId="0" applyBorder="1"/>
    <xf numFmtId="166" fontId="32" fillId="0" borderId="0" xfId="2" applyNumberFormat="1" applyFont="1"/>
    <xf numFmtId="10" fontId="33" fillId="0" borderId="0" xfId="4" applyNumberFormat="1" applyFont="1"/>
    <xf numFmtId="0" fontId="40" fillId="0" borderId="3" xfId="0" applyFont="1" applyBorder="1" applyAlignment="1">
      <alignment horizontal="left" indent="1"/>
    </xf>
    <xf numFmtId="0" fontId="40" fillId="0" borderId="0" xfId="0" applyFont="1" applyAlignment="1">
      <alignment horizontal="right"/>
    </xf>
    <xf numFmtId="0" fontId="40" fillId="0" borderId="17" xfId="0" applyFont="1" applyBorder="1" applyAlignment="1">
      <alignment horizontal="left"/>
    </xf>
    <xf numFmtId="0" fontId="40" fillId="0" borderId="3" xfId="10" applyFont="1" applyBorder="1" applyAlignment="1">
      <alignment horizontal="left" indent="1"/>
    </xf>
    <xf numFmtId="0" fontId="40" fillId="0" borderId="3" xfId="10" applyFont="1" applyBorder="1" applyAlignment="1">
      <alignment horizontal="left" vertical="top" indent="1"/>
    </xf>
    <xf numFmtId="0" fontId="40" fillId="3" borderId="3" xfId="10" applyFont="1" applyFill="1" applyBorder="1" applyAlignment="1">
      <alignment horizontal="left" indent="1"/>
    </xf>
    <xf numFmtId="0" fontId="33" fillId="3" borderId="0" xfId="0" applyFont="1" applyFill="1"/>
    <xf numFmtId="166" fontId="33" fillId="3" borderId="18" xfId="10" applyNumberFormat="1" applyFont="1" applyFill="1" applyBorder="1"/>
    <xf numFmtId="0" fontId="41" fillId="0" borderId="0" xfId="0" applyFont="1" applyAlignment="1">
      <alignment vertical="center"/>
    </xf>
    <xf numFmtId="0" fontId="42" fillId="0" borderId="5" xfId="0" applyFont="1" applyBorder="1" applyAlignment="1">
      <alignment horizontal="center" vertical="center" wrapText="1"/>
    </xf>
    <xf numFmtId="0" fontId="42" fillId="0" borderId="5" xfId="0" applyFont="1" applyBorder="1" applyAlignment="1">
      <alignment horizontal="centerContinuous" vertical="center" wrapText="1"/>
    </xf>
    <xf numFmtId="0" fontId="14" fillId="0" borderId="5" xfId="0" applyFont="1" applyBorder="1" applyAlignment="1">
      <alignment horizontal="centerContinuous"/>
    </xf>
    <xf numFmtId="166" fontId="33" fillId="0" borderId="0" xfId="0" applyNumberFormat="1" applyFont="1" applyAlignment="1">
      <alignment horizontal="left"/>
    </xf>
    <xf numFmtId="0" fontId="40" fillId="0" borderId="0" xfId="0" applyFont="1" applyAlignment="1">
      <alignment horizontal="right" indent="1"/>
    </xf>
    <xf numFmtId="164" fontId="33" fillId="0" borderId="17" xfId="4" applyNumberFormat="1" applyFont="1" applyBorder="1" applyAlignment="1">
      <alignment horizontal="left"/>
    </xf>
    <xf numFmtId="166" fontId="43" fillId="0" borderId="0" xfId="2" applyNumberFormat="1" applyFont="1"/>
    <xf numFmtId="0" fontId="0" fillId="0" borderId="4" xfId="0" applyBorder="1"/>
    <xf numFmtId="0" fontId="44" fillId="6" borderId="0" xfId="0" applyFont="1" applyFill="1" applyAlignment="1">
      <alignment horizontal="left" indent="1"/>
    </xf>
    <xf numFmtId="9" fontId="45" fillId="6" borderId="0" xfId="0" applyNumberFormat="1" applyFont="1" applyFill="1"/>
    <xf numFmtId="164" fontId="20" fillId="6" borderId="0" xfId="4" applyNumberFormat="1" applyFont="1" applyFill="1"/>
    <xf numFmtId="165" fontId="20" fillId="6" borderId="0" xfId="1" applyNumberFormat="1" applyFont="1" applyFill="1"/>
    <xf numFmtId="0" fontId="46" fillId="6" borderId="0" xfId="0" applyFont="1" applyFill="1" applyAlignment="1">
      <alignment horizontal="left" indent="1"/>
    </xf>
    <xf numFmtId="165" fontId="19" fillId="6" borderId="0" xfId="1" applyNumberFormat="1" applyFont="1" applyFill="1"/>
    <xf numFmtId="0" fontId="14" fillId="0" borderId="12" xfId="0" applyFont="1" applyBorder="1"/>
    <xf numFmtId="0" fontId="0" fillId="0" borderId="12" xfId="0" applyBorder="1" applyAlignment="1">
      <alignment horizontal="left" indent="1"/>
    </xf>
    <xf numFmtId="0" fontId="14" fillId="0" borderId="13" xfId="0" applyFont="1" applyBorder="1"/>
    <xf numFmtId="0" fontId="14" fillId="0" borderId="1" xfId="0" applyFont="1" applyBorder="1"/>
    <xf numFmtId="0" fontId="0" fillId="0" borderId="12" xfId="0" applyBorder="1"/>
    <xf numFmtId="167" fontId="12" fillId="0" borderId="12" xfId="4" applyNumberFormat="1" applyBorder="1" applyAlignment="1">
      <alignment horizontal="right"/>
    </xf>
    <xf numFmtId="0" fontId="0" fillId="0" borderId="2" xfId="0" applyBorder="1"/>
    <xf numFmtId="0" fontId="0" fillId="0" borderId="13" xfId="0" applyBorder="1"/>
    <xf numFmtId="167" fontId="0" fillId="0" borderId="0" xfId="4" applyNumberFormat="1" applyFont="1"/>
    <xf numFmtId="166" fontId="0" fillId="0" borderId="2" xfId="2" applyNumberFormat="1" applyFont="1" applyBorder="1"/>
    <xf numFmtId="166" fontId="0" fillId="0" borderId="20" xfId="2" applyNumberFormat="1" applyFont="1" applyBorder="1"/>
    <xf numFmtId="166" fontId="0" fillId="0" borderId="11" xfId="0" applyNumberFormat="1" applyBorder="1"/>
    <xf numFmtId="166" fontId="0" fillId="0" borderId="20" xfId="0" applyNumberFormat="1" applyBorder="1"/>
    <xf numFmtId="165" fontId="17" fillId="7" borderId="0" xfId="1" applyNumberFormat="1" applyFont="1" applyFill="1"/>
    <xf numFmtId="165" fontId="12" fillId="7" borderId="0" xfId="1" applyNumberFormat="1" applyFill="1"/>
    <xf numFmtId="165" fontId="25" fillId="7" borderId="0" xfId="1" applyNumberFormat="1" applyFont="1" applyFill="1" applyAlignment="1">
      <alignment horizontal="center"/>
    </xf>
    <xf numFmtId="165" fontId="12" fillId="7" borderId="0" xfId="1" applyNumberFormat="1" applyFill="1" applyAlignment="1">
      <alignment horizontal="center"/>
    </xf>
    <xf numFmtId="165" fontId="17" fillId="7" borderId="1" xfId="1" applyNumberFormat="1" applyFont="1" applyFill="1" applyBorder="1"/>
    <xf numFmtId="165" fontId="24" fillId="7" borderId="0" xfId="1" applyNumberFormat="1" applyFont="1" applyFill="1"/>
    <xf numFmtId="165" fontId="23" fillId="7" borderId="0" xfId="1" applyNumberFormat="1" applyFont="1" applyFill="1"/>
    <xf numFmtId="165" fontId="0" fillId="10" borderId="1" xfId="1" applyNumberFormat="1" applyFont="1" applyFill="1" applyBorder="1"/>
    <xf numFmtId="165" fontId="0" fillId="0" borderId="0" xfId="1" applyNumberFormat="1" applyFont="1"/>
    <xf numFmtId="165" fontId="12" fillId="0" borderId="0" xfId="1" applyNumberFormat="1" applyAlignment="1">
      <alignment horizontal="right" vertical="center"/>
    </xf>
    <xf numFmtId="164" fontId="16" fillId="0" borderId="0" xfId="15" applyNumberFormat="1" applyFont="1"/>
    <xf numFmtId="6" fontId="16" fillId="0" borderId="2" xfId="12" applyNumberFormat="1" applyFont="1" applyBorder="1" applyAlignment="1">
      <alignment horizontal="right"/>
    </xf>
    <xf numFmtId="6" fontId="16" fillId="0" borderId="0" xfId="15" applyNumberFormat="1" applyFont="1"/>
    <xf numFmtId="6" fontId="16" fillId="0" borderId="0" xfId="12" applyNumberFormat="1" applyFont="1"/>
    <xf numFmtId="6" fontId="12" fillId="0" borderId="0" xfId="12" applyNumberFormat="1"/>
    <xf numFmtId="0" fontId="53" fillId="0" borderId="19" xfId="0" applyFont="1" applyBorder="1" applyAlignment="1">
      <alignment horizontal="center"/>
    </xf>
    <xf numFmtId="0" fontId="14" fillId="0" borderId="19" xfId="0" applyFont="1" applyBorder="1" applyAlignment="1">
      <alignment horizontal="center"/>
    </xf>
    <xf numFmtId="0" fontId="11" fillId="0" borderId="0" xfId="28"/>
    <xf numFmtId="0" fontId="56" fillId="0" borderId="0" xfId="28" applyFont="1"/>
    <xf numFmtId="0" fontId="51" fillId="0" borderId="0" xfId="26" applyFont="1" applyFill="1" applyAlignment="1">
      <alignment horizontal="center"/>
    </xf>
    <xf numFmtId="0" fontId="56" fillId="0" borderId="0" xfId="28" applyFont="1" applyAlignment="1">
      <alignment horizontal="center"/>
    </xf>
    <xf numFmtId="0" fontId="11" fillId="0" borderId="0" xfId="28" applyAlignment="1">
      <alignment horizontal="center"/>
    </xf>
    <xf numFmtId="0" fontId="57" fillId="0" borderId="0" xfId="28" applyFont="1" applyAlignment="1">
      <alignment horizontal="right"/>
    </xf>
    <xf numFmtId="14" fontId="56" fillId="0" borderId="0" xfId="28" applyNumberFormat="1" applyFont="1"/>
    <xf numFmtId="0" fontId="57" fillId="0" borderId="0" xfId="28" applyFont="1"/>
    <xf numFmtId="0" fontId="58" fillId="0" borderId="0" xfId="28" applyFont="1" applyAlignment="1">
      <alignment horizontal="right"/>
    </xf>
    <xf numFmtId="0" fontId="58" fillId="0" borderId="0" xfId="28" applyFont="1" applyAlignment="1">
      <alignment horizontal="left"/>
    </xf>
    <xf numFmtId="0" fontId="55" fillId="0" borderId="0" xfId="28" applyFont="1"/>
    <xf numFmtId="0" fontId="55" fillId="0" borderId="0" xfId="28" applyFont="1" applyAlignment="1">
      <alignment horizontal="center"/>
    </xf>
    <xf numFmtId="0" fontId="55" fillId="0" borderId="19" xfId="28" applyFont="1" applyBorder="1" applyAlignment="1">
      <alignment horizontal="center"/>
    </xf>
    <xf numFmtId="0" fontId="55" fillId="0" borderId="19" xfId="28" applyFont="1" applyBorder="1"/>
    <xf numFmtId="6" fontId="11" fillId="0" borderId="11" xfId="28" applyNumberFormat="1" applyBorder="1"/>
    <xf numFmtId="0" fontId="11" fillId="4" borderId="11" xfId="28" applyFill="1" applyBorder="1"/>
    <xf numFmtId="0" fontId="11" fillId="10" borderId="11" xfId="28" applyFill="1" applyBorder="1" applyAlignment="1">
      <alignment horizontal="center"/>
    </xf>
    <xf numFmtId="6" fontId="11" fillId="4" borderId="11" xfId="28" applyNumberFormat="1" applyFill="1" applyBorder="1"/>
    <xf numFmtId="0" fontId="11" fillId="0" borderId="11" xfId="28" applyBorder="1"/>
    <xf numFmtId="0" fontId="59" fillId="0" borderId="0" xfId="28" applyFont="1"/>
    <xf numFmtId="0" fontId="59" fillId="0" borderId="0" xfId="28" applyFont="1" applyAlignment="1">
      <alignment horizontal="center"/>
    </xf>
    <xf numFmtId="6" fontId="59" fillId="0" borderId="0" xfId="28" applyNumberFormat="1" applyFont="1"/>
    <xf numFmtId="0" fontId="51" fillId="0" borderId="0" xfId="26" applyFont="1" applyFill="1"/>
    <xf numFmtId="0" fontId="36" fillId="0" borderId="0" xfId="26" applyFont="1" applyFill="1"/>
    <xf numFmtId="0" fontId="60" fillId="0" borderId="0" xfId="28" applyFont="1"/>
    <xf numFmtId="0" fontId="28" fillId="0" borderId="0" xfId="28" applyFont="1"/>
    <xf numFmtId="0" fontId="50" fillId="0" borderId="0" xfId="28" applyFont="1" applyAlignment="1">
      <alignment horizontal="center"/>
    </xf>
    <xf numFmtId="6" fontId="28" fillId="0" borderId="0" xfId="28" applyNumberFormat="1" applyFont="1" applyAlignment="1">
      <alignment horizontal="right"/>
    </xf>
    <xf numFmtId="6" fontId="28" fillId="0" borderId="0" xfId="26" applyNumberFormat="1" applyFont="1" applyFill="1" applyAlignment="1">
      <alignment horizontal="right"/>
    </xf>
    <xf numFmtId="6" fontId="28" fillId="4" borderId="21" xfId="26" applyNumberFormat="1" applyFont="1" applyFill="1" applyBorder="1" applyAlignment="1">
      <alignment horizontal="right"/>
    </xf>
    <xf numFmtId="0" fontId="61" fillId="0" borderId="0" xfId="28" applyFont="1"/>
    <xf numFmtId="6" fontId="28" fillId="4" borderId="22" xfId="26" applyNumberFormat="1" applyFont="1" applyFill="1" applyBorder="1" applyAlignment="1">
      <alignment horizontal="right"/>
    </xf>
    <xf numFmtId="164" fontId="61" fillId="0" borderId="0" xfId="28" applyNumberFormat="1" applyFont="1"/>
    <xf numFmtId="0" fontId="14" fillId="0" borderId="0" xfId="28" applyFont="1" applyAlignment="1">
      <alignment horizontal="left" indent="1"/>
    </xf>
    <xf numFmtId="6" fontId="61" fillId="0" borderId="0" xfId="28" applyNumberFormat="1" applyFont="1"/>
    <xf numFmtId="0" fontId="62" fillId="0" borderId="0" xfId="28" applyFont="1" applyAlignment="1">
      <alignment horizontal="right" indent="1"/>
    </xf>
    <xf numFmtId="0" fontId="36" fillId="0" borderId="0" xfId="26" applyFont="1" applyFill="1" applyAlignment="1">
      <alignment horizontal="right"/>
    </xf>
    <xf numFmtId="0" fontId="14" fillId="0" borderId="0" xfId="28" applyFont="1" applyAlignment="1">
      <alignment horizontal="left"/>
    </xf>
    <xf numFmtId="0" fontId="28" fillId="0" borderId="0" xfId="26" applyFont="1" applyFill="1"/>
    <xf numFmtId="6" fontId="28" fillId="4" borderId="0" xfId="26" applyNumberFormat="1" applyFont="1" applyFill="1" applyAlignment="1">
      <alignment horizontal="right"/>
    </xf>
    <xf numFmtId="0" fontId="63" fillId="0" borderId="0" xfId="28" applyFont="1"/>
    <xf numFmtId="0" fontId="28" fillId="0" borderId="0" xfId="28" applyFont="1" applyAlignment="1">
      <alignment horizontal="center"/>
    </xf>
    <xf numFmtId="0" fontId="55" fillId="0" borderId="19" xfId="28" applyFont="1" applyBorder="1" applyAlignment="1">
      <alignment wrapText="1"/>
    </xf>
    <xf numFmtId="6" fontId="11" fillId="0" borderId="23" xfId="28" applyNumberFormat="1" applyBorder="1"/>
    <xf numFmtId="6" fontId="11" fillId="4" borderId="23" xfId="28" applyNumberFormat="1" applyFill="1" applyBorder="1"/>
    <xf numFmtId="6" fontId="28" fillId="0" borderId="0" xfId="28" applyNumberFormat="1" applyFont="1"/>
    <xf numFmtId="6" fontId="11" fillId="0" borderId="21" xfId="28" applyNumberFormat="1" applyBorder="1"/>
    <xf numFmtId="6" fontId="11" fillId="4" borderId="21" xfId="28" applyNumberFormat="1" applyFill="1" applyBorder="1"/>
    <xf numFmtId="0" fontId="11" fillId="0" borderId="21" xfId="28" applyBorder="1" applyAlignment="1">
      <alignment horizontal="left" indent="1"/>
    </xf>
    <xf numFmtId="6" fontId="11" fillId="0" borderId="0" xfId="28" applyNumberFormat="1"/>
    <xf numFmtId="0" fontId="14" fillId="0" borderId="21" xfId="28" applyFont="1" applyBorder="1" applyAlignment="1">
      <alignment horizontal="left"/>
    </xf>
    <xf numFmtId="6" fontId="64" fillId="0" borderId="0" xfId="28" applyNumberFormat="1" applyFont="1"/>
    <xf numFmtId="0" fontId="61" fillId="0" borderId="0" xfId="28" applyFont="1" applyAlignment="1">
      <alignment horizontal="right" indent="1"/>
    </xf>
    <xf numFmtId="164" fontId="64" fillId="0" borderId="0" xfId="28" applyNumberFormat="1" applyFont="1"/>
    <xf numFmtId="164" fontId="11" fillId="0" borderId="0" xfId="28" applyNumberFormat="1"/>
    <xf numFmtId="0" fontId="65" fillId="0" borderId="0" xfId="28" applyFont="1" applyAlignment="1">
      <alignment horizontal="right" indent="1"/>
    </xf>
    <xf numFmtId="9" fontId="65" fillId="0" borderId="0" xfId="28" applyNumberFormat="1" applyFont="1"/>
    <xf numFmtId="164" fontId="60" fillId="0" borderId="0" xfId="28" applyNumberFormat="1" applyFont="1"/>
    <xf numFmtId="0" fontId="11" fillId="16" borderId="0" xfId="28" applyFill="1"/>
    <xf numFmtId="0" fontId="54" fillId="0" borderId="0" xfId="28" applyFont="1"/>
    <xf numFmtId="0" fontId="11" fillId="0" borderId="19" xfId="28" applyBorder="1"/>
    <xf numFmtId="0" fontId="11" fillId="16" borderId="0" xfId="28" applyFill="1" applyAlignment="1">
      <alignment horizontal="left" indent="1"/>
    </xf>
    <xf numFmtId="0" fontId="29" fillId="0" borderId="0" xfId="0" applyFont="1" applyAlignment="1">
      <alignment horizontal="center"/>
    </xf>
    <xf numFmtId="165" fontId="23" fillId="0" borderId="0" xfId="1" applyNumberFormat="1" applyFont="1" applyAlignment="1">
      <alignment horizontal="right"/>
    </xf>
    <xf numFmtId="0" fontId="12" fillId="5" borderId="0" xfId="0" applyFont="1" applyFill="1"/>
    <xf numFmtId="44" fontId="12" fillId="5" borderId="0" xfId="2" applyFill="1"/>
    <xf numFmtId="8" fontId="11" fillId="0" borderId="0" xfId="28" applyNumberFormat="1"/>
    <xf numFmtId="9" fontId="11" fillId="0" borderId="0" xfId="28" applyNumberFormat="1"/>
    <xf numFmtId="0" fontId="55" fillId="0" borderId="1" xfId="28" applyFont="1" applyBorder="1"/>
    <xf numFmtId="0" fontId="68" fillId="0" borderId="0" xfId="10" applyFont="1" applyAlignment="1">
      <alignment horizontal="center"/>
    </xf>
    <xf numFmtId="165" fontId="12" fillId="0" borderId="0" xfId="10" applyNumberFormat="1"/>
    <xf numFmtId="166" fontId="24" fillId="0" borderId="0" xfId="10" applyNumberFormat="1" applyFont="1" applyAlignment="1">
      <alignment horizontal="center"/>
    </xf>
    <xf numFmtId="0" fontId="23" fillId="0" borderId="0" xfId="10" applyFont="1" applyAlignment="1">
      <alignment horizontal="right"/>
    </xf>
    <xf numFmtId="2" fontId="23" fillId="0" borderId="0" xfId="10" applyNumberFormat="1" applyFont="1" applyAlignment="1">
      <alignment horizontal="right"/>
    </xf>
    <xf numFmtId="165" fontId="16" fillId="0" borderId="0" xfId="1" applyNumberFormat="1" applyFont="1"/>
    <xf numFmtId="166" fontId="0" fillId="0" borderId="0" xfId="2" applyNumberFormat="1" applyFont="1"/>
    <xf numFmtId="0" fontId="14" fillId="0" borderId="7" xfId="0" applyFont="1" applyBorder="1" applyAlignment="1">
      <alignment horizontal="center"/>
    </xf>
    <xf numFmtId="167" fontId="0" fillId="0" borderId="20" xfId="4" applyNumberFormat="1" applyFont="1" applyBorder="1"/>
    <xf numFmtId="44" fontId="0" fillId="0" borderId="20" xfId="2" applyFont="1" applyBorder="1"/>
    <xf numFmtId="167" fontId="0" fillId="0" borderId="11" xfId="4" applyNumberFormat="1" applyFont="1" applyBorder="1"/>
    <xf numFmtId="44" fontId="0" fillId="0" borderId="11" xfId="2" applyFont="1" applyBorder="1"/>
    <xf numFmtId="9" fontId="0" fillId="0" borderId="2" xfId="0" applyNumberFormat="1" applyBorder="1"/>
    <xf numFmtId="168" fontId="0" fillId="0" borderId="13" xfId="0" applyNumberFormat="1" applyBorder="1"/>
    <xf numFmtId="44" fontId="0" fillId="0" borderId="1" xfId="2" applyFont="1" applyBorder="1"/>
    <xf numFmtId="44" fontId="0" fillId="0" borderId="7" xfId="0" applyNumberFormat="1" applyBorder="1"/>
    <xf numFmtId="174" fontId="0" fillId="0" borderId="20" xfId="0" applyNumberFormat="1" applyBorder="1"/>
    <xf numFmtId="0" fontId="0" fillId="0" borderId="1" xfId="0" applyBorder="1" applyAlignment="1">
      <alignment horizontal="right"/>
    </xf>
    <xf numFmtId="0" fontId="0" fillId="0" borderId="11" xfId="0" applyBorder="1"/>
    <xf numFmtId="0" fontId="14" fillId="0" borderId="12" xfId="0" applyFont="1" applyBorder="1" applyAlignment="1">
      <alignment horizontal="right"/>
    </xf>
    <xf numFmtId="165" fontId="12" fillId="0" borderId="20" xfId="1" applyNumberFormat="1" applyBorder="1"/>
    <xf numFmtId="166" fontId="70" fillId="0" borderId="7" xfId="0" applyNumberFormat="1" applyFont="1" applyBorder="1"/>
    <xf numFmtId="166" fontId="0" fillId="0" borderId="0" xfId="0" applyNumberFormat="1"/>
    <xf numFmtId="44" fontId="0" fillId="0" borderId="0" xfId="2" applyFont="1"/>
    <xf numFmtId="44" fontId="14" fillId="0" borderId="0" xfId="2" applyFont="1"/>
    <xf numFmtId="9" fontId="0" fillId="0" borderId="0" xfId="0" applyNumberFormat="1"/>
    <xf numFmtId="44" fontId="0" fillId="0" borderId="0" xfId="0" applyNumberFormat="1"/>
    <xf numFmtId="166" fontId="20" fillId="0" borderId="0" xfId="2" applyNumberFormat="1" applyFont="1"/>
    <xf numFmtId="0" fontId="14" fillId="0" borderId="0" xfId="0" applyFont="1" applyAlignment="1">
      <alignment horizontal="right"/>
    </xf>
    <xf numFmtId="174" fontId="0" fillId="0" borderId="0" xfId="0" applyNumberFormat="1"/>
    <xf numFmtId="166" fontId="70" fillId="0" borderId="0" xfId="0" applyNumberFormat="1" applyFont="1"/>
    <xf numFmtId="0" fontId="14" fillId="0" borderId="1" xfId="0" applyFont="1" applyBorder="1" applyAlignment="1">
      <alignment horizontal="right"/>
    </xf>
    <xf numFmtId="8" fontId="0" fillId="0" borderId="0" xfId="0" applyNumberFormat="1"/>
    <xf numFmtId="166" fontId="16" fillId="0" borderId="0" xfId="2" applyNumberFormat="1" applyFont="1"/>
    <xf numFmtId="0" fontId="29" fillId="0" borderId="3" xfId="0" applyFont="1" applyBorder="1" applyAlignment="1">
      <alignment horizontal="center"/>
    </xf>
    <xf numFmtId="0" fontId="11" fillId="0" borderId="17" xfId="28" applyBorder="1"/>
    <xf numFmtId="0" fontId="11" fillId="0" borderId="4" xfId="28" applyBorder="1"/>
    <xf numFmtId="166" fontId="16" fillId="0" borderId="20" xfId="2" applyNumberFormat="1" applyFont="1" applyBorder="1"/>
    <xf numFmtId="166" fontId="0" fillId="0" borderId="0" xfId="2" applyNumberFormat="1" applyFont="1" applyBorder="1"/>
    <xf numFmtId="0" fontId="0" fillId="0" borderId="20" xfId="0" applyBorder="1"/>
    <xf numFmtId="167" fontId="14" fillId="0" borderId="0" xfId="4" applyNumberFormat="1" applyFont="1" applyBorder="1"/>
    <xf numFmtId="10" fontId="0" fillId="0" borderId="20" xfId="4" applyNumberFormat="1" applyFont="1" applyBorder="1"/>
    <xf numFmtId="10" fontId="0" fillId="0" borderId="2" xfId="4" applyNumberFormat="1" applyFont="1" applyBorder="1"/>
    <xf numFmtId="166" fontId="16" fillId="0" borderId="2" xfId="2" applyNumberFormat="1" applyFont="1" applyBorder="1"/>
    <xf numFmtId="166" fontId="16" fillId="0" borderId="2" xfId="2" applyNumberFormat="1" applyFont="1" applyBorder="1" applyAlignment="1">
      <alignment horizontal="right"/>
    </xf>
    <xf numFmtId="166" fontId="16" fillId="0" borderId="7" xfId="0" applyNumberFormat="1" applyFont="1" applyBorder="1"/>
    <xf numFmtId="165" fontId="12" fillId="0" borderId="0" xfId="1" applyNumberFormat="1" applyFill="1"/>
    <xf numFmtId="164" fontId="16" fillId="0" borderId="2" xfId="12" applyNumberFormat="1" applyFont="1" applyFill="1" applyBorder="1" applyAlignment="1">
      <alignment horizontal="right"/>
    </xf>
    <xf numFmtId="164" fontId="16" fillId="0" borderId="7" xfId="12" applyNumberFormat="1" applyFont="1" applyFill="1" applyBorder="1" applyAlignment="1">
      <alignment horizontal="right"/>
    </xf>
    <xf numFmtId="0" fontId="66" fillId="0" borderId="0" xfId="0" applyFont="1" applyAlignment="1">
      <alignment horizontal="right"/>
    </xf>
    <xf numFmtId="0" fontId="66" fillId="0" borderId="0" xfId="0" applyFont="1"/>
    <xf numFmtId="9" fontId="12" fillId="0" borderId="0" xfId="4" applyFill="1"/>
    <xf numFmtId="164" fontId="17" fillId="0" borderId="0" xfId="4" applyNumberFormat="1" applyFont="1" applyFill="1"/>
    <xf numFmtId="166" fontId="23" fillId="0" borderId="0" xfId="0" applyNumberFormat="1" applyFont="1" applyAlignment="1">
      <alignment horizontal="right"/>
    </xf>
    <xf numFmtId="166" fontId="14" fillId="0" borderId="0" xfId="0" applyNumberFormat="1" applyFont="1"/>
    <xf numFmtId="165" fontId="0" fillId="0" borderId="0" xfId="13" applyNumberFormat="1" applyFont="1" applyFill="1"/>
    <xf numFmtId="165" fontId="23" fillId="7" borderId="0" xfId="1" applyNumberFormat="1" applyFont="1" applyFill="1" applyAlignment="1">
      <alignment horizontal="right"/>
    </xf>
    <xf numFmtId="175" fontId="73" fillId="0" borderId="2" xfId="0" applyNumberFormat="1" applyFont="1" applyBorder="1" applyAlignment="1">
      <alignment horizontal="right"/>
    </xf>
    <xf numFmtId="175" fontId="73" fillId="0" borderId="0" xfId="1" applyNumberFormat="1" applyFont="1" applyFill="1"/>
    <xf numFmtId="0" fontId="17" fillId="0" borderId="0" xfId="0" applyFont="1" applyAlignment="1">
      <alignment horizontal="right"/>
    </xf>
    <xf numFmtId="9" fontId="15" fillId="0" borderId="0" xfId="4" applyFont="1"/>
    <xf numFmtId="44" fontId="15" fillId="0" borderId="0" xfId="2" applyFont="1"/>
    <xf numFmtId="0" fontId="16" fillId="0" borderId="11" xfId="10" applyFont="1" applyBorder="1" applyAlignment="1">
      <alignment horizontal="center"/>
    </xf>
    <xf numFmtId="0" fontId="16" fillId="0" borderId="13" xfId="10" applyFont="1" applyBorder="1" applyAlignment="1">
      <alignment horizontal="center"/>
    </xf>
    <xf numFmtId="10" fontId="16" fillId="0" borderId="11" xfId="4" applyNumberFormat="1" applyFont="1" applyBorder="1" applyAlignment="1">
      <alignment horizontal="center"/>
    </xf>
    <xf numFmtId="10" fontId="16" fillId="0" borderId="11" xfId="12" applyNumberFormat="1" applyFont="1" applyBorder="1" applyAlignment="1">
      <alignment horizontal="center"/>
    </xf>
    <xf numFmtId="9" fontId="16" fillId="0" borderId="11" xfId="4" applyFont="1" applyBorder="1" applyAlignment="1">
      <alignment horizontal="center"/>
    </xf>
    <xf numFmtId="9" fontId="23" fillId="0" borderId="0" xfId="4" applyFont="1" applyFill="1" applyAlignment="1">
      <alignment horizontal="right"/>
    </xf>
    <xf numFmtId="166" fontId="17" fillId="0" borderId="0" xfId="0" applyNumberFormat="1" applyFont="1" applyAlignment="1">
      <alignment horizontal="right"/>
    </xf>
    <xf numFmtId="164" fontId="17" fillId="0" borderId="0" xfId="4" applyNumberFormat="1" applyFont="1" applyAlignment="1">
      <alignment horizontal="right"/>
    </xf>
    <xf numFmtId="166" fontId="15" fillId="0" borderId="0" xfId="0" applyNumberFormat="1" applyFont="1" applyAlignment="1">
      <alignment horizontal="right"/>
    </xf>
    <xf numFmtId="0" fontId="15" fillId="0" borderId="0" xfId="0" applyFont="1" applyAlignment="1">
      <alignment horizontal="right"/>
    </xf>
    <xf numFmtId="164" fontId="17" fillId="0" borderId="0" xfId="0" applyNumberFormat="1" applyFont="1" applyAlignment="1">
      <alignment horizontal="right"/>
    </xf>
    <xf numFmtId="3" fontId="12" fillId="0" borderId="0" xfId="2" applyNumberFormat="1"/>
    <xf numFmtId="0" fontId="21" fillId="0" borderId="0" xfId="0" applyFont="1"/>
    <xf numFmtId="166" fontId="16" fillId="0" borderId="2" xfId="0" applyNumberFormat="1" applyFont="1" applyBorder="1"/>
    <xf numFmtId="165" fontId="16" fillId="0" borderId="2" xfId="1" applyNumberFormat="1" applyFont="1" applyBorder="1"/>
    <xf numFmtId="0" fontId="10" fillId="18" borderId="0" xfId="32" applyBorder="1"/>
    <xf numFmtId="0" fontId="55" fillId="18" borderId="0" xfId="32" applyFont="1" applyBorder="1" applyAlignment="1">
      <alignment vertical="center"/>
    </xf>
    <xf numFmtId="0" fontId="10" fillId="18" borderId="2" xfId="32" applyBorder="1"/>
    <xf numFmtId="0" fontId="14" fillId="0" borderId="0" xfId="0" applyFont="1" applyAlignment="1">
      <alignment horizontal="left"/>
    </xf>
    <xf numFmtId="166" fontId="14" fillId="0" borderId="7" xfId="0" applyNumberFormat="1" applyFont="1" applyBorder="1"/>
    <xf numFmtId="0" fontId="0" fillId="0" borderId="0" xfId="0" applyAlignment="1">
      <alignment horizontal="center"/>
    </xf>
    <xf numFmtId="0" fontId="0" fillId="0" borderId="2" xfId="0" applyBorder="1" applyAlignment="1">
      <alignment horizontal="center"/>
    </xf>
    <xf numFmtId="6" fontId="0" fillId="0" borderId="0" xfId="0" applyNumberFormat="1"/>
    <xf numFmtId="0" fontId="51" fillId="0" borderId="0" xfId="33" applyFont="1" applyFill="1" applyAlignment="1">
      <alignment horizontal="center"/>
    </xf>
    <xf numFmtId="44" fontId="12" fillId="0" borderId="0" xfId="2" applyFill="1"/>
    <xf numFmtId="0" fontId="74" fillId="0" borderId="12" xfId="0" applyFont="1" applyBorder="1"/>
    <xf numFmtId="8" fontId="16" fillId="0" borderId="0" xfId="0" applyNumberFormat="1" applyFont="1"/>
    <xf numFmtId="0" fontId="17" fillId="20" borderId="0" xfId="0" applyFont="1" applyFill="1"/>
    <xf numFmtId="0" fontId="12" fillId="20" borderId="0" xfId="0" applyFont="1" applyFill="1"/>
    <xf numFmtId="0" fontId="20" fillId="20" borderId="0" xfId="0" applyFont="1" applyFill="1"/>
    <xf numFmtId="10" fontId="73" fillId="0" borderId="0" xfId="1" applyNumberFormat="1" applyFont="1" applyFill="1"/>
    <xf numFmtId="0" fontId="25" fillId="7" borderId="0" xfId="2" applyNumberFormat="1" applyFont="1" applyFill="1" applyAlignment="1">
      <alignment horizontal="center"/>
    </xf>
    <xf numFmtId="0" fontId="29" fillId="7" borderId="0" xfId="0" applyFont="1" applyFill="1" applyAlignment="1">
      <alignment horizontal="center"/>
    </xf>
    <xf numFmtId="165" fontId="73" fillId="0" borderId="0" xfId="1" applyNumberFormat="1" applyFont="1" applyFill="1" applyAlignment="1">
      <alignment horizontal="right"/>
    </xf>
    <xf numFmtId="0" fontId="75" fillId="0" borderId="0" xfId="0" applyFont="1" applyAlignment="1">
      <alignment horizontal="right"/>
    </xf>
    <xf numFmtId="10" fontId="12" fillId="0" borderId="0" xfId="2" applyNumberFormat="1"/>
    <xf numFmtId="10" fontId="17" fillId="0" borderId="0" xfId="0" applyNumberFormat="1" applyFont="1" applyAlignment="1">
      <alignment horizontal="center"/>
    </xf>
    <xf numFmtId="0" fontId="26" fillId="0" borderId="2" xfId="0" applyFont="1" applyBorder="1" applyAlignment="1">
      <alignment horizontal="right"/>
    </xf>
    <xf numFmtId="1" fontId="12" fillId="0" borderId="2" xfId="12" applyNumberFormat="1" applyFill="1" applyBorder="1" applyAlignment="1">
      <alignment horizontal="right"/>
    </xf>
    <xf numFmtId="165" fontId="69" fillId="0" borderId="0" xfId="1" applyNumberFormat="1" applyFont="1" applyFill="1"/>
    <xf numFmtId="165" fontId="23" fillId="0" borderId="0" xfId="1" applyNumberFormat="1" applyFont="1" applyFill="1"/>
    <xf numFmtId="165" fontId="12" fillId="0" borderId="2" xfId="1" applyNumberFormat="1" applyFill="1" applyBorder="1"/>
    <xf numFmtId="0" fontId="26" fillId="0" borderId="2" xfId="0" applyFont="1" applyBorder="1" applyAlignment="1">
      <alignment horizontal="center"/>
    </xf>
    <xf numFmtId="165" fontId="15" fillId="0" borderId="2" xfId="1" applyNumberFormat="1" applyFont="1" applyFill="1" applyBorder="1"/>
    <xf numFmtId="165" fontId="12" fillId="0" borderId="12" xfId="1" applyNumberFormat="1" applyFill="1" applyBorder="1"/>
    <xf numFmtId="165" fontId="12" fillId="0" borderId="13" xfId="1" applyNumberFormat="1" applyFill="1" applyBorder="1"/>
    <xf numFmtId="166" fontId="12" fillId="0" borderId="0" xfId="2" applyNumberFormat="1" applyFill="1"/>
    <xf numFmtId="9" fontId="23" fillId="0" borderId="0" xfId="4" applyFont="1" applyFill="1"/>
    <xf numFmtId="165" fontId="12" fillId="0" borderId="7" xfId="1" applyNumberFormat="1" applyFill="1" applyBorder="1"/>
    <xf numFmtId="0" fontId="16" fillId="0" borderId="0" xfId="0" applyFont="1" applyAlignment="1">
      <alignment horizontal="center"/>
    </xf>
    <xf numFmtId="8" fontId="16" fillId="0" borderId="0" xfId="0" applyNumberFormat="1" applyFont="1" applyAlignment="1">
      <alignment horizontal="center"/>
    </xf>
    <xf numFmtId="166" fontId="23" fillId="0" borderId="20" xfId="10" applyNumberFormat="1" applyFont="1" applyBorder="1"/>
    <xf numFmtId="0" fontId="76" fillId="0" borderId="0" xfId="0" applyFont="1" applyAlignment="1">
      <alignment horizontal="right"/>
    </xf>
    <xf numFmtId="0" fontId="77" fillId="0" borderId="0" xfId="0" applyFont="1"/>
    <xf numFmtId="0" fontId="78" fillId="0" borderId="0" xfId="0" applyFont="1"/>
    <xf numFmtId="0" fontId="77" fillId="0" borderId="0" xfId="0" applyFont="1" applyAlignment="1">
      <alignment horizontal="left"/>
    </xf>
    <xf numFmtId="0" fontId="8" fillId="25" borderId="0" xfId="35"/>
    <xf numFmtId="164" fontId="8" fillId="25" borderId="0" xfId="35" applyNumberFormat="1" applyAlignment="1">
      <alignment horizontal="center"/>
    </xf>
    <xf numFmtId="0" fontId="12" fillId="0" borderId="0" xfId="2" applyNumberFormat="1"/>
    <xf numFmtId="10" fontId="16" fillId="0" borderId="0" xfId="0" applyNumberFormat="1" applyFont="1"/>
    <xf numFmtId="6" fontId="11" fillId="0" borderId="30" xfId="28" applyNumberFormat="1" applyBorder="1"/>
    <xf numFmtId="0" fontId="91" fillId="0" borderId="19" xfId="28" applyFont="1" applyBorder="1"/>
    <xf numFmtId="0" fontId="40" fillId="0" borderId="10" xfId="0" applyFont="1" applyBorder="1" applyAlignment="1">
      <alignment horizontal="left" indent="1"/>
    </xf>
    <xf numFmtId="188" fontId="33" fillId="0" borderId="19" xfId="0" applyNumberFormat="1" applyFont="1" applyBorder="1" applyAlignment="1">
      <alignment horizontal="right"/>
    </xf>
    <xf numFmtId="0" fontId="40" fillId="10" borderId="3" xfId="0" applyFont="1" applyFill="1" applyBorder="1" applyAlignment="1">
      <alignment horizontal="left" indent="1"/>
    </xf>
    <xf numFmtId="0" fontId="0" fillId="10" borderId="0" xfId="0" applyFill="1"/>
    <xf numFmtId="166" fontId="33" fillId="10" borderId="0" xfId="0" applyNumberFormat="1" applyFont="1" applyFill="1" applyAlignment="1">
      <alignment horizontal="left"/>
    </xf>
    <xf numFmtId="0" fontId="0" fillId="0" borderId="17" xfId="0" applyBorder="1"/>
    <xf numFmtId="0" fontId="6" fillId="21" borderId="0" xfId="36" applyFill="1"/>
    <xf numFmtId="0" fontId="6" fillId="21" borderId="0" xfId="36" applyFill="1" applyAlignment="1">
      <alignment horizontal="center"/>
    </xf>
    <xf numFmtId="0" fontId="79" fillId="24" borderId="0" xfId="36" applyFont="1" applyFill="1"/>
    <xf numFmtId="0" fontId="52" fillId="24" borderId="0" xfId="36" applyFont="1" applyFill="1"/>
    <xf numFmtId="0" fontId="52" fillId="24" borderId="0" xfId="36" applyFont="1" applyFill="1" applyAlignment="1">
      <alignment horizontal="center"/>
    </xf>
    <xf numFmtId="178" fontId="52" fillId="24" borderId="0" xfId="36" applyNumberFormat="1" applyFont="1" applyFill="1" applyAlignment="1">
      <alignment horizontal="right"/>
    </xf>
    <xf numFmtId="0" fontId="80" fillId="11" borderId="0" xfId="36" applyFont="1" applyFill="1"/>
    <xf numFmtId="0" fontId="52" fillId="11" borderId="0" xfId="36" applyFont="1" applyFill="1"/>
    <xf numFmtId="0" fontId="52" fillId="11" borderId="0" xfId="36" applyFont="1" applyFill="1" applyAlignment="1">
      <alignment horizontal="center"/>
    </xf>
    <xf numFmtId="0" fontId="89" fillId="22" borderId="0" xfId="36" applyFont="1" applyFill="1" applyAlignment="1">
      <alignment horizontal="right"/>
    </xf>
    <xf numFmtId="187" fontId="6" fillId="11" borderId="0" xfId="36" applyNumberFormat="1" applyFill="1" applyAlignment="1" applyProtection="1">
      <alignment horizontal="center"/>
      <protection locked="0"/>
    </xf>
    <xf numFmtId="187" fontId="6" fillId="11" borderId="0" xfId="36" applyNumberFormat="1" applyFill="1" applyAlignment="1" applyProtection="1">
      <alignment horizontal="right"/>
      <protection locked="0"/>
    </xf>
    <xf numFmtId="0" fontId="89" fillId="22" borderId="0" xfId="37" applyNumberFormat="1" applyFont="1" applyFill="1" applyAlignment="1">
      <alignment horizontal="center" vertical="center"/>
    </xf>
    <xf numFmtId="44" fontId="14" fillId="11" borderId="0" xfId="38" applyFont="1" applyFill="1" applyAlignment="1">
      <alignment horizontal="right"/>
    </xf>
    <xf numFmtId="0" fontId="28" fillId="0" borderId="0" xfId="36" applyFont="1" applyAlignment="1">
      <alignment horizontal="right"/>
    </xf>
    <xf numFmtId="0" fontId="81" fillId="22" borderId="0" xfId="36" applyFont="1" applyFill="1" applyAlignment="1">
      <alignment horizontal="right"/>
    </xf>
    <xf numFmtId="0" fontId="55" fillId="11" borderId="0" xfId="36" applyFont="1" applyFill="1" applyAlignment="1">
      <alignment horizontal="center"/>
    </xf>
    <xf numFmtId="0" fontId="6" fillId="0" borderId="0" xfId="36" applyAlignment="1">
      <alignment horizontal="center"/>
    </xf>
    <xf numFmtId="9" fontId="28" fillId="11" borderId="0" xfId="36" applyNumberFormat="1" applyFont="1" applyFill="1" applyAlignment="1">
      <alignment horizontal="left"/>
    </xf>
    <xf numFmtId="0" fontId="6" fillId="11" borderId="0" xfId="36" applyFill="1"/>
    <xf numFmtId="0" fontId="6" fillId="11" borderId="0" xfId="36" applyFill="1" applyAlignment="1">
      <alignment horizontal="right"/>
    </xf>
    <xf numFmtId="0" fontId="6" fillId="11" borderId="0" xfId="36" applyFill="1" applyAlignment="1">
      <alignment horizontal="center"/>
    </xf>
    <xf numFmtId="0" fontId="83" fillId="11" borderId="0" xfId="36" applyFont="1" applyFill="1"/>
    <xf numFmtId="0" fontId="55" fillId="11" borderId="0" xfId="36" applyFont="1" applyFill="1" applyAlignment="1">
      <alignment horizontal="right"/>
    </xf>
    <xf numFmtId="10" fontId="28" fillId="11" borderId="0" xfId="36" applyNumberFormat="1" applyFont="1" applyFill="1" applyAlignment="1">
      <alignment horizontal="center"/>
    </xf>
    <xf numFmtId="164" fontId="89" fillId="22" borderId="0" xfId="36" applyNumberFormat="1" applyFont="1" applyFill="1" applyAlignment="1" applyProtection="1">
      <alignment horizontal="right"/>
      <protection locked="0"/>
    </xf>
    <xf numFmtId="3" fontId="28" fillId="11" borderId="0" xfId="36" applyNumberFormat="1" applyFont="1" applyFill="1" applyAlignment="1">
      <alignment horizontal="right"/>
    </xf>
    <xf numFmtId="0" fontId="6" fillId="11" borderId="0" xfId="36" applyFill="1" applyAlignment="1">
      <alignment horizontal="left"/>
    </xf>
    <xf numFmtId="0" fontId="84" fillId="11" borderId="14" xfId="36" applyFont="1" applyFill="1" applyBorder="1" applyAlignment="1">
      <alignment horizontal="right" vertical="center"/>
    </xf>
    <xf numFmtId="0" fontId="85" fillId="11" borderId="16" xfId="36" applyFont="1" applyFill="1" applyBorder="1" applyAlignment="1">
      <alignment horizontal="left" vertical="center"/>
    </xf>
    <xf numFmtId="164" fontId="6" fillId="11" borderId="0" xfId="36" applyNumberFormat="1" applyFill="1" applyAlignment="1">
      <alignment horizontal="right"/>
    </xf>
    <xf numFmtId="3" fontId="82" fillId="11" borderId="0" xfId="36" applyNumberFormat="1" applyFont="1" applyFill="1" applyAlignment="1">
      <alignment horizontal="right"/>
    </xf>
    <xf numFmtId="9" fontId="81" fillId="11" borderId="0" xfId="36" applyNumberFormat="1" applyFont="1" applyFill="1" applyAlignment="1">
      <alignment horizontal="center"/>
    </xf>
    <xf numFmtId="0" fontId="84" fillId="11" borderId="3" xfId="36" applyFont="1" applyFill="1" applyBorder="1" applyAlignment="1">
      <alignment horizontal="right" vertical="center"/>
    </xf>
    <xf numFmtId="179" fontId="84" fillId="11" borderId="17" xfId="36" applyNumberFormat="1" applyFont="1" applyFill="1" applyBorder="1" applyAlignment="1">
      <alignment horizontal="left" vertical="center"/>
    </xf>
    <xf numFmtId="165" fontId="6" fillId="11" borderId="0" xfId="36" applyNumberFormat="1" applyFill="1"/>
    <xf numFmtId="164" fontId="6" fillId="11" borderId="0" xfId="36" applyNumberFormat="1" applyFill="1" applyAlignment="1">
      <alignment horizontal="center"/>
    </xf>
    <xf numFmtId="0" fontId="84" fillId="11" borderId="10" xfId="36" applyFont="1" applyFill="1" applyBorder="1" applyAlignment="1">
      <alignment horizontal="right" vertical="center"/>
    </xf>
    <xf numFmtId="179" fontId="84" fillId="11" borderId="4" xfId="36" applyNumberFormat="1" applyFont="1" applyFill="1" applyBorder="1" applyAlignment="1">
      <alignment horizontal="left" vertical="center"/>
    </xf>
    <xf numFmtId="189" fontId="6" fillId="11" borderId="0" xfId="36" applyNumberFormat="1" applyFill="1" applyAlignment="1">
      <alignment horizontal="center"/>
    </xf>
    <xf numFmtId="6" fontId="28" fillId="11" borderId="0" xfId="36" applyNumberFormat="1" applyFont="1" applyFill="1" applyAlignment="1">
      <alignment horizontal="right"/>
    </xf>
    <xf numFmtId="0" fontId="6" fillId="11" borderId="26" xfId="36" applyFill="1" applyBorder="1" applyAlignment="1">
      <alignment horizontal="center"/>
    </xf>
    <xf numFmtId="0" fontId="83" fillId="11" borderId="1" xfId="36" applyFont="1" applyFill="1" applyBorder="1"/>
    <xf numFmtId="0" fontId="6" fillId="11" borderId="1" xfId="36" applyFill="1" applyBorder="1"/>
    <xf numFmtId="0" fontId="6" fillId="11" borderId="1" xfId="36" applyFill="1" applyBorder="1" applyAlignment="1">
      <alignment horizontal="right"/>
    </xf>
    <xf numFmtId="0" fontId="55" fillId="11" borderId="1" xfId="36" applyFont="1" applyFill="1" applyBorder="1" applyAlignment="1">
      <alignment horizontal="right"/>
    </xf>
    <xf numFmtId="0" fontId="55" fillId="11" borderId="1" xfId="36" applyFont="1" applyFill="1" applyBorder="1" applyAlignment="1">
      <alignment horizontal="left"/>
    </xf>
    <xf numFmtId="0" fontId="55" fillId="11" borderId="28" xfId="36" applyFont="1" applyFill="1" applyBorder="1" applyAlignment="1">
      <alignment horizontal="left"/>
    </xf>
    <xf numFmtId="0" fontId="6" fillId="11" borderId="1" xfId="36" applyFill="1" applyBorder="1" applyAlignment="1">
      <alignment horizontal="center"/>
    </xf>
    <xf numFmtId="0" fontId="86" fillId="11" borderId="0" xfId="36" applyFont="1" applyFill="1" applyAlignment="1">
      <alignment horizontal="center"/>
    </xf>
    <xf numFmtId="0" fontId="86" fillId="11" borderId="0" xfId="36" applyFont="1" applyFill="1" applyAlignment="1">
      <alignment horizontal="right"/>
    </xf>
    <xf numFmtId="180" fontId="28" fillId="11" borderId="0" xfId="36" applyNumberFormat="1" applyFont="1" applyFill="1" applyAlignment="1">
      <alignment horizontal="left"/>
    </xf>
    <xf numFmtId="164" fontId="87" fillId="11" borderId="0" xfId="36" applyNumberFormat="1" applyFont="1" applyFill="1" applyAlignment="1">
      <alignment horizontal="left"/>
    </xf>
    <xf numFmtId="164" fontId="87" fillId="11" borderId="25" xfId="36" applyNumberFormat="1" applyFont="1" applyFill="1" applyBorder="1" applyAlignment="1">
      <alignment horizontal="center"/>
    </xf>
    <xf numFmtId="164" fontId="89" fillId="22" borderId="0" xfId="36" applyNumberFormat="1" applyFont="1" applyFill="1" applyAlignment="1">
      <alignment horizontal="center"/>
    </xf>
    <xf numFmtId="3" fontId="6" fillId="11" borderId="0" xfId="36" applyNumberFormat="1" applyFill="1"/>
    <xf numFmtId="181" fontId="81" fillId="22" borderId="0" xfId="36" applyNumberFormat="1" applyFont="1" applyFill="1" applyAlignment="1">
      <alignment horizontal="right"/>
    </xf>
    <xf numFmtId="182" fontId="89" fillId="22" borderId="0" xfId="36" applyNumberFormat="1" applyFont="1" applyFill="1" applyAlignment="1" applyProtection="1">
      <alignment horizontal="right"/>
      <protection locked="0"/>
    </xf>
    <xf numFmtId="183" fontId="28" fillId="11" borderId="0" xfId="36" applyNumberFormat="1" applyFont="1" applyFill="1" applyAlignment="1">
      <alignment horizontal="left"/>
    </xf>
    <xf numFmtId="164" fontId="6" fillId="11" borderId="25" xfId="36" applyNumberFormat="1" applyFill="1" applyBorder="1" applyAlignment="1">
      <alignment horizontal="center"/>
    </xf>
    <xf numFmtId="164" fontId="28" fillId="11" borderId="0" xfId="36" applyNumberFormat="1" applyFont="1" applyFill="1" applyAlignment="1">
      <alignment horizontal="center"/>
    </xf>
    <xf numFmtId="189" fontId="6" fillId="11" borderId="0" xfId="36" applyNumberFormat="1" applyFill="1"/>
    <xf numFmtId="182" fontId="81" fillId="11" borderId="0" xfId="36" applyNumberFormat="1" applyFont="1" applyFill="1"/>
    <xf numFmtId="9" fontId="28" fillId="11" borderId="0" xfId="36" applyNumberFormat="1" applyFont="1" applyFill="1" applyAlignment="1">
      <alignment horizontal="center"/>
    </xf>
    <xf numFmtId="10" fontId="6" fillId="11" borderId="0" xfId="36" applyNumberFormat="1" applyFill="1" applyAlignment="1">
      <alignment horizontal="center"/>
    </xf>
    <xf numFmtId="182" fontId="81" fillId="11" borderId="1" xfId="36" applyNumberFormat="1" applyFont="1" applyFill="1" applyBorder="1"/>
    <xf numFmtId="183" fontId="28" fillId="11" borderId="1" xfId="36" applyNumberFormat="1" applyFont="1" applyFill="1" applyBorder="1" applyAlignment="1">
      <alignment horizontal="left"/>
    </xf>
    <xf numFmtId="172" fontId="6" fillId="11" borderId="1" xfId="36" applyNumberFormat="1" applyFill="1" applyBorder="1" applyAlignment="1">
      <alignment horizontal="right"/>
    </xf>
    <xf numFmtId="0" fontId="67" fillId="11" borderId="0" xfId="36" applyFont="1" applyFill="1" applyAlignment="1">
      <alignment horizontal="left"/>
    </xf>
    <xf numFmtId="9" fontId="81" fillId="11" borderId="0" xfId="36" applyNumberFormat="1" applyFont="1" applyFill="1" applyAlignment="1">
      <alignment horizontal="right"/>
    </xf>
    <xf numFmtId="9" fontId="28" fillId="11" borderId="0" xfId="36" applyNumberFormat="1" applyFont="1" applyFill="1" applyAlignment="1">
      <alignment horizontal="right"/>
    </xf>
    <xf numFmtId="10" fontId="6" fillId="11" borderId="0" xfId="36" applyNumberFormat="1" applyFill="1" applyAlignment="1">
      <alignment horizontal="right"/>
    </xf>
    <xf numFmtId="0" fontId="6" fillId="11" borderId="0" xfId="36" applyFill="1" applyAlignment="1">
      <alignment horizontal="left" indent="1"/>
    </xf>
    <xf numFmtId="165" fontId="89" fillId="23" borderId="0" xfId="37" applyNumberFormat="1" applyFont="1" applyFill="1" applyAlignment="1">
      <alignment horizontal="center"/>
    </xf>
    <xf numFmtId="10" fontId="89" fillId="23" borderId="0" xfId="39" applyNumberFormat="1" applyFont="1" applyFill="1" applyAlignment="1">
      <alignment horizontal="right"/>
    </xf>
    <xf numFmtId="2" fontId="89" fillId="23" borderId="0" xfId="36" applyNumberFormat="1" applyFont="1" applyFill="1" applyAlignment="1">
      <alignment horizontal="right"/>
    </xf>
    <xf numFmtId="0" fontId="58" fillId="11" borderId="0" xfId="36" applyFont="1" applyFill="1" applyAlignment="1">
      <alignment horizontal="left" indent="1"/>
    </xf>
    <xf numFmtId="0" fontId="58" fillId="11" borderId="0" xfId="36" applyFont="1" applyFill="1"/>
    <xf numFmtId="165" fontId="58" fillId="23" borderId="0" xfId="37" applyNumberFormat="1" applyFont="1" applyFill="1" applyAlignment="1">
      <alignment horizontal="center"/>
    </xf>
    <xf numFmtId="183" fontId="58" fillId="11" borderId="0" xfId="36" applyNumberFormat="1" applyFont="1" applyFill="1" applyAlignment="1">
      <alignment horizontal="left"/>
    </xf>
    <xf numFmtId="3" fontId="58" fillId="11" borderId="0" xfId="36" applyNumberFormat="1" applyFont="1" applyFill="1" applyAlignment="1">
      <alignment horizontal="right"/>
    </xf>
    <xf numFmtId="0" fontId="58" fillId="21" borderId="0" xfId="36" applyFont="1" applyFill="1"/>
    <xf numFmtId="0" fontId="54" fillId="11" borderId="0" xfId="36" applyFont="1" applyFill="1" applyAlignment="1">
      <alignment horizontal="left" indent="1"/>
    </xf>
    <xf numFmtId="0" fontId="54" fillId="11" borderId="0" xfId="36" applyFont="1" applyFill="1"/>
    <xf numFmtId="6" fontId="54" fillId="11" borderId="0" xfId="36" applyNumberFormat="1" applyFont="1" applyFill="1"/>
    <xf numFmtId="0" fontId="28" fillId="21" borderId="0" xfId="36" applyFont="1" applyFill="1"/>
    <xf numFmtId="185" fontId="6" fillId="22" borderId="0" xfId="36" applyNumberFormat="1" applyFill="1" applyAlignment="1" applyProtection="1">
      <alignment horizontal="right"/>
      <protection locked="0"/>
    </xf>
    <xf numFmtId="185" fontId="6" fillId="11" borderId="0" xfId="36" applyNumberFormat="1" applyFill="1" applyAlignment="1">
      <alignment horizontal="right"/>
    </xf>
    <xf numFmtId="0" fontId="28" fillId="11" borderId="0" xfId="36" applyFont="1" applyFill="1"/>
    <xf numFmtId="3" fontId="28" fillId="11" borderId="0" xfId="36" applyNumberFormat="1" applyFont="1" applyFill="1" applyAlignment="1" applyProtection="1">
      <alignment horizontal="right"/>
      <protection locked="0"/>
    </xf>
    <xf numFmtId="10" fontId="89" fillId="22" borderId="0" xfId="36" applyNumberFormat="1" applyFont="1" applyFill="1" applyAlignment="1">
      <alignment horizontal="right"/>
    </xf>
    <xf numFmtId="10" fontId="89" fillId="22" borderId="0" xfId="36" applyNumberFormat="1" applyFont="1" applyFill="1"/>
    <xf numFmtId="0" fontId="28" fillId="11" borderId="0" xfId="37" applyNumberFormat="1" applyFont="1" applyFill="1" applyAlignment="1"/>
    <xf numFmtId="0" fontId="92" fillId="11" borderId="0" xfId="36" applyFont="1" applyFill="1"/>
    <xf numFmtId="177" fontId="6" fillId="11" borderId="0" xfId="36" applyNumberFormat="1" applyFill="1" applyAlignment="1">
      <alignment horizontal="right"/>
    </xf>
    <xf numFmtId="3" fontId="54" fillId="11" borderId="0" xfId="36" applyNumberFormat="1" applyFont="1" applyFill="1" applyAlignment="1">
      <alignment horizontal="right"/>
    </xf>
    <xf numFmtId="0" fontId="57" fillId="11" borderId="1" xfId="36" applyFont="1" applyFill="1" applyBorder="1" applyAlignment="1">
      <alignment horizontal="right"/>
    </xf>
    <xf numFmtId="164" fontId="57" fillId="11" borderId="1" xfId="36" applyNumberFormat="1" applyFont="1" applyFill="1" applyBorder="1" applyAlignment="1">
      <alignment horizontal="left"/>
    </xf>
    <xf numFmtId="3" fontId="6" fillId="11" borderId="0" xfId="36" applyNumberFormat="1" applyFill="1" applyAlignment="1">
      <alignment horizontal="right"/>
    </xf>
    <xf numFmtId="3" fontId="36" fillId="11" borderId="0" xfId="36" applyNumberFormat="1" applyFont="1" applyFill="1" applyAlignment="1">
      <alignment horizontal="right"/>
    </xf>
    <xf numFmtId="4" fontId="6" fillId="11" borderId="0" xfId="36" applyNumberFormat="1" applyFill="1" applyAlignment="1">
      <alignment horizontal="left"/>
    </xf>
    <xf numFmtId="10" fontId="88" fillId="0" borderId="0" xfId="36" applyNumberFormat="1" applyFont="1" applyAlignment="1">
      <alignment horizontal="right"/>
    </xf>
    <xf numFmtId="186" fontId="6" fillId="11" borderId="0" xfId="36" applyNumberFormat="1" applyFill="1" applyAlignment="1">
      <alignment horizontal="left"/>
    </xf>
    <xf numFmtId="0" fontId="52" fillId="11" borderId="0" xfId="36" applyFont="1" applyFill="1" applyAlignment="1">
      <alignment horizontal="right"/>
    </xf>
    <xf numFmtId="0" fontId="93" fillId="0" borderId="0" xfId="0" applyFont="1"/>
    <xf numFmtId="6" fontId="93" fillId="0" borderId="0" xfId="0" applyNumberFormat="1" applyFont="1"/>
    <xf numFmtId="6" fontId="94" fillId="0" borderId="0" xfId="0" applyNumberFormat="1" applyFont="1"/>
    <xf numFmtId="6" fontId="93" fillId="0" borderId="0" xfId="0" applyNumberFormat="1" applyFont="1" applyAlignment="1">
      <alignment horizontal="right"/>
    </xf>
    <xf numFmtId="6" fontId="93" fillId="0" borderId="1" xfId="0" applyNumberFormat="1" applyFont="1" applyBorder="1" applyAlignment="1">
      <alignment horizontal="right"/>
    </xf>
    <xf numFmtId="0" fontId="93" fillId="0" borderId="0" xfId="0" applyFont="1" applyAlignment="1">
      <alignment horizontal="right"/>
    </xf>
    <xf numFmtId="0" fontId="93" fillId="20" borderId="0" xfId="0" applyFont="1" applyFill="1"/>
    <xf numFmtId="6" fontId="95" fillId="0" borderId="0" xfId="0" applyNumberFormat="1" applyFont="1" applyAlignment="1">
      <alignment horizontal="center"/>
    </xf>
    <xf numFmtId="9" fontId="95" fillId="0" borderId="0" xfId="0" applyNumberFormat="1" applyFont="1" applyAlignment="1">
      <alignment horizontal="center"/>
    </xf>
    <xf numFmtId="0" fontId="20" fillId="5" borderId="31" xfId="5" applyFont="1" applyFill="1" applyBorder="1" applyAlignment="1">
      <alignment horizontal="center"/>
    </xf>
    <xf numFmtId="44" fontId="98" fillId="13" borderId="0" xfId="25" applyNumberFormat="1" applyFont="1" applyAlignment="1">
      <alignment horizontal="center"/>
    </xf>
    <xf numFmtId="0" fontId="16" fillId="0" borderId="0" xfId="1" applyNumberFormat="1" applyFont="1" applyAlignment="1">
      <alignment horizontal="center"/>
    </xf>
    <xf numFmtId="0" fontId="99" fillId="0" borderId="32" xfId="0" applyFont="1" applyBorder="1"/>
    <xf numFmtId="0" fontId="100" fillId="0" borderId="33" xfId="0" applyFont="1" applyBorder="1" applyAlignment="1">
      <alignment horizontal="center"/>
    </xf>
    <xf numFmtId="0" fontId="100" fillId="0" borderId="34" xfId="0" applyFont="1" applyBorder="1" applyAlignment="1">
      <alignment horizontal="center"/>
    </xf>
    <xf numFmtId="0" fontId="99" fillId="0" borderId="0" xfId="0" applyFont="1" applyAlignment="1">
      <alignment horizontal="right"/>
    </xf>
    <xf numFmtId="10" fontId="100" fillId="0" borderId="0" xfId="0" applyNumberFormat="1" applyFont="1" applyAlignment="1">
      <alignment horizontal="center"/>
    </xf>
    <xf numFmtId="10" fontId="100" fillId="0" borderId="35" xfId="0" applyNumberFormat="1" applyFont="1" applyBorder="1" applyAlignment="1">
      <alignment horizontal="center"/>
    </xf>
    <xf numFmtId="176" fontId="100" fillId="0" borderId="0" xfId="0" applyNumberFormat="1" applyFont="1" applyAlignment="1">
      <alignment horizontal="center"/>
    </xf>
    <xf numFmtId="176" fontId="100" fillId="0" borderId="36" xfId="0" applyNumberFormat="1" applyFont="1" applyBorder="1" applyAlignment="1">
      <alignment horizontal="center"/>
    </xf>
    <xf numFmtId="6" fontId="100" fillId="0" borderId="0" xfId="0" applyNumberFormat="1" applyFont="1" applyAlignment="1">
      <alignment horizontal="center"/>
    </xf>
    <xf numFmtId="6" fontId="100" fillId="0" borderId="36" xfId="0" applyNumberFormat="1" applyFont="1" applyBorder="1" applyAlignment="1">
      <alignment horizontal="center"/>
    </xf>
    <xf numFmtId="165" fontId="100" fillId="0" borderId="0" xfId="0" applyNumberFormat="1" applyFont="1" applyAlignment="1">
      <alignment horizontal="center"/>
    </xf>
    <xf numFmtId="165" fontId="100" fillId="0" borderId="36" xfId="0" applyNumberFormat="1" applyFont="1" applyBorder="1" applyAlignment="1">
      <alignment horizontal="center"/>
    </xf>
    <xf numFmtId="0" fontId="51" fillId="0" borderId="0" xfId="26" applyFont="1" applyFill="1" applyAlignment="1"/>
    <xf numFmtId="6" fontId="102" fillId="0" borderId="0" xfId="0" applyNumberFormat="1" applyFont="1" applyAlignment="1">
      <alignment horizontal="center"/>
    </xf>
    <xf numFmtId="0" fontId="102" fillId="0" borderId="0" xfId="0" applyFont="1" applyAlignment="1">
      <alignment horizontal="center"/>
    </xf>
    <xf numFmtId="0" fontId="87" fillId="0" borderId="0" xfId="0" applyFont="1" applyAlignment="1">
      <alignment horizontal="center"/>
    </xf>
    <xf numFmtId="3" fontId="28" fillId="0" borderId="0" xfId="34" applyNumberFormat="1" applyFont="1"/>
    <xf numFmtId="10" fontId="28" fillId="0" borderId="0" xfId="34" applyNumberFormat="1" applyFont="1"/>
    <xf numFmtId="184" fontId="28" fillId="0" borderId="0" xfId="34" applyNumberFormat="1" applyFont="1"/>
    <xf numFmtId="0" fontId="28" fillId="0" borderId="0" xfId="34" applyFont="1"/>
    <xf numFmtId="182" fontId="28" fillId="0" borderId="0" xfId="34" applyNumberFormat="1" applyFont="1"/>
    <xf numFmtId="0" fontId="28" fillId="0" borderId="0" xfId="34" applyFont="1" applyAlignment="1">
      <alignment horizontal="left" indent="1"/>
    </xf>
    <xf numFmtId="0" fontId="28" fillId="0" borderId="0" xfId="34" applyFont="1" applyAlignment="1">
      <alignment horizontal="left"/>
    </xf>
    <xf numFmtId="6" fontId="28" fillId="0" borderId="0" xfId="26" applyNumberFormat="1" applyFont="1" applyFill="1" applyBorder="1" applyAlignment="1">
      <alignment horizontal="right"/>
    </xf>
    <xf numFmtId="6" fontId="55" fillId="0" borderId="0" xfId="28" applyNumberFormat="1" applyFont="1"/>
    <xf numFmtId="0" fontId="91" fillId="0" borderId="0" xfId="28" applyFont="1"/>
    <xf numFmtId="0" fontId="55" fillId="0" borderId="0" xfId="27" applyFont="1" applyFill="1" applyAlignment="1">
      <alignment horizontal="center"/>
    </xf>
    <xf numFmtId="0" fontId="28" fillId="0" borderId="0" xfId="26" applyNumberFormat="1" applyFont="1" applyFill="1" applyBorder="1" applyAlignment="1">
      <alignment horizontal="right"/>
    </xf>
    <xf numFmtId="0" fontId="55" fillId="27" borderId="0" xfId="28" applyFont="1" applyFill="1" applyAlignment="1">
      <alignment horizontal="center"/>
    </xf>
    <xf numFmtId="0" fontId="51" fillId="28" borderId="0" xfId="28" applyFont="1" applyFill="1" applyAlignment="1">
      <alignment horizontal="center"/>
    </xf>
    <xf numFmtId="0" fontId="51" fillId="28" borderId="19" xfId="28" applyFont="1" applyFill="1" applyBorder="1" applyAlignment="1">
      <alignment horizontal="center"/>
    </xf>
    <xf numFmtId="171" fontId="12" fillId="0" borderId="0" xfId="4" applyNumberFormat="1" applyAlignment="1">
      <alignment horizontal="center"/>
    </xf>
    <xf numFmtId="6" fontId="100" fillId="0" borderId="39" xfId="0" applyNumberFormat="1" applyFont="1" applyBorder="1" applyAlignment="1">
      <alignment horizontal="center"/>
    </xf>
    <xf numFmtId="6" fontId="100" fillId="0" borderId="40" xfId="0" applyNumberFormat="1" applyFont="1" applyBorder="1" applyAlignment="1">
      <alignment horizontal="center"/>
    </xf>
    <xf numFmtId="8" fontId="28" fillId="27" borderId="0" xfId="26" applyNumberFormat="1" applyFont="1" applyFill="1" applyBorder="1" applyAlignment="1">
      <alignment horizontal="right"/>
    </xf>
    <xf numFmtId="0" fontId="2" fillId="0" borderId="0" xfId="0" applyFont="1"/>
    <xf numFmtId="0" fontId="2" fillId="0" borderId="0" xfId="0" applyFont="1" applyAlignment="1">
      <alignment horizontal="right"/>
    </xf>
    <xf numFmtId="10" fontId="16" fillId="0" borderId="0" xfId="15" applyNumberFormat="1" applyFont="1" applyAlignment="1">
      <alignment horizontal="center"/>
    </xf>
    <xf numFmtId="0" fontId="2" fillId="0" borderId="0" xfId="0" applyFont="1" applyAlignment="1">
      <alignment horizontal="left" indent="1"/>
    </xf>
    <xf numFmtId="8" fontId="28" fillId="0" borderId="0" xfId="26" applyNumberFormat="1" applyFont="1" applyFill="1" applyBorder="1" applyAlignment="1">
      <alignment horizontal="right"/>
    </xf>
    <xf numFmtId="0" fontId="33" fillId="0" borderId="0" xfId="0" applyFont="1" applyAlignment="1">
      <alignment horizontal="center" vertical="center"/>
    </xf>
    <xf numFmtId="0" fontId="2" fillId="0" borderId="12" xfId="0" applyFont="1" applyBorder="1"/>
    <xf numFmtId="0" fontId="14" fillId="0" borderId="41" xfId="0" applyFont="1" applyBorder="1" applyAlignment="1">
      <alignment horizontal="center"/>
    </xf>
    <xf numFmtId="0" fontId="2" fillId="0" borderId="0" xfId="0" applyFont="1" applyAlignment="1">
      <alignment vertical="top" wrapText="1"/>
    </xf>
    <xf numFmtId="0" fontId="2" fillId="0" borderId="17" xfId="0" applyFont="1" applyBorder="1" applyAlignment="1">
      <alignment horizontal="right"/>
    </xf>
    <xf numFmtId="0" fontId="2" fillId="0" borderId="0" xfId="5" applyFont="1"/>
    <xf numFmtId="166" fontId="5" fillId="0" borderId="0" xfId="3" applyNumberFormat="1" applyFont="1"/>
    <xf numFmtId="170" fontId="2" fillId="0" borderId="0" xfId="5" applyNumberFormat="1" applyFont="1"/>
    <xf numFmtId="165" fontId="2" fillId="0" borderId="0" xfId="6" applyNumberFormat="1" applyFont="1"/>
    <xf numFmtId="0" fontId="2" fillId="0" borderId="0" xfId="5" applyFont="1" applyAlignment="1">
      <alignment horizontal="left" indent="1"/>
    </xf>
    <xf numFmtId="165" fontId="5" fillId="0" borderId="0" xfId="11" applyNumberFormat="1" applyFont="1"/>
    <xf numFmtId="166" fontId="5" fillId="0" borderId="0" xfId="3" applyNumberFormat="1" applyFont="1" applyAlignment="1">
      <alignment horizontal="right"/>
    </xf>
    <xf numFmtId="44" fontId="5" fillId="0" borderId="0" xfId="3" applyFont="1"/>
    <xf numFmtId="166" fontId="2" fillId="0" borderId="0" xfId="5" applyNumberFormat="1" applyFont="1"/>
    <xf numFmtId="6" fontId="2" fillId="0" borderId="0" xfId="0" applyNumberFormat="1" applyFont="1" applyAlignment="1">
      <alignment horizontal="center"/>
    </xf>
    <xf numFmtId="0" fontId="2" fillId="0" borderId="0" xfId="0" applyFont="1" applyAlignment="1">
      <alignment horizontal="left"/>
    </xf>
    <xf numFmtId="6" fontId="2" fillId="0" borderId="13" xfId="0" applyNumberFormat="1" applyFont="1" applyBorder="1" applyAlignment="1">
      <alignment horizontal="center"/>
    </xf>
    <xf numFmtId="8" fontId="2" fillId="0" borderId="0" xfId="0" applyNumberFormat="1" applyFont="1"/>
    <xf numFmtId="0" fontId="2" fillId="0" borderId="0" xfId="0" quotePrefix="1" applyFont="1"/>
    <xf numFmtId="0" fontId="2" fillId="0" borderId="0" xfId="0" applyFont="1" applyAlignment="1">
      <alignment horizontal="center"/>
    </xf>
    <xf numFmtId="164" fontId="2" fillId="0" borderId="0" xfId="0" applyNumberFormat="1" applyFont="1" applyAlignment="1">
      <alignment horizontal="center"/>
    </xf>
    <xf numFmtId="0" fontId="2" fillId="0" borderId="1" xfId="0" applyFont="1" applyBorder="1" applyAlignment="1">
      <alignment horizontal="center"/>
    </xf>
    <xf numFmtId="0" fontId="2" fillId="0" borderId="37" xfId="0" applyFont="1" applyBorder="1" applyAlignment="1">
      <alignment horizontal="center"/>
    </xf>
    <xf numFmtId="0" fontId="2" fillId="0" borderId="0" xfId="0" applyFont="1" applyAlignment="1">
      <alignment horizontal="centerContinuous"/>
    </xf>
    <xf numFmtId="164" fontId="2" fillId="0" borderId="0" xfId="0" applyNumberFormat="1" applyFont="1"/>
    <xf numFmtId="166" fontId="2" fillId="0" borderId="0" xfId="0" applyNumberFormat="1" applyFont="1"/>
    <xf numFmtId="6" fontId="2" fillId="0" borderId="0" xfId="0" applyNumberFormat="1" applyFont="1"/>
    <xf numFmtId="9" fontId="2" fillId="0" borderId="42" xfId="0" applyNumberFormat="1" applyFont="1" applyBorder="1" applyAlignment="1">
      <alignment horizontal="center"/>
    </xf>
    <xf numFmtId="0" fontId="2" fillId="0" borderId="37" xfId="0" applyFont="1" applyBorder="1"/>
    <xf numFmtId="0" fontId="2" fillId="0" borderId="2" xfId="0" applyFont="1" applyBorder="1" applyAlignment="1">
      <alignment horizontal="right"/>
    </xf>
    <xf numFmtId="44" fontId="2" fillId="0" borderId="0" xfId="0" applyNumberFormat="1" applyFont="1"/>
    <xf numFmtId="44" fontId="2" fillId="0" borderId="2" xfId="0" applyNumberFormat="1" applyFont="1" applyBorder="1"/>
    <xf numFmtId="0" fontId="2" fillId="0" borderId="0" xfId="0" applyFont="1" applyAlignment="1">
      <alignment horizontal="left" indent="2"/>
    </xf>
    <xf numFmtId="165" fontId="2" fillId="0" borderId="0" xfId="0" applyNumberFormat="1" applyFont="1"/>
    <xf numFmtId="9" fontId="2" fillId="0" borderId="0" xfId="0" applyNumberFormat="1" applyFont="1"/>
    <xf numFmtId="166" fontId="2" fillId="0" borderId="0" xfId="3" applyNumberFormat="1" applyFont="1"/>
    <xf numFmtId="44" fontId="2" fillId="0" borderId="0" xfId="3" applyFont="1"/>
    <xf numFmtId="0" fontId="2" fillId="5" borderId="0" xfId="0" applyFont="1" applyFill="1"/>
    <xf numFmtId="10" fontId="2" fillId="0" borderId="0" xfId="0" applyNumberFormat="1" applyFont="1"/>
    <xf numFmtId="0" fontId="2" fillId="0" borderId="19" xfId="0" applyFont="1" applyBorder="1" applyAlignment="1">
      <alignment horizontal="center"/>
    </xf>
    <xf numFmtId="10" fontId="2" fillId="0" borderId="0" xfId="0" applyNumberFormat="1" applyFont="1" applyAlignment="1">
      <alignment horizontal="center"/>
    </xf>
    <xf numFmtId="176" fontId="2" fillId="0" borderId="0" xfId="0" applyNumberFormat="1" applyFont="1" applyAlignment="1">
      <alignment horizontal="center"/>
    </xf>
    <xf numFmtId="4" fontId="2" fillId="0" borderId="0" xfId="0" applyNumberFormat="1" applyFont="1" applyAlignment="1">
      <alignment horizontal="center"/>
    </xf>
    <xf numFmtId="9" fontId="2" fillId="0" borderId="0" xfId="0" applyNumberFormat="1" applyFont="1" applyAlignment="1">
      <alignment horizontal="center"/>
    </xf>
    <xf numFmtId="43" fontId="2" fillId="0" borderId="0" xfId="0" applyNumberFormat="1" applyFont="1"/>
    <xf numFmtId="0" fontId="2" fillId="0" borderId="0" xfId="0" applyFont="1" applyAlignment="1">
      <alignment horizontal="center" vertical="center"/>
    </xf>
    <xf numFmtId="0" fontId="2" fillId="0" borderId="0" xfId="0" applyFont="1" applyAlignment="1">
      <alignment vertical="center"/>
    </xf>
    <xf numFmtId="166" fontId="2" fillId="0" borderId="2" xfId="2" applyNumberFormat="1" applyFont="1" applyBorder="1"/>
    <xf numFmtId="0" fontId="2" fillId="0" borderId="12" xfId="0" applyFont="1" applyBorder="1" applyAlignment="1">
      <alignment horizontal="left"/>
    </xf>
    <xf numFmtId="0" fontId="2" fillId="0" borderId="19" xfId="0" applyFont="1" applyBorder="1"/>
    <xf numFmtId="0" fontId="2" fillId="0" borderId="24" xfId="0" applyFont="1" applyBorder="1" applyAlignment="1">
      <alignment horizontal="center"/>
    </xf>
    <xf numFmtId="8" fontId="2" fillId="0" borderId="0" xfId="0" applyNumberFormat="1" applyFont="1" applyAlignment="1">
      <alignment horizontal="center"/>
    </xf>
    <xf numFmtId="0" fontId="2" fillId="0" borderId="1" xfId="0" applyFont="1" applyBorder="1" applyAlignment="1">
      <alignment horizontal="left" indent="1"/>
    </xf>
    <xf numFmtId="0" fontId="2" fillId="0" borderId="1" xfId="0" applyFont="1" applyBorder="1" applyAlignment="1">
      <alignment horizontal="right"/>
    </xf>
    <xf numFmtId="8" fontId="2" fillId="0" borderId="0" xfId="0" applyNumberFormat="1" applyFont="1" applyAlignment="1">
      <alignment horizontal="center" vertical="center"/>
    </xf>
    <xf numFmtId="6" fontId="2" fillId="0" borderId="0" xfId="0" applyNumberFormat="1" applyFont="1" applyAlignment="1">
      <alignment horizontal="center" vertical="center"/>
    </xf>
    <xf numFmtId="3" fontId="2" fillId="0" borderId="0" xfId="0" applyNumberFormat="1" applyFont="1" applyAlignment="1">
      <alignment horizontal="center" vertical="center"/>
    </xf>
    <xf numFmtId="3" fontId="2" fillId="0" borderId="0" xfId="1" applyNumberFormat="1" applyFont="1" applyAlignment="1">
      <alignment horizontal="center" vertical="top"/>
    </xf>
    <xf numFmtId="0" fontId="2" fillId="0" borderId="3" xfId="0" applyFont="1" applyBorder="1"/>
    <xf numFmtId="0" fontId="2" fillId="0" borderId="0" xfId="28" applyFont="1" applyAlignment="1">
      <alignment horizontal="left" indent="1"/>
    </xf>
    <xf numFmtId="0" fontId="2" fillId="0" borderId="21" xfId="28" applyFont="1" applyBorder="1" applyAlignment="1">
      <alignment horizontal="left" indent="1"/>
    </xf>
    <xf numFmtId="0" fontId="2" fillId="0" borderId="0" xfId="28" applyFont="1" applyAlignment="1">
      <alignment horizontal="center"/>
    </xf>
    <xf numFmtId="0" fontId="2" fillId="16" borderId="0" xfId="28" applyFont="1" applyFill="1" applyAlignment="1">
      <alignment horizontal="center"/>
    </xf>
    <xf numFmtId="0" fontId="2" fillId="16" borderId="0" xfId="28" applyFont="1" applyFill="1" applyAlignment="1">
      <alignment horizontal="left" indent="1"/>
    </xf>
    <xf numFmtId="166" fontId="16" fillId="0" borderId="0" xfId="0" applyNumberFormat="1" applyFont="1"/>
    <xf numFmtId="166" fontId="23" fillId="0" borderId="5" xfId="0" applyNumberFormat="1" applyFont="1" applyBorder="1" applyAlignment="1">
      <alignment horizontal="center"/>
    </xf>
    <xf numFmtId="0" fontId="23" fillId="0" borderId="5" xfId="0" applyFont="1" applyBorder="1" applyAlignment="1">
      <alignment horizontal="center"/>
    </xf>
    <xf numFmtId="0" fontId="14" fillId="0" borderId="43" xfId="5" applyFont="1" applyBorder="1"/>
    <xf numFmtId="166" fontId="14" fillId="0" borderId="43" xfId="7" applyNumberFormat="1" applyFont="1" applyBorder="1"/>
    <xf numFmtId="170" fontId="14" fillId="0" borderId="43" xfId="10" applyNumberFormat="1" applyFont="1" applyBorder="1"/>
    <xf numFmtId="0" fontId="14" fillId="0" borderId="43" xfId="0" applyFont="1" applyBorder="1"/>
    <xf numFmtId="166" fontId="2" fillId="0" borderId="43" xfId="0" applyNumberFormat="1" applyFont="1" applyBorder="1"/>
    <xf numFmtId="166" fontId="14" fillId="0" borderId="43" xfId="5" applyNumberFormat="1" applyFont="1" applyBorder="1"/>
    <xf numFmtId="6" fontId="14" fillId="0" borderId="43" xfId="5" applyNumberFormat="1" applyFont="1" applyBorder="1" applyAlignment="1">
      <alignment horizontal="center"/>
    </xf>
    <xf numFmtId="0" fontId="16" fillId="0" borderId="44" xfId="0" applyFont="1" applyBorder="1"/>
    <xf numFmtId="0" fontId="2" fillId="0" borderId="45" xfId="5" quotePrefix="1" applyFont="1" applyBorder="1"/>
    <xf numFmtId="0" fontId="2" fillId="0" borderId="46" xfId="0" applyFont="1" applyBorder="1"/>
    <xf numFmtId="6" fontId="2" fillId="0" borderId="45" xfId="0" applyNumberFormat="1" applyFont="1" applyBorder="1"/>
    <xf numFmtId="6" fontId="93" fillId="0" borderId="43" xfId="0" applyNumberFormat="1" applyFont="1" applyBorder="1"/>
    <xf numFmtId="0" fontId="14" fillId="0" borderId="43" xfId="0" applyFont="1" applyBorder="1" applyAlignment="1">
      <alignment horizontal="left"/>
    </xf>
    <xf numFmtId="165" fontId="24" fillId="7" borderId="43" xfId="1" applyNumberFormat="1" applyFont="1" applyFill="1" applyBorder="1"/>
    <xf numFmtId="165" fontId="14" fillId="0" borderId="47" xfId="1" applyNumberFormat="1" applyFont="1" applyFill="1" applyBorder="1"/>
    <xf numFmtId="165" fontId="14" fillId="0" borderId="43" xfId="1" applyNumberFormat="1" applyFont="1" applyFill="1" applyBorder="1"/>
    <xf numFmtId="6" fontId="93" fillId="0" borderId="43" xfId="0" applyNumberFormat="1" applyFont="1" applyBorder="1" applyAlignment="1">
      <alignment horizontal="right"/>
    </xf>
    <xf numFmtId="165" fontId="14" fillId="7" borderId="43" xfId="1" applyNumberFormat="1" applyFont="1" applyFill="1" applyBorder="1"/>
    <xf numFmtId="165" fontId="14" fillId="0" borderId="43" xfId="0" applyNumberFormat="1" applyFont="1" applyBorder="1"/>
    <xf numFmtId="165" fontId="12" fillId="7" borderId="43" xfId="1" applyNumberFormat="1" applyFill="1" applyBorder="1"/>
    <xf numFmtId="165" fontId="12" fillId="0" borderId="47" xfId="1" applyNumberFormat="1" applyFill="1" applyBorder="1"/>
    <xf numFmtId="165" fontId="12" fillId="0" borderId="43" xfId="1" applyNumberFormat="1" applyFill="1" applyBorder="1"/>
    <xf numFmtId="165" fontId="0" fillId="0" borderId="48" xfId="13" applyNumberFormat="1" applyFont="1" applyBorder="1"/>
    <xf numFmtId="165" fontId="0" fillId="0" borderId="49" xfId="13" applyNumberFormat="1" applyFont="1" applyBorder="1"/>
    <xf numFmtId="165" fontId="0" fillId="0" borderId="50" xfId="13" applyNumberFormat="1" applyFont="1" applyBorder="1"/>
    <xf numFmtId="166" fontId="31" fillId="0" borderId="44" xfId="0" applyNumberFormat="1" applyFont="1" applyBorder="1"/>
    <xf numFmtId="10" fontId="16" fillId="0" borderId="46" xfId="4" applyNumberFormat="1" applyFont="1" applyBorder="1" applyAlignment="1">
      <alignment horizontal="center"/>
    </xf>
    <xf numFmtId="166" fontId="23" fillId="0" borderId="44" xfId="0" applyNumberFormat="1" applyFont="1" applyBorder="1"/>
    <xf numFmtId="166" fontId="30" fillId="11" borderId="46" xfId="2" applyNumberFormat="1" applyFont="1" applyFill="1" applyBorder="1"/>
    <xf numFmtId="0" fontId="24" fillId="0" borderId="43" xfId="0" applyFont="1" applyBorder="1"/>
    <xf numFmtId="165" fontId="12" fillId="0" borderId="43" xfId="1" applyNumberFormat="1" applyBorder="1"/>
    <xf numFmtId="165" fontId="2" fillId="0" borderId="45" xfId="0" applyNumberFormat="1" applyFont="1" applyBorder="1"/>
    <xf numFmtId="0" fontId="0" fillId="0" borderId="45" xfId="0" applyBorder="1"/>
    <xf numFmtId="166" fontId="2" fillId="0" borderId="46" xfId="0" applyNumberFormat="1" applyFont="1" applyBorder="1"/>
    <xf numFmtId="0" fontId="103" fillId="0" borderId="51" xfId="0" applyFont="1" applyBorder="1" applyAlignment="1">
      <alignment horizontal="center"/>
    </xf>
    <xf numFmtId="44" fontId="103" fillId="0" borderId="52" xfId="2" applyFont="1" applyBorder="1"/>
    <xf numFmtId="0" fontId="103" fillId="0" borderId="53" xfId="0" applyFont="1" applyBorder="1" applyAlignment="1">
      <alignment horizontal="center"/>
    </xf>
    <xf numFmtId="44" fontId="103" fillId="0" borderId="54" xfId="2" applyFont="1" applyBorder="1"/>
    <xf numFmtId="0" fontId="2" fillId="0" borderId="45" xfId="0" applyFont="1" applyBorder="1"/>
    <xf numFmtId="0" fontId="20" fillId="5" borderId="44" xfId="0" applyFont="1" applyFill="1" applyBorder="1"/>
    <xf numFmtId="0" fontId="0" fillId="5" borderId="45" xfId="0" applyFill="1" applyBorder="1"/>
    <xf numFmtId="0" fontId="0" fillId="5" borderId="46" xfId="0" applyFill="1" applyBorder="1"/>
    <xf numFmtId="0" fontId="14" fillId="0" borderId="55" xfId="0" applyFont="1" applyBorder="1" applyAlignment="1">
      <alignment horizontal="center"/>
    </xf>
    <xf numFmtId="6" fontId="11" fillId="0" borderId="43" xfId="28" applyNumberFormat="1" applyBorder="1"/>
    <xf numFmtId="0" fontId="42" fillId="0" borderId="55" xfId="0" applyFont="1" applyBorder="1" applyAlignment="1">
      <alignment horizontal="center" vertical="center" wrapText="1"/>
    </xf>
    <xf numFmtId="6" fontId="18" fillId="0" borderId="55" xfId="0" applyNumberFormat="1" applyFont="1" applyBorder="1" applyAlignment="1">
      <alignment horizontal="center" vertical="center" wrapText="1"/>
    </xf>
    <xf numFmtId="0" fontId="18" fillId="0" borderId="55" xfId="0" applyFont="1" applyBorder="1" applyAlignment="1">
      <alignment horizontal="center" vertical="center" wrapText="1"/>
    </xf>
    <xf numFmtId="10" fontId="18" fillId="0" borderId="55" xfId="0" applyNumberFormat="1" applyFont="1" applyBorder="1" applyAlignment="1">
      <alignment horizontal="center" vertical="center" wrapText="1"/>
    </xf>
    <xf numFmtId="0" fontId="14" fillId="0" borderId="55" xfId="0" applyFont="1" applyBorder="1"/>
    <xf numFmtId="0" fontId="0" fillId="0" borderId="55" xfId="0" applyBorder="1"/>
    <xf numFmtId="44" fontId="0" fillId="0" borderId="55" xfId="2" applyFont="1" applyBorder="1"/>
    <xf numFmtId="6" fontId="0" fillId="0" borderId="55" xfId="2" applyNumberFormat="1" applyFont="1" applyBorder="1"/>
    <xf numFmtId="0" fontId="2" fillId="0" borderId="44" xfId="0" applyFont="1" applyBorder="1" applyAlignment="1">
      <alignment horizontal="right" indent="1"/>
    </xf>
    <xf numFmtId="167" fontId="0" fillId="0" borderId="55" xfId="4" applyNumberFormat="1" applyFont="1" applyBorder="1"/>
    <xf numFmtId="44" fontId="0" fillId="0" borderId="55" xfId="0" applyNumberFormat="1" applyBorder="1"/>
    <xf numFmtId="0" fontId="2" fillId="0" borderId="44" xfId="0" applyFont="1" applyBorder="1"/>
    <xf numFmtId="0" fontId="0" fillId="0" borderId="45" xfId="0" applyBorder="1" applyAlignment="1">
      <alignment horizontal="center"/>
    </xf>
    <xf numFmtId="8" fontId="0" fillId="0" borderId="45" xfId="0" applyNumberFormat="1" applyBorder="1" applyAlignment="1">
      <alignment horizontal="center"/>
    </xf>
    <xf numFmtId="6" fontId="0" fillId="0" borderId="45" xfId="0" applyNumberFormat="1" applyBorder="1"/>
    <xf numFmtId="3" fontId="0" fillId="0" borderId="45" xfId="0" applyNumberFormat="1" applyBorder="1" applyAlignment="1">
      <alignment horizontal="center"/>
    </xf>
    <xf numFmtId="4" fontId="0" fillId="0" borderId="46" xfId="0" applyNumberFormat="1" applyBorder="1" applyAlignment="1">
      <alignment horizontal="center"/>
    </xf>
    <xf numFmtId="0" fontId="14" fillId="0" borderId="44" xfId="0" applyFont="1" applyBorder="1" applyAlignment="1">
      <alignment horizontal="right"/>
    </xf>
    <xf numFmtId="167" fontId="14" fillId="0" borderId="45" xfId="4" applyNumberFormat="1" applyFont="1" applyBorder="1"/>
    <xf numFmtId="44" fontId="14" fillId="0" borderId="55" xfId="2" applyFont="1" applyBorder="1"/>
    <xf numFmtId="0" fontId="14" fillId="0" borderId="44" xfId="0" applyFont="1" applyBorder="1"/>
    <xf numFmtId="0" fontId="14" fillId="0" borderId="45" xfId="0" applyFont="1" applyBorder="1" applyAlignment="1">
      <alignment horizontal="right"/>
    </xf>
    <xf numFmtId="0" fontId="14" fillId="0" borderId="46" xfId="0" applyFont="1" applyBorder="1" applyAlignment="1">
      <alignment horizontal="right"/>
    </xf>
    <xf numFmtId="0" fontId="11" fillId="4" borderId="55" xfId="28" applyFill="1" applyBorder="1"/>
    <xf numFmtId="0" fontId="11" fillId="10" borderId="55" xfId="28" applyFill="1" applyBorder="1" applyAlignment="1">
      <alignment horizontal="center"/>
    </xf>
    <xf numFmtId="6" fontId="11" fillId="4" borderId="55" xfId="28" applyNumberFormat="1" applyFill="1" applyBorder="1"/>
    <xf numFmtId="0" fontId="11" fillId="0" borderId="55" xfId="28" applyBorder="1"/>
    <xf numFmtId="6" fontId="28" fillId="0" borderId="45" xfId="26" applyNumberFormat="1" applyFont="1" applyFill="1" applyBorder="1" applyAlignment="1">
      <alignment horizontal="right"/>
    </xf>
    <xf numFmtId="6" fontId="55" fillId="0" borderId="45" xfId="28" applyNumberFormat="1" applyFont="1" applyBorder="1"/>
    <xf numFmtId="0" fontId="51" fillId="14" borderId="0" xfId="26" applyFont="1" applyAlignment="1">
      <alignment horizontal="center"/>
    </xf>
    <xf numFmtId="0" fontId="55" fillId="15" borderId="0" xfId="27" applyFont="1" applyAlignment="1">
      <alignment horizontal="center"/>
    </xf>
    <xf numFmtId="0" fontId="55" fillId="0" borderId="0" xfId="28" applyFont="1" applyAlignment="1">
      <alignment horizontal="center" wrapText="1"/>
    </xf>
    <xf numFmtId="0" fontId="55" fillId="0" borderId="19" xfId="28" applyFont="1" applyBorder="1" applyAlignment="1">
      <alignment horizontal="center" wrapText="1"/>
    </xf>
    <xf numFmtId="0" fontId="2" fillId="0" borderId="0" xfId="0" quotePrefix="1" applyFont="1" applyAlignment="1">
      <alignment horizontal="left"/>
    </xf>
    <xf numFmtId="0" fontId="11" fillId="0" borderId="10" xfId="28" applyBorder="1"/>
    <xf numFmtId="8" fontId="2" fillId="0" borderId="42" xfId="0" applyNumberFormat="1" applyFont="1" applyBorder="1" applyAlignment="1">
      <alignment horizontal="center"/>
    </xf>
    <xf numFmtId="6" fontId="57" fillId="0" borderId="0" xfId="28" applyNumberFormat="1" applyFont="1"/>
    <xf numFmtId="6" fontId="28" fillId="27" borderId="0" xfId="26" applyNumberFormat="1" applyFont="1" applyFill="1" applyBorder="1" applyAlignment="1">
      <alignment horizontal="right"/>
    </xf>
    <xf numFmtId="6" fontId="28" fillId="27" borderId="38" xfId="26" applyNumberFormat="1" applyFont="1" applyFill="1" applyBorder="1" applyAlignment="1">
      <alignment horizontal="right"/>
    </xf>
    <xf numFmtId="6" fontId="28" fillId="27" borderId="45" xfId="26" applyNumberFormat="1" applyFont="1" applyFill="1" applyBorder="1" applyAlignment="1">
      <alignment horizontal="right"/>
    </xf>
    <xf numFmtId="44" fontId="12" fillId="0" borderId="1" xfId="2" applyBorder="1" applyAlignment="1">
      <alignment horizontal="center"/>
    </xf>
    <xf numFmtId="6" fontId="12" fillId="0" borderId="0" xfId="2" applyNumberFormat="1"/>
    <xf numFmtId="165" fontId="2" fillId="10" borderId="1" xfId="13" applyNumberFormat="1" applyFont="1" applyFill="1" applyBorder="1"/>
    <xf numFmtId="6" fontId="12" fillId="0" borderId="45" xfId="2" applyNumberFormat="1" applyBorder="1"/>
    <xf numFmtId="0" fontId="2" fillId="20" borderId="0" xfId="0" applyFont="1" applyFill="1"/>
    <xf numFmtId="6" fontId="2" fillId="0" borderId="1" xfId="0" applyNumberFormat="1" applyFont="1" applyBorder="1"/>
    <xf numFmtId="0" fontId="2" fillId="0" borderId="56" xfId="0" applyFont="1" applyBorder="1"/>
    <xf numFmtId="0" fontId="14" fillId="0" borderId="56" xfId="0" applyFont="1" applyBorder="1" applyAlignment="1">
      <alignment horizontal="center"/>
    </xf>
    <xf numFmtId="9" fontId="0" fillId="0" borderId="11" xfId="0" applyNumberFormat="1" applyBorder="1" applyAlignment="1">
      <alignment horizontal="center"/>
    </xf>
    <xf numFmtId="6" fontId="16" fillId="0" borderId="42" xfId="0" applyNumberFormat="1" applyFont="1" applyBorder="1" applyAlignment="1">
      <alignment horizontal="center"/>
    </xf>
    <xf numFmtId="0" fontId="16" fillId="0" borderId="0" xfId="0" applyFont="1"/>
    <xf numFmtId="9" fontId="16" fillId="0" borderId="0" xfId="0" applyNumberFormat="1" applyFont="1"/>
    <xf numFmtId="8" fontId="2" fillId="0" borderId="56" xfId="0" applyNumberFormat="1" applyFont="1" applyBorder="1"/>
    <xf numFmtId="10" fontId="11" fillId="0" borderId="0" xfId="28" applyNumberFormat="1"/>
    <xf numFmtId="0" fontId="14" fillId="0" borderId="0" xfId="0" applyFont="1" applyAlignment="1">
      <alignment vertical="center"/>
    </xf>
    <xf numFmtId="6" fontId="2" fillId="29" borderId="0" xfId="2" applyNumberFormat="1" applyFont="1" applyFill="1" applyAlignment="1">
      <alignment vertical="center"/>
    </xf>
    <xf numFmtId="10" fontId="2" fillId="29" borderId="0" xfId="4" applyNumberFormat="1" applyFont="1" applyFill="1" applyAlignment="1">
      <alignment vertical="center"/>
    </xf>
    <xf numFmtId="165" fontId="2" fillId="29" borderId="0" xfId="13" applyNumberFormat="1" applyFont="1" applyFill="1" applyAlignment="1">
      <alignment vertical="center"/>
    </xf>
    <xf numFmtId="6" fontId="2" fillId="29" borderId="0" xfId="13" applyNumberFormat="1" applyFont="1" applyFill="1" applyAlignme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6" fontId="2" fillId="0" borderId="0" xfId="2" applyNumberFormat="1" applyFont="1" applyFill="1" applyAlignment="1">
      <alignment vertical="center"/>
    </xf>
    <xf numFmtId="6" fontId="14" fillId="0" borderId="0" xfId="2" applyNumberFormat="1" applyFont="1" applyFill="1"/>
    <xf numFmtId="8" fontId="2" fillId="0" borderId="0" xfId="0" applyNumberFormat="1" applyFont="1" applyAlignment="1">
      <alignment vertical="center"/>
    </xf>
    <xf numFmtId="6" fontId="14" fillId="0" borderId="0" xfId="2" applyNumberFormat="1" applyFont="1" applyFill="1" applyAlignment="1">
      <alignment vertical="center"/>
    </xf>
    <xf numFmtId="0" fontId="51" fillId="19" borderId="0" xfId="33" applyFont="1"/>
    <xf numFmtId="0" fontId="51" fillId="19" borderId="19" xfId="33" applyFont="1" applyBorder="1"/>
    <xf numFmtId="6" fontId="28" fillId="0" borderId="19" xfId="28" applyNumberFormat="1" applyFont="1" applyBorder="1"/>
    <xf numFmtId="0" fontId="51" fillId="30" borderId="0" xfId="28" applyFont="1" applyFill="1" applyAlignment="1">
      <alignment horizontal="center"/>
    </xf>
    <xf numFmtId="0" fontId="51" fillId="30" borderId="19" xfId="28" applyFont="1" applyFill="1" applyBorder="1" applyAlignment="1">
      <alignment horizontal="center"/>
    </xf>
    <xf numFmtId="0" fontId="49" fillId="0" borderId="0" xfId="24"/>
    <xf numFmtId="165" fontId="0" fillId="7" borderId="0" xfId="1" applyNumberFormat="1" applyFont="1" applyFill="1"/>
    <xf numFmtId="0" fontId="2" fillId="0" borderId="12" xfId="0" applyFont="1" applyBorder="1" applyAlignment="1">
      <alignment horizontal="right"/>
    </xf>
    <xf numFmtId="8" fontId="0" fillId="0" borderId="0" xfId="0" applyNumberFormat="1" applyAlignment="1">
      <alignment horizontal="center"/>
    </xf>
    <xf numFmtId="4" fontId="0" fillId="0" borderId="2" xfId="0" applyNumberFormat="1" applyBorder="1" applyAlignment="1">
      <alignment horizontal="center"/>
    </xf>
    <xf numFmtId="165" fontId="12" fillId="0" borderId="0" xfId="1" applyNumberFormat="1" applyFill="1" applyBorder="1"/>
    <xf numFmtId="6" fontId="16" fillId="0" borderId="2" xfId="12" applyNumberFormat="1" applyFont="1" applyFill="1" applyBorder="1" applyAlignment="1">
      <alignment horizontal="right"/>
    </xf>
    <xf numFmtId="8" fontId="95" fillId="0" borderId="0" xfId="0" applyNumberFormat="1" applyFont="1" applyAlignment="1">
      <alignment horizontal="center"/>
    </xf>
    <xf numFmtId="165" fontId="17" fillId="0" borderId="0" xfId="1" applyNumberFormat="1" applyFont="1" applyFill="1" applyBorder="1"/>
    <xf numFmtId="165" fontId="23" fillId="32" borderId="0" xfId="1" applyNumberFormat="1" applyFont="1" applyFill="1" applyAlignment="1">
      <alignment horizontal="right"/>
    </xf>
    <xf numFmtId="0" fontId="1" fillId="34" borderId="0" xfId="53"/>
    <xf numFmtId="6" fontId="36" fillId="0" borderId="0" xfId="26" applyNumberFormat="1" applyFont="1" applyFill="1"/>
    <xf numFmtId="170" fontId="14" fillId="0" borderId="57" xfId="10" applyNumberFormat="1" applyFont="1" applyBorder="1"/>
    <xf numFmtId="0" fontId="20" fillId="6" borderId="58" xfId="5" applyFont="1" applyFill="1" applyBorder="1" applyAlignment="1">
      <alignment horizontal="center"/>
    </xf>
    <xf numFmtId="165" fontId="12" fillId="0" borderId="59" xfId="1" applyNumberFormat="1" applyFill="1" applyBorder="1"/>
    <xf numFmtId="165" fontId="12" fillId="0" borderId="57" xfId="1" applyNumberFormat="1" applyFill="1" applyBorder="1"/>
    <xf numFmtId="165" fontId="14" fillId="0" borderId="58" xfId="1" applyNumberFormat="1" applyFont="1" applyFill="1" applyBorder="1"/>
    <xf numFmtId="165" fontId="14" fillId="0" borderId="57" xfId="1" applyNumberFormat="1" applyFont="1" applyFill="1" applyBorder="1"/>
    <xf numFmtId="0" fontId="14" fillId="0" borderId="60" xfId="10" applyFont="1" applyBorder="1" applyAlignment="1">
      <alignment horizontal="center"/>
    </xf>
    <xf numFmtId="43" fontId="14" fillId="0" borderId="60" xfId="10" applyNumberFormat="1" applyFont="1" applyBorder="1" applyAlignment="1">
      <alignment horizontal="center"/>
    </xf>
    <xf numFmtId="165" fontId="0" fillId="0" borderId="61" xfId="13" applyNumberFormat="1" applyFont="1" applyBorder="1"/>
    <xf numFmtId="6" fontId="2" fillId="0" borderId="57" xfId="0" applyNumberFormat="1" applyFont="1" applyBorder="1"/>
    <xf numFmtId="6" fontId="12" fillId="0" borderId="57" xfId="2" applyNumberFormat="1" applyBorder="1"/>
    <xf numFmtId="0" fontId="20" fillId="5" borderId="59" xfId="0" applyFont="1" applyFill="1" applyBorder="1"/>
    <xf numFmtId="0" fontId="21" fillId="5" borderId="57" xfId="0" applyFont="1" applyFill="1" applyBorder="1"/>
    <xf numFmtId="0" fontId="0" fillId="5" borderId="58" xfId="0" applyFill="1" applyBorder="1"/>
    <xf numFmtId="0" fontId="55" fillId="18" borderId="59" xfId="32" applyFont="1" applyBorder="1" applyAlignment="1">
      <alignment vertical="center"/>
    </xf>
    <xf numFmtId="0" fontId="10" fillId="18" borderId="57" xfId="32" applyBorder="1"/>
    <xf numFmtId="0" fontId="10" fillId="18" borderId="58" xfId="32" applyBorder="1"/>
    <xf numFmtId="0" fontId="0" fillId="0" borderId="59" xfId="0" applyBorder="1"/>
    <xf numFmtId="0" fontId="0" fillId="0" borderId="57" xfId="0" applyBorder="1"/>
    <xf numFmtId="166" fontId="16" fillId="0" borderId="58" xfId="0" applyNumberFormat="1" applyFont="1" applyBorder="1"/>
    <xf numFmtId="0" fontId="2" fillId="0" borderId="59" xfId="0" applyFont="1" applyBorder="1" applyAlignment="1">
      <alignment horizontal="right"/>
    </xf>
    <xf numFmtId="0" fontId="0" fillId="0" borderId="57" xfId="0" applyBorder="1" applyAlignment="1">
      <alignment horizontal="center"/>
    </xf>
    <xf numFmtId="8" fontId="0" fillId="0" borderId="57" xfId="0" applyNumberFormat="1" applyBorder="1" applyAlignment="1">
      <alignment horizontal="center"/>
    </xf>
    <xf numFmtId="6" fontId="0" fillId="0" borderId="57" xfId="0" applyNumberFormat="1" applyBorder="1"/>
    <xf numFmtId="2" fontId="0" fillId="0" borderId="58" xfId="0" applyNumberFormat="1" applyBorder="1" applyAlignment="1">
      <alignment horizontal="center"/>
    </xf>
    <xf numFmtId="4" fontId="0" fillId="0" borderId="58" xfId="0" applyNumberFormat="1" applyBorder="1" applyAlignment="1">
      <alignment horizontal="center"/>
    </xf>
    <xf numFmtId="0" fontId="20" fillId="5" borderId="57" xfId="0" applyFont="1" applyFill="1" applyBorder="1"/>
    <xf numFmtId="166" fontId="20" fillId="5" borderId="57" xfId="2" applyNumberFormat="1" applyFont="1" applyFill="1" applyBorder="1"/>
    <xf numFmtId="0" fontId="20" fillId="0" borderId="59" xfId="0" applyFont="1" applyBorder="1"/>
    <xf numFmtId="0" fontId="21" fillId="0" borderId="57" xfId="0" applyFont="1" applyBorder="1"/>
    <xf numFmtId="0" fontId="20" fillId="0" borderId="57" xfId="0" applyFont="1" applyBorder="1"/>
    <xf numFmtId="166" fontId="20" fillId="0" borderId="57" xfId="2" applyNumberFormat="1" applyFont="1" applyBorder="1"/>
    <xf numFmtId="0" fontId="0" fillId="0" borderId="60" xfId="0" applyBorder="1"/>
    <xf numFmtId="0" fontId="14" fillId="0" borderId="59" xfId="0" applyFont="1" applyBorder="1" applyAlignment="1">
      <alignment horizontal="right"/>
    </xf>
    <xf numFmtId="0" fontId="2" fillId="0" borderId="57" xfId="0" applyFont="1" applyBorder="1" applyAlignment="1">
      <alignment horizontal="right"/>
    </xf>
    <xf numFmtId="166" fontId="0" fillId="0" borderId="60" xfId="0" applyNumberFormat="1" applyBorder="1"/>
    <xf numFmtId="0" fontId="14" fillId="0" borderId="57" xfId="0" applyFont="1" applyBorder="1"/>
    <xf numFmtId="166" fontId="0" fillId="0" borderId="58" xfId="0" applyNumberFormat="1" applyBorder="1"/>
    <xf numFmtId="0" fontId="1" fillId="0" borderId="19" xfId="28" applyFont="1" applyBorder="1"/>
    <xf numFmtId="0" fontId="1" fillId="4" borderId="55" xfId="28" applyFont="1" applyFill="1" applyBorder="1"/>
    <xf numFmtId="6" fontId="28" fillId="0" borderId="57" xfId="26" applyNumberFormat="1" applyFont="1" applyFill="1" applyBorder="1" applyAlignment="1">
      <alignment horizontal="right"/>
    </xf>
    <xf numFmtId="0" fontId="1" fillId="0" borderId="0" xfId="28" applyFont="1"/>
    <xf numFmtId="6" fontId="11" fillId="0" borderId="57" xfId="28" applyNumberFormat="1" applyBorder="1"/>
    <xf numFmtId="0" fontId="113" fillId="0" borderId="0" xfId="62" applyFont="1" applyAlignment="1">
      <alignment horizontal="left" vertical="center" wrapText="1"/>
    </xf>
    <xf numFmtId="0" fontId="112" fillId="0" borderId="0" xfId="62" applyAlignment="1">
      <alignment horizontal="left" vertical="top" wrapText="1"/>
    </xf>
    <xf numFmtId="0" fontId="112" fillId="0" borderId="0" xfId="62"/>
    <xf numFmtId="0" fontId="115" fillId="0" borderId="0" xfId="62" applyFont="1" applyAlignment="1">
      <alignment horizontal="left" vertical="center" wrapText="1"/>
    </xf>
    <xf numFmtId="0" fontId="117" fillId="0" borderId="0" xfId="62" applyFont="1" applyAlignment="1">
      <alignment horizontal="left" vertical="center" wrapText="1"/>
    </xf>
    <xf numFmtId="0" fontId="117" fillId="0" borderId="0" xfId="62" applyFont="1" applyAlignment="1">
      <alignment horizontal="right" vertical="center" wrapText="1" indent="9"/>
    </xf>
    <xf numFmtId="0" fontId="115" fillId="0" borderId="0" xfId="62" applyFont="1" applyAlignment="1">
      <alignment horizontal="right" vertical="top" wrapText="1" indent="1"/>
    </xf>
    <xf numFmtId="0" fontId="115" fillId="0" borderId="0" xfId="62" applyFont="1" applyAlignment="1">
      <alignment horizontal="left" vertical="top" wrapText="1"/>
    </xf>
    <xf numFmtId="0" fontId="115" fillId="0" borderId="0" xfId="62" applyFont="1" applyAlignment="1">
      <alignment horizontal="right" vertical="top" wrapText="1" indent="2"/>
    </xf>
    <xf numFmtId="0" fontId="115" fillId="0" borderId="0" xfId="62" applyFont="1" applyAlignment="1">
      <alignment horizontal="left" vertical="top" wrapText="1" indent="2"/>
    </xf>
    <xf numFmtId="0" fontId="115" fillId="0" borderId="0" xfId="62" applyFont="1" applyAlignment="1">
      <alignment horizontal="left" vertical="top" wrapText="1" indent="1"/>
    </xf>
    <xf numFmtId="0" fontId="115" fillId="0" borderId="0" xfId="62" applyFont="1" applyAlignment="1">
      <alignment horizontal="right" vertical="center" wrapText="1"/>
    </xf>
    <xf numFmtId="2" fontId="117" fillId="0" borderId="0" xfId="62" applyNumberFormat="1" applyFont="1" applyAlignment="1">
      <alignment horizontal="left" vertical="top" wrapText="1" indent="4"/>
    </xf>
    <xf numFmtId="0" fontId="117" fillId="0" borderId="0" xfId="62" applyFont="1" applyAlignment="1">
      <alignment horizontal="left" vertical="top" wrapText="1"/>
    </xf>
    <xf numFmtId="2" fontId="117" fillId="0" borderId="0" xfId="62" applyNumberFormat="1" applyFont="1" applyAlignment="1">
      <alignment horizontal="right" vertical="top" wrapText="1" indent="1"/>
    </xf>
    <xf numFmtId="0" fontId="117" fillId="0" borderId="0" xfId="62" applyFont="1" applyAlignment="1">
      <alignment horizontal="right" vertical="top" wrapText="1"/>
    </xf>
    <xf numFmtId="0" fontId="117" fillId="0" borderId="0" xfId="62" applyFont="1" applyAlignment="1">
      <alignment horizontal="right" vertical="top" wrapText="1" indent="8"/>
    </xf>
    <xf numFmtId="1" fontId="117" fillId="0" borderId="0" xfId="62" applyNumberFormat="1" applyFont="1" applyAlignment="1">
      <alignment horizontal="right" vertical="top" wrapText="1" indent="1"/>
    </xf>
    <xf numFmtId="1" fontId="117" fillId="0" borderId="0" xfId="62" applyNumberFormat="1" applyFont="1" applyAlignment="1">
      <alignment horizontal="right" vertical="top" wrapText="1"/>
    </xf>
    <xf numFmtId="2" fontId="117" fillId="0" borderId="0" xfId="62" applyNumberFormat="1" applyFont="1" applyAlignment="1">
      <alignment horizontal="right" vertical="center" wrapText="1" indent="1"/>
    </xf>
    <xf numFmtId="2" fontId="117" fillId="0" borderId="0" xfId="62" applyNumberFormat="1" applyFont="1" applyAlignment="1">
      <alignment horizontal="left" vertical="center" wrapText="1" indent="4"/>
    </xf>
    <xf numFmtId="0" fontId="117" fillId="0" borderId="0" xfId="62" applyFont="1" applyAlignment="1">
      <alignment horizontal="right" vertical="center" wrapText="1" indent="1"/>
    </xf>
    <xf numFmtId="0" fontId="117" fillId="0" borderId="0" xfId="62" applyFont="1" applyAlignment="1">
      <alignment horizontal="right" vertical="center" wrapText="1" indent="8"/>
    </xf>
    <xf numFmtId="2" fontId="117" fillId="0" borderId="0" xfId="62" applyNumberFormat="1" applyFont="1" applyAlignment="1">
      <alignment horizontal="right" vertical="center" wrapText="1"/>
    </xf>
    <xf numFmtId="1" fontId="117" fillId="0" borderId="0" xfId="62" applyNumberFormat="1" applyFont="1" applyAlignment="1">
      <alignment horizontal="right" vertical="top" wrapText="1" indent="9"/>
    </xf>
    <xf numFmtId="2" fontId="117" fillId="0" borderId="0" xfId="62" applyNumberFormat="1" applyFont="1" applyAlignment="1">
      <alignment horizontal="right" vertical="top" wrapText="1"/>
    </xf>
    <xf numFmtId="1" fontId="117" fillId="0" borderId="0" xfId="62" applyNumberFormat="1" applyFont="1" applyAlignment="1">
      <alignment horizontal="right" vertical="top" wrapText="1" indent="8"/>
    </xf>
    <xf numFmtId="0" fontId="117" fillId="0" borderId="0" xfId="62" applyFont="1" applyAlignment="1">
      <alignment horizontal="left" vertical="center" wrapText="1" indent="1"/>
    </xf>
    <xf numFmtId="0" fontId="117" fillId="0" borderId="0" xfId="62" applyFont="1" applyAlignment="1">
      <alignment horizontal="left" vertical="top" wrapText="1" indent="1"/>
    </xf>
    <xf numFmtId="0" fontId="117" fillId="0" borderId="0" xfId="62" applyFont="1" applyAlignment="1">
      <alignment horizontal="right" vertical="top" wrapText="1" indent="7"/>
    </xf>
    <xf numFmtId="0" fontId="117" fillId="0" borderId="0" xfId="62" applyFont="1" applyAlignment="1">
      <alignment horizontal="right" vertical="center" wrapText="1"/>
    </xf>
    <xf numFmtId="0" fontId="117" fillId="0" borderId="0" xfId="62" applyFont="1" applyAlignment="1">
      <alignment horizontal="right" vertical="center" wrapText="1" indent="7"/>
    </xf>
    <xf numFmtId="1" fontId="117" fillId="0" borderId="0" xfId="62" applyNumberFormat="1" applyFont="1" applyAlignment="1">
      <alignment horizontal="right" vertical="center" wrapText="1" indent="1"/>
    </xf>
    <xf numFmtId="1" fontId="117" fillId="0" borderId="0" xfId="62" applyNumberFormat="1" applyFont="1" applyAlignment="1">
      <alignment horizontal="right" vertical="center" wrapText="1"/>
    </xf>
    <xf numFmtId="0" fontId="115" fillId="0" borderId="0" xfId="62" applyFont="1" applyAlignment="1">
      <alignment horizontal="center" vertical="top" wrapText="1"/>
    </xf>
    <xf numFmtId="0" fontId="115" fillId="0" borderId="0" xfId="62" applyFont="1" applyAlignment="1">
      <alignment horizontal="left" vertical="center" wrapText="1" indent="1"/>
    </xf>
    <xf numFmtId="0" fontId="115" fillId="0" borderId="0" xfId="62" applyFont="1" applyAlignment="1">
      <alignment horizontal="left" vertical="center" wrapText="1" indent="2"/>
    </xf>
    <xf numFmtId="0" fontId="115" fillId="0" borderId="0" xfId="62" applyFont="1" applyAlignment="1">
      <alignment horizontal="right" vertical="center" wrapText="1" indent="1"/>
    </xf>
    <xf numFmtId="1" fontId="117" fillId="0" borderId="0" xfId="62" applyNumberFormat="1" applyFont="1" applyAlignment="1">
      <alignment horizontal="left" vertical="center" wrapText="1" indent="1"/>
    </xf>
    <xf numFmtId="1" fontId="117" fillId="0" borderId="0" xfId="62" applyNumberFormat="1" applyFont="1" applyAlignment="1">
      <alignment horizontal="right" vertical="center" wrapText="1" indent="7"/>
    </xf>
    <xf numFmtId="2" fontId="117" fillId="0" borderId="0" xfId="62" applyNumberFormat="1" applyFont="1" applyAlignment="1">
      <alignment horizontal="left" vertical="top" wrapText="1" indent="2"/>
    </xf>
    <xf numFmtId="4" fontId="117" fillId="0" borderId="0" xfId="62" applyNumberFormat="1" applyFont="1" applyAlignment="1">
      <alignment horizontal="right" vertical="top" wrapText="1" indent="1"/>
    </xf>
    <xf numFmtId="1" fontId="117" fillId="0" borderId="0" xfId="62" applyNumberFormat="1" applyFont="1" applyAlignment="1">
      <alignment horizontal="right" wrapText="1" indent="7"/>
    </xf>
    <xf numFmtId="2" fontId="117" fillId="0" borderId="0" xfId="62" applyNumberFormat="1" applyFont="1" applyAlignment="1">
      <alignment horizontal="left" vertical="center" wrapText="1" indent="2"/>
    </xf>
    <xf numFmtId="1" fontId="117" fillId="0" borderId="0" xfId="62" applyNumberFormat="1" applyFont="1" applyAlignment="1">
      <alignment horizontal="left" vertical="top" wrapText="1" indent="1"/>
    </xf>
    <xf numFmtId="1" fontId="117" fillId="0" borderId="0" xfId="62" applyNumberFormat="1" applyFont="1" applyAlignment="1">
      <alignment horizontal="left" vertical="top" wrapText="1" indent="5"/>
    </xf>
    <xf numFmtId="0" fontId="117" fillId="0" borderId="0" xfId="62" applyFont="1" applyAlignment="1">
      <alignment horizontal="left" vertical="top" wrapText="1" indent="4"/>
    </xf>
    <xf numFmtId="4" fontId="117" fillId="0" borderId="0" xfId="62" applyNumberFormat="1" applyFont="1" applyAlignment="1">
      <alignment horizontal="right" vertical="top" wrapText="1"/>
    </xf>
    <xf numFmtId="0" fontId="117" fillId="0" borderId="0" xfId="62" applyFont="1" applyAlignment="1">
      <alignment horizontal="left" vertical="top" wrapText="1" indent="2"/>
    </xf>
    <xf numFmtId="0" fontId="117" fillId="0" borderId="0" xfId="62" applyFont="1" applyAlignment="1">
      <alignment horizontal="right" vertical="top" wrapText="1" indent="15"/>
    </xf>
    <xf numFmtId="0" fontId="117" fillId="0" borderId="0" xfId="62" applyFont="1" applyAlignment="1">
      <alignment horizontal="right" vertical="center" wrapText="1" indent="15"/>
    </xf>
    <xf numFmtId="0" fontId="115" fillId="0" borderId="0" xfId="62" applyFont="1" applyAlignment="1">
      <alignment horizontal="right" vertical="center" wrapText="1" indent="2"/>
    </xf>
    <xf numFmtId="0" fontId="115" fillId="0" borderId="0" xfId="62" applyFont="1" applyAlignment="1">
      <alignment horizontal="left" wrapText="1" indent="2"/>
    </xf>
    <xf numFmtId="0" fontId="115" fillId="0" borderId="0" xfId="62" applyFont="1" applyAlignment="1">
      <alignment horizontal="right" wrapText="1" indent="1"/>
    </xf>
    <xf numFmtId="0" fontId="115" fillId="0" borderId="0" xfId="62" applyFont="1" applyAlignment="1">
      <alignment horizontal="right" vertical="top" wrapText="1" indent="11"/>
    </xf>
    <xf numFmtId="0" fontId="117" fillId="0" borderId="0" xfId="62" applyFont="1" applyAlignment="1">
      <alignment horizontal="right" vertical="top" wrapText="1" indent="6"/>
    </xf>
    <xf numFmtId="0" fontId="122" fillId="0" borderId="0" xfId="62" applyFont="1" applyAlignment="1">
      <alignment horizontal="right" vertical="top" wrapText="1"/>
    </xf>
    <xf numFmtId="1" fontId="117" fillId="0" borderId="0" xfId="62" applyNumberFormat="1" applyFont="1" applyAlignment="1">
      <alignment horizontal="left" vertical="top" wrapText="1" indent="4"/>
    </xf>
    <xf numFmtId="0" fontId="117" fillId="0" borderId="0" xfId="62" applyFont="1" applyAlignment="1">
      <alignment horizontal="left" vertical="center" wrapText="1" indent="2"/>
    </xf>
    <xf numFmtId="1" fontId="117" fillId="0" borderId="0" xfId="62" applyNumberFormat="1" applyFont="1" applyAlignment="1">
      <alignment horizontal="right" vertical="top" wrapText="1" indent="7"/>
    </xf>
    <xf numFmtId="1" fontId="117" fillId="0" borderId="0" xfId="62" applyNumberFormat="1" applyFont="1" applyAlignment="1">
      <alignment horizontal="left" vertical="top" wrapText="1" indent="2"/>
    </xf>
    <xf numFmtId="0" fontId="115" fillId="0" borderId="0" xfId="62" applyFont="1" applyAlignment="1">
      <alignment horizontal="right" vertical="top" wrapText="1" indent="6"/>
    </xf>
    <xf numFmtId="0" fontId="115" fillId="0" borderId="0" xfId="62" applyFont="1" applyAlignment="1">
      <alignment horizontal="right" vertical="top" wrapText="1"/>
    </xf>
    <xf numFmtId="0" fontId="117" fillId="0" borderId="0" xfId="62" applyFont="1" applyAlignment="1">
      <alignment horizontal="right" vertical="top" wrapText="1" indent="13"/>
    </xf>
    <xf numFmtId="0" fontId="117" fillId="0" borderId="0" xfId="62" applyFont="1" applyAlignment="1">
      <alignment horizontal="right" vertical="top" wrapText="1" indent="12"/>
    </xf>
    <xf numFmtId="1" fontId="117" fillId="0" borderId="0" xfId="62" applyNumberFormat="1" applyFont="1" applyAlignment="1">
      <alignment horizontal="right" vertical="center" wrapText="1" indent="9"/>
    </xf>
    <xf numFmtId="0" fontId="117" fillId="0" borderId="0" xfId="62" applyFont="1" applyAlignment="1">
      <alignment horizontal="right" vertical="top" wrapText="1" indent="1"/>
    </xf>
    <xf numFmtId="0" fontId="124" fillId="0" borderId="0" xfId="62" applyFont="1" applyAlignment="1">
      <alignment horizontal="left" vertical="center" wrapText="1"/>
    </xf>
    <xf numFmtId="0" fontId="115" fillId="0" borderId="0" xfId="62" applyFont="1" applyAlignment="1">
      <alignment horizontal="right" vertical="center" wrapText="1" indent="10"/>
    </xf>
    <xf numFmtId="0" fontId="117" fillId="0" borderId="0" xfId="62" applyFont="1" applyAlignment="1">
      <alignment horizontal="right" vertical="top" wrapText="1" indent="9"/>
    </xf>
    <xf numFmtId="0" fontId="126" fillId="0" borderId="0" xfId="62" applyFont="1" applyAlignment="1">
      <alignment horizontal="right" vertical="top" wrapText="1" indent="1"/>
    </xf>
    <xf numFmtId="0" fontId="117" fillId="0" borderId="0" xfId="62" applyFont="1" applyAlignment="1">
      <alignment horizontal="center" vertical="center" wrapText="1"/>
    </xf>
    <xf numFmtId="1" fontId="117" fillId="0" borderId="0" xfId="62" applyNumberFormat="1" applyFont="1" applyAlignment="1">
      <alignment horizontal="center" vertical="top" wrapText="1"/>
    </xf>
    <xf numFmtId="1" fontId="115" fillId="0" borderId="0" xfId="62" applyNumberFormat="1" applyFont="1" applyAlignment="1">
      <alignment horizontal="right" vertical="center" wrapText="1" indent="7"/>
    </xf>
    <xf numFmtId="1" fontId="115" fillId="0" borderId="0" xfId="62" applyNumberFormat="1" applyFont="1" applyAlignment="1">
      <alignment horizontal="right" vertical="center" wrapText="1" indent="1"/>
    </xf>
    <xf numFmtId="2" fontId="115" fillId="0" borderId="0" xfId="62" applyNumberFormat="1" applyFont="1" applyAlignment="1">
      <alignment horizontal="right" vertical="center" wrapText="1" indent="2"/>
    </xf>
    <xf numFmtId="4" fontId="115" fillId="0" borderId="0" xfId="62" applyNumberFormat="1" applyFont="1" applyAlignment="1">
      <alignment horizontal="right" vertical="center" wrapText="1" indent="1"/>
    </xf>
    <xf numFmtId="2" fontId="115" fillId="0" borderId="0" xfId="62" applyNumberFormat="1" applyFont="1" applyAlignment="1">
      <alignment horizontal="left" vertical="center" wrapText="1" indent="4"/>
    </xf>
    <xf numFmtId="0" fontId="115" fillId="0" borderId="0" xfId="62" applyFont="1" applyAlignment="1">
      <alignment horizontal="right" vertical="top" wrapText="1" indent="7"/>
    </xf>
    <xf numFmtId="0" fontId="115" fillId="0" borderId="0" xfId="62" applyFont="1" applyAlignment="1">
      <alignment horizontal="right" wrapText="1" indent="7"/>
    </xf>
    <xf numFmtId="0" fontId="115" fillId="0" borderId="0" xfId="62" applyFont="1" applyAlignment="1">
      <alignment horizontal="right" wrapText="1" indent="2"/>
    </xf>
    <xf numFmtId="4" fontId="117" fillId="0" borderId="0" xfId="62" applyNumberFormat="1" applyFont="1" applyAlignment="1">
      <alignment horizontal="right" vertical="center" wrapText="1"/>
    </xf>
    <xf numFmtId="1" fontId="115" fillId="0" borderId="0" xfId="62" applyNumberFormat="1" applyFont="1" applyAlignment="1">
      <alignment horizontal="right" vertical="center" wrapText="1"/>
    </xf>
    <xf numFmtId="0" fontId="115" fillId="0" borderId="0" xfId="62" applyFont="1" applyAlignment="1">
      <alignment horizontal="right" vertical="center" wrapText="1" indent="7"/>
    </xf>
    <xf numFmtId="173" fontId="128" fillId="0" borderId="0" xfId="62" applyNumberFormat="1" applyFont="1" applyAlignment="1">
      <alignment horizontal="left" vertical="top"/>
    </xf>
    <xf numFmtId="4" fontId="112" fillId="0" borderId="0" xfId="62" applyNumberFormat="1"/>
    <xf numFmtId="10" fontId="112" fillId="0" borderId="0" xfId="62" applyNumberFormat="1"/>
    <xf numFmtId="8" fontId="112" fillId="0" borderId="0" xfId="62" applyNumberFormat="1"/>
    <xf numFmtId="165" fontId="93" fillId="0" borderId="0" xfId="0" applyNumberFormat="1" applyFont="1"/>
    <xf numFmtId="190" fontId="2" fillId="0" borderId="0" xfId="0" applyNumberFormat="1" applyFont="1"/>
    <xf numFmtId="6" fontId="0" fillId="0" borderId="1" xfId="0" applyNumberFormat="1" applyBorder="1"/>
    <xf numFmtId="0" fontId="0" fillId="0" borderId="45" xfId="0" applyBorder="1" applyAlignment="1">
      <alignment horizontal="right"/>
    </xf>
    <xf numFmtId="0" fontId="106" fillId="0" borderId="0" xfId="51" applyFill="1" applyAlignment="1">
      <alignment horizontal="center"/>
    </xf>
    <xf numFmtId="165" fontId="106" fillId="0" borderId="0" xfId="51" applyNumberFormat="1" applyFill="1"/>
    <xf numFmtId="0" fontId="14" fillId="0" borderId="57" xfId="0" applyFont="1" applyBorder="1" applyAlignment="1">
      <alignment horizontal="left"/>
    </xf>
    <xf numFmtId="44" fontId="96" fillId="0" borderId="0" xfId="25" applyNumberFormat="1" applyFont="1" applyFill="1" applyAlignment="1">
      <alignment horizontal="center"/>
    </xf>
    <xf numFmtId="44" fontId="96" fillId="0" borderId="0" xfId="25" applyNumberFormat="1" applyFont="1" applyFill="1" applyBorder="1" applyAlignment="1">
      <alignment horizontal="center"/>
    </xf>
    <xf numFmtId="44" fontId="97" fillId="0" borderId="0" xfId="40" applyNumberFormat="1" applyFont="1" applyFill="1" applyAlignment="1">
      <alignment horizontal="center"/>
    </xf>
    <xf numFmtId="44" fontId="97" fillId="0" borderId="0" xfId="40" applyNumberFormat="1" applyFont="1" applyFill="1" applyBorder="1" applyAlignment="1">
      <alignment horizontal="center"/>
    </xf>
    <xf numFmtId="165" fontId="106" fillId="7" borderId="0" xfId="51" applyNumberFormat="1" applyFill="1"/>
    <xf numFmtId="9" fontId="18" fillId="0" borderId="10" xfId="0" applyNumberFormat="1" applyFont="1" applyBorder="1" applyAlignment="1">
      <alignment horizontal="center" vertical="center" wrapText="1"/>
    </xf>
    <xf numFmtId="9" fontId="18" fillId="0" borderId="4" xfId="0" applyNumberFormat="1" applyFont="1" applyBorder="1" applyAlignment="1">
      <alignment horizontal="center" vertical="center" wrapText="1"/>
    </xf>
    <xf numFmtId="0" fontId="28" fillId="0" borderId="0" xfId="0" applyFont="1" applyAlignment="1">
      <alignment horizontal="left" vertical="top" wrapText="1"/>
    </xf>
    <xf numFmtId="0" fontId="18" fillId="0" borderId="0" xfId="0" applyFont="1" applyAlignment="1">
      <alignment horizontal="left" vertical="top" wrapText="1"/>
    </xf>
    <xf numFmtId="0" fontId="0" fillId="0" borderId="0" xfId="0" applyAlignment="1">
      <alignment vertical="top" wrapText="1"/>
    </xf>
    <xf numFmtId="0" fontId="33" fillId="0" borderId="0" xfId="10" applyFont="1" applyAlignment="1">
      <alignment horizontal="left" vertical="top" wrapText="1" indent="1"/>
    </xf>
    <xf numFmtId="0" fontId="33" fillId="0" borderId="17" xfId="10" applyFont="1" applyBorder="1" applyAlignment="1">
      <alignment horizontal="left" vertical="top" wrapText="1" indent="1"/>
    </xf>
    <xf numFmtId="0" fontId="2" fillId="0" borderId="0" xfId="0" applyFont="1" applyAlignment="1">
      <alignment horizontal="center"/>
    </xf>
    <xf numFmtId="0" fontId="20" fillId="5" borderId="0" xfId="10" applyFont="1" applyFill="1" applyAlignment="1">
      <alignment horizontal="center"/>
    </xf>
    <xf numFmtId="0" fontId="105" fillId="19" borderId="0" xfId="33" applyFont="1" applyAlignment="1">
      <alignment horizontal="center"/>
    </xf>
    <xf numFmtId="0" fontId="104" fillId="13" borderId="0" xfId="25" applyFont="1" applyAlignment="1">
      <alignment horizontal="center"/>
    </xf>
    <xf numFmtId="0" fontId="49" fillId="0" borderId="0" xfId="24" applyAlignment="1">
      <alignment horizontal="center"/>
    </xf>
    <xf numFmtId="0" fontId="20" fillId="5" borderId="0" xfId="0" applyFont="1" applyFill="1" applyAlignment="1">
      <alignment horizontal="center"/>
    </xf>
    <xf numFmtId="0" fontId="14" fillId="0" borderId="0" xfId="0" applyFont="1" applyAlignment="1">
      <alignment horizontal="center"/>
    </xf>
    <xf numFmtId="0" fontId="51" fillId="13" borderId="0" xfId="25" applyFont="1" applyAlignment="1">
      <alignment horizontal="center"/>
    </xf>
    <xf numFmtId="0" fontId="20" fillId="5" borderId="59" xfId="0" applyFont="1" applyFill="1" applyBorder="1" applyAlignment="1">
      <alignment horizontal="center"/>
    </xf>
    <xf numFmtId="0" fontId="20" fillId="5" borderId="57" xfId="0" applyFont="1" applyFill="1" applyBorder="1" applyAlignment="1">
      <alignment horizontal="center"/>
    </xf>
    <xf numFmtId="0" fontId="20" fillId="5" borderId="58" xfId="0" applyFont="1" applyFill="1" applyBorder="1" applyAlignment="1">
      <alignment horizontal="center"/>
    </xf>
    <xf numFmtId="0" fontId="117" fillId="0" borderId="0" xfId="62" applyFont="1" applyAlignment="1">
      <alignment horizontal="left" vertical="center" wrapText="1"/>
    </xf>
    <xf numFmtId="0" fontId="51" fillId="17" borderId="0" xfId="26" applyFont="1" applyFill="1" applyAlignment="1">
      <alignment horizontal="center"/>
    </xf>
    <xf numFmtId="0" fontId="20" fillId="24" borderId="0" xfId="0" applyFont="1" applyFill="1" applyAlignment="1">
      <alignment horizontal="center"/>
    </xf>
    <xf numFmtId="0" fontId="51" fillId="14" borderId="0" xfId="26" applyFont="1" applyAlignment="1">
      <alignment horizontal="center"/>
    </xf>
    <xf numFmtId="0" fontId="55" fillId="15" borderId="0" xfId="27" applyFont="1" applyAlignment="1">
      <alignment horizontal="center"/>
    </xf>
    <xf numFmtId="0" fontId="51" fillId="14" borderId="14" xfId="26" applyFont="1" applyBorder="1" applyAlignment="1">
      <alignment horizontal="center"/>
    </xf>
    <xf numFmtId="0" fontId="51" fillId="14" borderId="15" xfId="26" applyFont="1" applyBorder="1" applyAlignment="1">
      <alignment horizontal="center"/>
    </xf>
    <xf numFmtId="0" fontId="51" fillId="14" borderId="16" xfId="26" applyFont="1" applyBorder="1" applyAlignment="1">
      <alignment horizontal="center"/>
    </xf>
    <xf numFmtId="0" fontId="55" fillId="0" borderId="0" xfId="28" applyFont="1" applyAlignment="1">
      <alignment horizontal="center" wrapText="1"/>
    </xf>
    <xf numFmtId="0" fontId="55" fillId="0" borderId="19" xfId="28" applyFont="1" applyBorder="1" applyAlignment="1">
      <alignment horizontal="center" wrapText="1"/>
    </xf>
    <xf numFmtId="0" fontId="57" fillId="11" borderId="26" xfId="36" applyFont="1" applyFill="1" applyBorder="1" applyAlignment="1">
      <alignment horizontal="left"/>
    </xf>
    <xf numFmtId="0" fontId="57" fillId="11" borderId="0" xfId="36" applyFont="1" applyFill="1" applyAlignment="1">
      <alignment horizontal="left"/>
    </xf>
    <xf numFmtId="44" fontId="90" fillId="11" borderId="0" xfId="38" applyFont="1" applyFill="1" applyAlignment="1">
      <alignment horizontal="center"/>
    </xf>
    <xf numFmtId="0" fontId="55" fillId="11" borderId="0" xfId="36" applyFont="1" applyFill="1" applyAlignment="1">
      <alignment horizontal="center" wrapText="1"/>
    </xf>
    <xf numFmtId="0" fontId="55" fillId="11" borderId="25" xfId="36" applyFont="1" applyFill="1" applyBorder="1" applyAlignment="1">
      <alignment horizontal="center" wrapText="1"/>
    </xf>
    <xf numFmtId="0" fontId="55" fillId="11" borderId="1" xfId="36" applyFont="1" applyFill="1" applyBorder="1" applyAlignment="1">
      <alignment horizontal="center" wrapText="1"/>
    </xf>
    <xf numFmtId="0" fontId="55" fillId="11" borderId="27" xfId="36" applyFont="1" applyFill="1" applyBorder="1" applyAlignment="1">
      <alignment horizontal="center" wrapText="1"/>
    </xf>
    <xf numFmtId="0" fontId="86" fillId="11" borderId="0" xfId="36" applyFont="1" applyFill="1" applyAlignment="1">
      <alignment horizontal="center"/>
    </xf>
    <xf numFmtId="0" fontId="57" fillId="11" borderId="29" xfId="36" applyFont="1" applyFill="1" applyBorder="1" applyAlignment="1">
      <alignment horizontal="left"/>
    </xf>
    <xf numFmtId="0" fontId="57" fillId="11" borderId="57" xfId="36" applyFont="1" applyFill="1" applyBorder="1" applyAlignment="1">
      <alignment horizontal="left"/>
    </xf>
    <xf numFmtId="0" fontId="52" fillId="0" borderId="0" xfId="26" applyFill="1"/>
    <xf numFmtId="6" fontId="52" fillId="0" borderId="0" xfId="26" applyNumberFormat="1" applyFill="1"/>
    <xf numFmtId="14" fontId="52" fillId="0" borderId="0" xfId="26" applyNumberFormat="1" applyFill="1"/>
    <xf numFmtId="0" fontId="28" fillId="0" borderId="0" xfId="52" applyFont="1" applyFill="1" applyAlignment="1">
      <alignment horizontal="left" indent="1"/>
    </xf>
    <xf numFmtId="0" fontId="28" fillId="0" borderId="0" xfId="51" applyFont="1" applyFill="1" applyAlignment="1">
      <alignment horizontal="left" indent="1"/>
    </xf>
    <xf numFmtId="0" fontId="0" fillId="0" borderId="0" xfId="0" applyFont="1" applyAlignment="1">
      <alignment horizontal="left" indent="1"/>
    </xf>
    <xf numFmtId="165" fontId="2" fillId="0" borderId="0" xfId="1" applyNumberFormat="1" applyFont="1" applyFill="1"/>
    <xf numFmtId="165" fontId="28" fillId="0" borderId="0" xfId="52" applyNumberFormat="1" applyFont="1" applyFill="1"/>
    <xf numFmtId="165" fontId="28" fillId="0" borderId="0" xfId="51" applyNumberFormat="1" applyFont="1" applyFill="1"/>
    <xf numFmtId="165" fontId="28" fillId="0" borderId="0" xfId="61" applyNumberFormat="1" applyFont="1" applyFill="1"/>
    <xf numFmtId="165" fontId="28" fillId="7" borderId="0" xfId="52" applyNumberFormat="1" applyFont="1" applyFill="1"/>
    <xf numFmtId="166" fontId="16" fillId="0" borderId="2" xfId="0" applyNumberFormat="1" applyFont="1" applyFill="1" applyBorder="1"/>
    <xf numFmtId="0" fontId="2" fillId="0" borderId="0" xfId="0" applyFont="1" applyFill="1"/>
    <xf numFmtId="0" fontId="0" fillId="0" borderId="0" xfId="0" applyFill="1"/>
    <xf numFmtId="0" fontId="28" fillId="0" borderId="0" xfId="34" applyFont="1" applyFill="1" applyAlignment="1">
      <alignment horizontal="left" indent="1"/>
    </xf>
  </cellXfs>
  <cellStyles count="63">
    <cellStyle name="20% - Accent1" xfId="32" builtinId="30"/>
    <cellStyle name="20% - Accent2" xfId="53" builtinId="34"/>
    <cellStyle name="40% - Accent1" xfId="27" builtinId="31"/>
    <cellStyle name="40% - Accent2 2" xfId="55" xr:uid="{B8AB449C-58B8-4E89-A661-A2D62B13B4E4}"/>
    <cellStyle name="40% - Accent3" xfId="35" builtinId="39"/>
    <cellStyle name="40% - Accent3 2" xfId="56" xr:uid="{3E7E8779-7D24-4DB4-BB00-F8B0DF691F64}"/>
    <cellStyle name="40% - Accent6 2" xfId="60" xr:uid="{181D3544-AA4B-4BBB-9086-897D22F4EB8C}"/>
    <cellStyle name="60% - Accent6" xfId="40" builtinId="52"/>
    <cellStyle name="Accent1" xfId="26" builtinId="29"/>
    <cellStyle name="Accent1 2" xfId="57" xr:uid="{8E10E507-D6DE-4DDC-8974-48ED6E850508}"/>
    <cellStyle name="Accent4" xfId="33" builtinId="41"/>
    <cellStyle name="Accent6" xfId="25" builtinId="49"/>
    <cellStyle name="Bad" xfId="51" builtinId="27"/>
    <cellStyle name="Bad 2" xfId="59" xr:uid="{68C9D80D-D63E-4D6F-90C4-42E7B3120F16}"/>
    <cellStyle name="Comma" xfId="1" builtinId="3"/>
    <cellStyle name="Comma 2" xfId="6" xr:uid="{00000000-0005-0000-0000-000001000000}"/>
    <cellStyle name="Comma 2 2" xfId="11" xr:uid="{00000000-0005-0000-0000-000002000000}"/>
    <cellStyle name="Comma 2 3" xfId="58" xr:uid="{7CB33B2D-48F9-4520-9752-194266900E88}"/>
    <cellStyle name="Comma 3" xfId="13" xr:uid="{00000000-0005-0000-0000-000003000000}"/>
    <cellStyle name="Comma 4" xfId="23" xr:uid="{00000000-0005-0000-0000-000004000000}"/>
    <cellStyle name="Comma 5" xfId="37" xr:uid="{97361930-60FB-49F0-9BD8-1D66122D61C6}"/>
    <cellStyle name="Comma 6" xfId="44" xr:uid="{9E888740-3CB9-4DDA-8102-76867E8B34C4}"/>
    <cellStyle name="Comma 7" xfId="49" xr:uid="{D8B2E331-A891-41A8-87EC-FBA475D0CD27}"/>
    <cellStyle name="Currency" xfId="2" builtinId="4"/>
    <cellStyle name="Currency 2" xfId="3" xr:uid="{00000000-0005-0000-0000-000006000000}"/>
    <cellStyle name="Currency 2 2" xfId="38" xr:uid="{3BCD26E9-7D73-4F6A-B61E-B2C003D2556F}"/>
    <cellStyle name="Currency 3" xfId="14" xr:uid="{00000000-0005-0000-0000-000007000000}"/>
    <cellStyle name="Currency 4" xfId="31" xr:uid="{B1FD28A5-5DE5-4474-B33D-8FEFD364E554}"/>
    <cellStyle name="Currency 5" xfId="50" xr:uid="{F8C76691-3867-4048-A48F-8A3D4CA30163}"/>
    <cellStyle name="Good" xfId="61" builtinId="26"/>
    <cellStyle name="Hyperlink" xfId="24" builtinId="8"/>
    <cellStyle name="Hyperlink 2" xfId="42" xr:uid="{16D83230-AE81-4F9E-8C9D-299FC2DDBA8E}"/>
    <cellStyle name="Neutral" xfId="52" builtinId="28"/>
    <cellStyle name="Normal" xfId="0" builtinId="0"/>
    <cellStyle name="Normal 10" xfId="46" xr:uid="{4E149AB4-40D3-4BCA-8320-5F0166E09D6E}"/>
    <cellStyle name="Normal 11" xfId="62" xr:uid="{5DE84CA6-2FD7-4ECE-80C0-722BCE8E6BAA}"/>
    <cellStyle name="Normal 2" xfId="5" xr:uid="{00000000-0005-0000-0000-000009000000}"/>
    <cellStyle name="Normal 2 2" xfId="10" xr:uid="{00000000-0005-0000-0000-00000A000000}"/>
    <cellStyle name="Normal 2 3" xfId="30" xr:uid="{5F3C42FC-E6D6-4561-9B51-07E2F832B6CA}"/>
    <cellStyle name="Normal 2 4" xfId="47" xr:uid="{11838949-5C9A-40B8-AAAD-6BF36D160924}"/>
    <cellStyle name="Normal 3" xfId="9" xr:uid="{00000000-0005-0000-0000-00000B000000}"/>
    <cellStyle name="Normal 3 2" xfId="43" xr:uid="{7E3C9D21-8FB7-48CC-A60D-9DA665E92D5F}"/>
    <cellStyle name="Normal 3 3" xfId="54" xr:uid="{7C9E3F0A-70F4-40B7-9038-82873F11FB4A}"/>
    <cellStyle name="Normal 4" xfId="8" xr:uid="{00000000-0005-0000-0000-00000C000000}"/>
    <cellStyle name="Normal 5" xfId="22" xr:uid="{00000000-0005-0000-0000-00000D000000}"/>
    <cellStyle name="Normal 6" xfId="28" xr:uid="{CFECB08B-76BB-41DA-B4B4-9E9393A1477D}"/>
    <cellStyle name="Normal 7" xfId="29" xr:uid="{8161AA81-848D-49EB-8484-770534499EE6}"/>
    <cellStyle name="Normal 8" xfId="34" xr:uid="{A1542CFA-B2CB-4538-89E1-E270706DB8A7}"/>
    <cellStyle name="Normal 8 2" xfId="36" xr:uid="{07F2B53D-04FD-44DF-AB06-4FD2E8055FCD}"/>
    <cellStyle name="Normal 9" xfId="41" xr:uid="{668FC191-D656-4A9D-8D6E-7C56D5FFC84A}"/>
    <cellStyle name="Percent" xfId="4" builtinId="5"/>
    <cellStyle name="Percent 2" xfId="7" xr:uid="{00000000-0005-0000-0000-00000F000000}"/>
    <cellStyle name="Percent 2 2" xfId="12" xr:uid="{00000000-0005-0000-0000-000010000000}"/>
    <cellStyle name="Percent 2 2 2" xfId="48" xr:uid="{0D135B84-358C-436A-BC0B-68EE6726DB68}"/>
    <cellStyle name="Percent 3" xfId="15" xr:uid="{00000000-0005-0000-0000-000011000000}"/>
    <cellStyle name="Percent 4" xfId="39" xr:uid="{79C5FAB2-7FCE-4E04-A52E-EE1D03F3AEDF}"/>
    <cellStyle name="Percent 5" xfId="45" xr:uid="{F0A42C10-063D-4709-ADB8-157D02BA9AFC}"/>
    <cellStyle name="Style 1163" xfId="16" xr:uid="{00000000-0005-0000-0000-000012000000}"/>
    <cellStyle name="Style 1167" xfId="17" xr:uid="{00000000-0005-0000-0000-000013000000}"/>
    <cellStyle name="Style 1301" xfId="18" xr:uid="{00000000-0005-0000-0000-000014000000}"/>
    <cellStyle name="Style 1305" xfId="19" xr:uid="{00000000-0005-0000-0000-000015000000}"/>
    <cellStyle name="Style 1541" xfId="20" xr:uid="{00000000-0005-0000-0000-000016000000}"/>
    <cellStyle name="Style 1545" xfId="21" xr:uid="{00000000-0005-0000-0000-000017000000}"/>
  </cellStyles>
  <dxfs count="27">
    <dxf>
      <font>
        <color theme="9" tint="-0.24994659260841701"/>
      </font>
    </dxf>
    <dxf>
      <font>
        <b/>
        <i/>
        <color theme="0"/>
      </font>
      <fill>
        <patternFill>
          <bgColor rgb="FFFF0000"/>
        </patternFill>
      </fill>
    </dxf>
    <dxf>
      <font>
        <color rgb="FF0000FF"/>
      </font>
      <fill>
        <patternFill>
          <bgColor rgb="FFFFFF00"/>
        </patternFill>
      </fill>
    </dxf>
    <dxf>
      <numFmt numFmtId="191" formatCode="&quot; up to &quot;0.00&quot;X EM to LP&quot;"/>
    </dxf>
    <dxf>
      <numFmt numFmtId="191" formatCode="&quot; up to &quot;0.00&quot;X EM to LP&quot;"/>
    </dxf>
    <dxf>
      <numFmt numFmtId="191" formatCode="&quot; up to &quot;0.00&quot;X EM to LP&quot;"/>
    </dxf>
    <dxf>
      <numFmt numFmtId="191" formatCode="&quot; up to &quot;0.00&quot;X EM to LP&quot;"/>
    </dxf>
    <dxf>
      <numFmt numFmtId="177" formatCode="0.00&quot;X&quot;"/>
    </dxf>
    <dxf>
      <numFmt numFmtId="191" formatCode="&quot; up to &quot;0.00&quot;X EM to LP&quot;"/>
    </dxf>
    <dxf>
      <font>
        <color theme="0"/>
      </font>
      <numFmt numFmtId="0" formatCode="General"/>
      <fill>
        <patternFill patternType="none">
          <bgColor auto="1"/>
        </patternFill>
      </fill>
    </dxf>
    <dxf>
      <font>
        <color theme="0"/>
      </font>
      <numFmt numFmtId="0" formatCode="General"/>
      <fill>
        <patternFill patternType="none">
          <bgColor auto="1"/>
        </patternFill>
      </fill>
    </dxf>
    <dxf>
      <numFmt numFmtId="191" formatCode="&quot; up to &quot;0.00&quot;X EM to LP&quot;"/>
    </dxf>
    <dxf>
      <numFmt numFmtId="191" formatCode="&quot; up to &quot;0.00&quot;X EM to LP&quot;"/>
    </dxf>
    <dxf>
      <numFmt numFmtId="191" formatCode="&quot; up to &quot;0.00&quot;X EM to LP&quot;"/>
    </dxf>
    <dxf>
      <numFmt numFmtId="191" formatCode="&quot; up to &quot;0.00&quot;X EM to LP&quot;"/>
    </dxf>
    <dxf>
      <font>
        <color theme="0"/>
      </font>
      <fill>
        <patternFill patternType="none">
          <bgColor auto="1"/>
        </patternFill>
      </fill>
    </dxf>
    <dxf>
      <numFmt numFmtId="191" formatCode="&quot; up to &quot;0.00&quot;X EM to LP&quot;"/>
    </dxf>
    <dxf>
      <numFmt numFmtId="191" formatCode="&quot; up to &quot;0.00&quot;X EM to LP&quot;"/>
    </dxf>
    <dxf>
      <numFmt numFmtId="191" formatCode="&quot; up to &quot;0.00&quot;X EM to LP&quot;"/>
    </dxf>
    <dxf>
      <numFmt numFmtId="191" formatCode="&quot; up to &quot;0.00&quot;X EM to LP&quot;"/>
    </dxf>
    <dxf>
      <fill>
        <patternFill>
          <bgColor theme="3" tint="0.59996337778862885"/>
        </patternFill>
      </fill>
      <border>
        <left style="thin">
          <color auto="1"/>
        </left>
        <right style="thin">
          <color auto="1"/>
        </right>
        <top style="thin">
          <color auto="1"/>
        </top>
        <bottom style="thin">
          <color auto="1"/>
        </bottom>
      </border>
    </dxf>
    <dxf>
      <font>
        <color rgb="FF0000FF"/>
      </font>
    </dxf>
    <dxf>
      <font>
        <color rgb="FF0000FF"/>
      </font>
    </dxf>
    <dxf>
      <font>
        <b val="0"/>
        <i/>
        <color theme="0"/>
      </font>
      <fill>
        <patternFill>
          <bgColor rgb="FFFF0000"/>
        </patternFill>
      </fill>
    </dxf>
    <dxf>
      <fill>
        <patternFill patternType="solid">
          <bgColor theme="9" tint="0.79998168889431442"/>
        </patternFill>
      </fill>
    </dxf>
    <dxf>
      <font>
        <color rgb="FF0000FF"/>
      </font>
    </dxf>
    <dxf>
      <font>
        <color rgb="FF9C0006"/>
      </font>
      <fill>
        <patternFill>
          <bgColor rgb="FFFFC7CE"/>
        </patternFill>
      </fill>
    </dxf>
  </dxfs>
  <tableStyles count="0" defaultTableStyle="TableStyleMedium2" defaultPivotStyle="PivotStyleLight16"/>
  <colors>
    <mruColors>
      <color rgb="FF0000FF"/>
      <color rgb="FFFF9E42"/>
      <color rgb="FF124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Historical Expense Comparison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'IE SUMMARY'!$B$31</c:f>
              <c:strCache>
                <c:ptCount val="1"/>
                <c:pt idx="0">
                  <c:v>2022</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cene3d>
              <a:camera prst="orthographicFront">
                <a:rot lat="0" lon="0" rev="0"/>
              </a:camera>
              <a:lightRig rig="threePt" dir="t">
                <a:rot lat="0" lon="0" rev="1200000"/>
              </a:lightRig>
            </a:scene3d>
            <a:sp3d>
              <a:bevelT w="63500" h="25400"/>
            </a:sp3d>
          </c:spPr>
          <c:invertIfNegative val="0"/>
          <c:cat>
            <c:strRef>
              <c:f>'IE SUMMARY'!$A$32:$A$55</c:f>
              <c:strCache>
                <c:ptCount val="24"/>
                <c:pt idx="0">
                  <c:v>Salary Exp (0.75 FTE Mgr, 1.25 FTE Maintenance)</c:v>
                </c:pt>
                <c:pt idx="1">
                  <c:v>Payroll Taxes</c:v>
                </c:pt>
                <c:pt idx="2">
                  <c:v>Workers Comp</c:v>
                </c:pt>
                <c:pt idx="3">
                  <c:v>Electric</c:v>
                </c:pt>
                <c:pt idx="4">
                  <c:v>Gas/Propane</c:v>
                </c:pt>
                <c:pt idx="5">
                  <c:v>Trash</c:v>
                </c:pt>
                <c:pt idx="6">
                  <c:v>Sewer-septic</c:v>
                </c:pt>
                <c:pt idx="7">
                  <c:v>Water </c:v>
                </c:pt>
                <c:pt idx="8">
                  <c:v>Phone/Cable/Internet</c:v>
                </c:pt>
                <c:pt idx="9">
                  <c:v>Auto expense &amp; travel</c:v>
                </c:pt>
                <c:pt idx="10">
                  <c:v>Maintenance / Capital Reserve ($250 per space / year)</c:v>
                </c:pt>
                <c:pt idx="11">
                  <c:v>Landscaping, Grounds Maintenance, Outside Services</c:v>
                </c:pt>
                <c:pt idx="12">
                  <c:v>Equipment and Supplies</c:v>
                </c:pt>
                <c:pt idx="13">
                  <c:v>Property Taxes (Add Description of Assumptions)</c:v>
                </c:pt>
                <c:pt idx="14">
                  <c:v>Insurance </c:v>
                </c:pt>
                <c:pt idx="15">
                  <c:v>Billing Software</c:v>
                </c:pt>
                <c:pt idx="16">
                  <c:v>Legal Expenses</c:v>
                </c:pt>
                <c:pt idx="17">
                  <c:v>LLC/LP Tax</c:v>
                </c:pt>
                <c:pt idx="18">
                  <c:v>Advertising</c:v>
                </c:pt>
                <c:pt idx="19">
                  <c:v>Tax Return Preparation/accounting</c:v>
                </c:pt>
                <c:pt idx="20">
                  <c:v>Licenses and Permits</c:v>
                </c:pt>
                <c:pt idx="21">
                  <c:v>Banking and Merchant fees (est)</c:v>
                </c:pt>
                <c:pt idx="22">
                  <c:v>Office Supplies, Postage, Pager, Printing, dues, subscr, Misc.</c:v>
                </c:pt>
                <c:pt idx="23">
                  <c:v>Professional Mgmt ($2,000/mo or 5.0%)</c:v>
                </c:pt>
              </c:strCache>
            </c:strRef>
          </c:cat>
          <c:val>
            <c:numRef>
              <c:f>'IE SUMMARY'!$B$32:$B$55</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8C16-44D1-B4ED-52863D21BCB7}"/>
            </c:ext>
          </c:extLst>
        </c:ser>
        <c:ser>
          <c:idx val="1"/>
          <c:order val="1"/>
          <c:tx>
            <c:strRef>
              <c:f>'IE SUMMARY'!$C$31</c:f>
              <c:strCache>
                <c:ptCount val="1"/>
                <c:pt idx="0">
                  <c:v>2023</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cene3d>
              <a:camera prst="orthographicFront">
                <a:rot lat="0" lon="0" rev="0"/>
              </a:camera>
              <a:lightRig rig="threePt" dir="t">
                <a:rot lat="0" lon="0" rev="1200000"/>
              </a:lightRig>
            </a:scene3d>
            <a:sp3d>
              <a:bevelT w="63500" h="25400"/>
            </a:sp3d>
          </c:spPr>
          <c:invertIfNegative val="0"/>
          <c:cat>
            <c:strRef>
              <c:f>'IE SUMMARY'!$A$32:$A$55</c:f>
              <c:strCache>
                <c:ptCount val="24"/>
                <c:pt idx="0">
                  <c:v>Salary Exp (0.75 FTE Mgr, 1.25 FTE Maintenance)</c:v>
                </c:pt>
                <c:pt idx="1">
                  <c:v>Payroll Taxes</c:v>
                </c:pt>
                <c:pt idx="2">
                  <c:v>Workers Comp</c:v>
                </c:pt>
                <c:pt idx="3">
                  <c:v>Electric</c:v>
                </c:pt>
                <c:pt idx="4">
                  <c:v>Gas/Propane</c:v>
                </c:pt>
                <c:pt idx="5">
                  <c:v>Trash</c:v>
                </c:pt>
                <c:pt idx="6">
                  <c:v>Sewer-septic</c:v>
                </c:pt>
                <c:pt idx="7">
                  <c:v>Water </c:v>
                </c:pt>
                <c:pt idx="8">
                  <c:v>Phone/Cable/Internet</c:v>
                </c:pt>
                <c:pt idx="9">
                  <c:v>Auto expense &amp; travel</c:v>
                </c:pt>
                <c:pt idx="10">
                  <c:v>Maintenance / Capital Reserve ($250 per space / year)</c:v>
                </c:pt>
                <c:pt idx="11">
                  <c:v>Landscaping, Grounds Maintenance, Outside Services</c:v>
                </c:pt>
                <c:pt idx="12">
                  <c:v>Equipment and Supplies</c:v>
                </c:pt>
                <c:pt idx="13">
                  <c:v>Property Taxes (Add Description of Assumptions)</c:v>
                </c:pt>
                <c:pt idx="14">
                  <c:v>Insurance </c:v>
                </c:pt>
                <c:pt idx="15">
                  <c:v>Billing Software</c:v>
                </c:pt>
                <c:pt idx="16">
                  <c:v>Legal Expenses</c:v>
                </c:pt>
                <c:pt idx="17">
                  <c:v>LLC/LP Tax</c:v>
                </c:pt>
                <c:pt idx="18">
                  <c:v>Advertising</c:v>
                </c:pt>
                <c:pt idx="19">
                  <c:v>Tax Return Preparation/accounting</c:v>
                </c:pt>
                <c:pt idx="20">
                  <c:v>Licenses and Permits</c:v>
                </c:pt>
                <c:pt idx="21">
                  <c:v>Banking and Merchant fees (est)</c:v>
                </c:pt>
                <c:pt idx="22">
                  <c:v>Office Supplies, Postage, Pager, Printing, dues, subscr, Misc.</c:v>
                </c:pt>
                <c:pt idx="23">
                  <c:v>Professional Mgmt ($2,000/mo or 5.0%)</c:v>
                </c:pt>
              </c:strCache>
            </c:strRef>
          </c:cat>
          <c:val>
            <c:numRef>
              <c:f>'IE SUMMARY'!$C$32:$C$55</c:f>
              <c:numCache>
                <c:formatCode>"$"#,##0_);[Red]\("$"#,##0\)</c:formatCode>
                <c:ptCount val="24"/>
                <c:pt idx="0">
                  <c:v>193366.75</c:v>
                </c:pt>
                <c:pt idx="1">
                  <c:v>5966.82</c:v>
                </c:pt>
                <c:pt idx="2">
                  <c:v>0</c:v>
                </c:pt>
                <c:pt idx="3">
                  <c:v>234623.6</c:v>
                </c:pt>
                <c:pt idx="4">
                  <c:v>0</c:v>
                </c:pt>
                <c:pt idx="5">
                  <c:v>71.66</c:v>
                </c:pt>
                <c:pt idx="6">
                  <c:v>0</c:v>
                </c:pt>
                <c:pt idx="7">
                  <c:v>0</c:v>
                </c:pt>
                <c:pt idx="8">
                  <c:v>2589.75</c:v>
                </c:pt>
                <c:pt idx="9">
                  <c:v>0</c:v>
                </c:pt>
                <c:pt idx="10">
                  <c:v>70559.070000000007</c:v>
                </c:pt>
                <c:pt idx="11">
                  <c:v>33292.51</c:v>
                </c:pt>
                <c:pt idx="12">
                  <c:v>8910</c:v>
                </c:pt>
                <c:pt idx="13">
                  <c:v>161422.42000000001</c:v>
                </c:pt>
                <c:pt idx="14">
                  <c:v>17519.2</c:v>
                </c:pt>
                <c:pt idx="15">
                  <c:v>0</c:v>
                </c:pt>
                <c:pt idx="16">
                  <c:v>15069.78</c:v>
                </c:pt>
                <c:pt idx="17">
                  <c:v>0</c:v>
                </c:pt>
                <c:pt idx="18">
                  <c:v>0</c:v>
                </c:pt>
                <c:pt idx="19">
                  <c:v>0</c:v>
                </c:pt>
                <c:pt idx="20">
                  <c:v>7048.64</c:v>
                </c:pt>
                <c:pt idx="21">
                  <c:v>751.57</c:v>
                </c:pt>
                <c:pt idx="22">
                  <c:v>5501.25</c:v>
                </c:pt>
                <c:pt idx="23">
                  <c:v>0</c:v>
                </c:pt>
              </c:numCache>
            </c:numRef>
          </c:val>
          <c:extLst>
            <c:ext xmlns:c16="http://schemas.microsoft.com/office/drawing/2014/chart" uri="{C3380CC4-5D6E-409C-BE32-E72D297353CC}">
              <c16:uniqueId val="{00000001-8C16-44D1-B4ED-52863D21BCB7}"/>
            </c:ext>
          </c:extLst>
        </c:ser>
        <c:ser>
          <c:idx val="2"/>
          <c:order val="2"/>
          <c:tx>
            <c:strRef>
              <c:f>'IE SUMMARY'!$D$31</c:f>
              <c:strCache>
                <c:ptCount val="1"/>
                <c:pt idx="0">
                  <c:v>2024</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cene3d>
              <a:camera prst="orthographicFront">
                <a:rot lat="0" lon="0" rev="0"/>
              </a:camera>
              <a:lightRig rig="threePt" dir="t">
                <a:rot lat="0" lon="0" rev="1200000"/>
              </a:lightRig>
            </a:scene3d>
            <a:sp3d>
              <a:bevelT w="63500" h="25400"/>
            </a:sp3d>
          </c:spPr>
          <c:invertIfNegative val="0"/>
          <c:cat>
            <c:strRef>
              <c:f>'IE SUMMARY'!$A$32:$A$55</c:f>
              <c:strCache>
                <c:ptCount val="24"/>
                <c:pt idx="0">
                  <c:v>Salary Exp (0.75 FTE Mgr, 1.25 FTE Maintenance)</c:v>
                </c:pt>
                <c:pt idx="1">
                  <c:v>Payroll Taxes</c:v>
                </c:pt>
                <c:pt idx="2">
                  <c:v>Workers Comp</c:v>
                </c:pt>
                <c:pt idx="3">
                  <c:v>Electric</c:v>
                </c:pt>
                <c:pt idx="4">
                  <c:v>Gas/Propane</c:v>
                </c:pt>
                <c:pt idx="5">
                  <c:v>Trash</c:v>
                </c:pt>
                <c:pt idx="6">
                  <c:v>Sewer-septic</c:v>
                </c:pt>
                <c:pt idx="7">
                  <c:v>Water </c:v>
                </c:pt>
                <c:pt idx="8">
                  <c:v>Phone/Cable/Internet</c:v>
                </c:pt>
                <c:pt idx="9">
                  <c:v>Auto expense &amp; travel</c:v>
                </c:pt>
                <c:pt idx="10">
                  <c:v>Maintenance / Capital Reserve ($250 per space / year)</c:v>
                </c:pt>
                <c:pt idx="11">
                  <c:v>Landscaping, Grounds Maintenance, Outside Services</c:v>
                </c:pt>
                <c:pt idx="12">
                  <c:v>Equipment and Supplies</c:v>
                </c:pt>
                <c:pt idx="13">
                  <c:v>Property Taxes (Add Description of Assumptions)</c:v>
                </c:pt>
                <c:pt idx="14">
                  <c:v>Insurance </c:v>
                </c:pt>
                <c:pt idx="15">
                  <c:v>Billing Software</c:v>
                </c:pt>
                <c:pt idx="16">
                  <c:v>Legal Expenses</c:v>
                </c:pt>
                <c:pt idx="17">
                  <c:v>LLC/LP Tax</c:v>
                </c:pt>
                <c:pt idx="18">
                  <c:v>Advertising</c:v>
                </c:pt>
                <c:pt idx="19">
                  <c:v>Tax Return Preparation/accounting</c:v>
                </c:pt>
                <c:pt idx="20">
                  <c:v>Licenses and Permits</c:v>
                </c:pt>
                <c:pt idx="21">
                  <c:v>Banking and Merchant fees (est)</c:v>
                </c:pt>
                <c:pt idx="22">
                  <c:v>Office Supplies, Postage, Pager, Printing, dues, subscr, Misc.</c:v>
                </c:pt>
                <c:pt idx="23">
                  <c:v>Professional Mgmt ($2,000/mo or 5.0%)</c:v>
                </c:pt>
              </c:strCache>
            </c:strRef>
          </c:cat>
          <c:val>
            <c:numRef>
              <c:f>'IE SUMMARY'!$D$32:$D$55</c:f>
              <c:numCache>
                <c:formatCode>"$"#,##0_);[Red]\("$"#,##0\)</c:formatCode>
                <c:ptCount val="24"/>
                <c:pt idx="0">
                  <c:v>200380.14</c:v>
                </c:pt>
                <c:pt idx="1">
                  <c:v>9290.4700000000012</c:v>
                </c:pt>
                <c:pt idx="2">
                  <c:v>0</c:v>
                </c:pt>
                <c:pt idx="3">
                  <c:v>277990.37</c:v>
                </c:pt>
                <c:pt idx="4">
                  <c:v>0</c:v>
                </c:pt>
                <c:pt idx="5">
                  <c:v>0</c:v>
                </c:pt>
                <c:pt idx="6">
                  <c:v>0</c:v>
                </c:pt>
                <c:pt idx="7">
                  <c:v>0</c:v>
                </c:pt>
                <c:pt idx="8">
                  <c:v>3334.35</c:v>
                </c:pt>
                <c:pt idx="9">
                  <c:v>731.42</c:v>
                </c:pt>
                <c:pt idx="10">
                  <c:v>40941.480000000003</c:v>
                </c:pt>
                <c:pt idx="11">
                  <c:v>30488.77</c:v>
                </c:pt>
                <c:pt idx="12">
                  <c:v>0</c:v>
                </c:pt>
                <c:pt idx="13">
                  <c:v>98731.839999999997</c:v>
                </c:pt>
                <c:pt idx="14">
                  <c:v>14462.8</c:v>
                </c:pt>
                <c:pt idx="15">
                  <c:v>0</c:v>
                </c:pt>
                <c:pt idx="16">
                  <c:v>8252.16</c:v>
                </c:pt>
                <c:pt idx="17">
                  <c:v>0</c:v>
                </c:pt>
                <c:pt idx="18">
                  <c:v>0</c:v>
                </c:pt>
                <c:pt idx="19">
                  <c:v>0</c:v>
                </c:pt>
                <c:pt idx="20">
                  <c:v>5184.2700000000004</c:v>
                </c:pt>
                <c:pt idx="21">
                  <c:v>935.16</c:v>
                </c:pt>
                <c:pt idx="22">
                  <c:v>3310.31</c:v>
                </c:pt>
                <c:pt idx="23">
                  <c:v>0</c:v>
                </c:pt>
              </c:numCache>
            </c:numRef>
          </c:val>
          <c:extLst>
            <c:ext xmlns:c16="http://schemas.microsoft.com/office/drawing/2014/chart" uri="{C3380CC4-5D6E-409C-BE32-E72D297353CC}">
              <c16:uniqueId val="{00000002-8C16-44D1-B4ED-52863D21BCB7}"/>
            </c:ext>
          </c:extLst>
        </c:ser>
        <c:ser>
          <c:idx val="3"/>
          <c:order val="3"/>
          <c:tx>
            <c:strRef>
              <c:f>'IE SUMMARY'!$E$31</c:f>
              <c:strCache>
                <c:ptCount val="1"/>
                <c:pt idx="0">
                  <c:v>Trailing 12</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cene3d>
              <a:camera prst="orthographicFront">
                <a:rot lat="0" lon="0" rev="0"/>
              </a:camera>
              <a:lightRig rig="threePt" dir="t">
                <a:rot lat="0" lon="0" rev="1200000"/>
              </a:lightRig>
            </a:scene3d>
            <a:sp3d>
              <a:bevelT w="63500" h="25400"/>
            </a:sp3d>
          </c:spPr>
          <c:invertIfNegative val="0"/>
          <c:cat>
            <c:strRef>
              <c:f>'IE SUMMARY'!$A$32:$A$55</c:f>
              <c:strCache>
                <c:ptCount val="24"/>
                <c:pt idx="0">
                  <c:v>Salary Exp (0.75 FTE Mgr, 1.25 FTE Maintenance)</c:v>
                </c:pt>
                <c:pt idx="1">
                  <c:v>Payroll Taxes</c:v>
                </c:pt>
                <c:pt idx="2">
                  <c:v>Workers Comp</c:v>
                </c:pt>
                <c:pt idx="3">
                  <c:v>Electric</c:v>
                </c:pt>
                <c:pt idx="4">
                  <c:v>Gas/Propane</c:v>
                </c:pt>
                <c:pt idx="5">
                  <c:v>Trash</c:v>
                </c:pt>
                <c:pt idx="6">
                  <c:v>Sewer-septic</c:v>
                </c:pt>
                <c:pt idx="7">
                  <c:v>Water </c:v>
                </c:pt>
                <c:pt idx="8">
                  <c:v>Phone/Cable/Internet</c:v>
                </c:pt>
                <c:pt idx="9">
                  <c:v>Auto expense &amp; travel</c:v>
                </c:pt>
                <c:pt idx="10">
                  <c:v>Maintenance / Capital Reserve ($250 per space / year)</c:v>
                </c:pt>
                <c:pt idx="11">
                  <c:v>Landscaping, Grounds Maintenance, Outside Services</c:v>
                </c:pt>
                <c:pt idx="12">
                  <c:v>Equipment and Supplies</c:v>
                </c:pt>
                <c:pt idx="13">
                  <c:v>Property Taxes (Add Description of Assumptions)</c:v>
                </c:pt>
                <c:pt idx="14">
                  <c:v>Insurance </c:v>
                </c:pt>
                <c:pt idx="15">
                  <c:v>Billing Software</c:v>
                </c:pt>
                <c:pt idx="16">
                  <c:v>Legal Expenses</c:v>
                </c:pt>
                <c:pt idx="17">
                  <c:v>LLC/LP Tax</c:v>
                </c:pt>
                <c:pt idx="18">
                  <c:v>Advertising</c:v>
                </c:pt>
                <c:pt idx="19">
                  <c:v>Tax Return Preparation/accounting</c:v>
                </c:pt>
                <c:pt idx="20">
                  <c:v>Licenses and Permits</c:v>
                </c:pt>
                <c:pt idx="21">
                  <c:v>Banking and Merchant fees (est)</c:v>
                </c:pt>
                <c:pt idx="22">
                  <c:v>Office Supplies, Postage, Pager, Printing, dues, subscr, Misc.</c:v>
                </c:pt>
                <c:pt idx="23">
                  <c:v>Professional Mgmt ($2,000/mo or 5.0%)</c:v>
                </c:pt>
              </c:strCache>
            </c:strRef>
          </c:cat>
          <c:val>
            <c:numRef>
              <c:f>'IE SUMMARY'!$E$32:$E$55</c:f>
              <c:numCache>
                <c:formatCode>"$"#,##0_);[Red]\("$"#,##0\)</c:formatCode>
                <c:ptCount val="24"/>
                <c:pt idx="0">
                  <c:v>185564.47999999998</c:v>
                </c:pt>
                <c:pt idx="1">
                  <c:v>6128.06</c:v>
                </c:pt>
                <c:pt idx="2">
                  <c:v>0</c:v>
                </c:pt>
                <c:pt idx="3">
                  <c:v>281148.08</c:v>
                </c:pt>
                <c:pt idx="4">
                  <c:v>0</c:v>
                </c:pt>
                <c:pt idx="5">
                  <c:v>0</c:v>
                </c:pt>
                <c:pt idx="6">
                  <c:v>0</c:v>
                </c:pt>
                <c:pt idx="7">
                  <c:v>0</c:v>
                </c:pt>
                <c:pt idx="8">
                  <c:v>4108.26</c:v>
                </c:pt>
                <c:pt idx="9">
                  <c:v>0</c:v>
                </c:pt>
                <c:pt idx="10">
                  <c:v>39248.32</c:v>
                </c:pt>
                <c:pt idx="11">
                  <c:v>27173.43</c:v>
                </c:pt>
                <c:pt idx="12">
                  <c:v>0</c:v>
                </c:pt>
                <c:pt idx="13">
                  <c:v>96926.65</c:v>
                </c:pt>
                <c:pt idx="14">
                  <c:v>19008.8</c:v>
                </c:pt>
                <c:pt idx="15">
                  <c:v>0</c:v>
                </c:pt>
                <c:pt idx="16">
                  <c:v>9330.61</c:v>
                </c:pt>
                <c:pt idx="17">
                  <c:v>0</c:v>
                </c:pt>
                <c:pt idx="18">
                  <c:v>0</c:v>
                </c:pt>
                <c:pt idx="19">
                  <c:v>0</c:v>
                </c:pt>
                <c:pt idx="20">
                  <c:v>6891.47</c:v>
                </c:pt>
                <c:pt idx="21">
                  <c:v>823.14</c:v>
                </c:pt>
                <c:pt idx="22">
                  <c:v>2583.1999999999998</c:v>
                </c:pt>
                <c:pt idx="23">
                  <c:v>0</c:v>
                </c:pt>
              </c:numCache>
            </c:numRef>
          </c:val>
          <c:extLst>
            <c:ext xmlns:c16="http://schemas.microsoft.com/office/drawing/2014/chart" uri="{C3380CC4-5D6E-409C-BE32-E72D297353CC}">
              <c16:uniqueId val="{00000003-8C16-44D1-B4ED-52863D21BCB7}"/>
            </c:ext>
          </c:extLst>
        </c:ser>
        <c:ser>
          <c:idx val="4"/>
          <c:order val="4"/>
          <c:tx>
            <c:strRef>
              <c:f>'IE SUMMARY'!$F$31</c:f>
              <c:strCache>
                <c:ptCount val="1"/>
                <c:pt idx="0">
                  <c:v>2025 Annualized</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cene3d>
              <a:camera prst="orthographicFront">
                <a:rot lat="0" lon="0" rev="0"/>
              </a:camera>
              <a:lightRig rig="threePt" dir="t">
                <a:rot lat="0" lon="0" rev="1200000"/>
              </a:lightRig>
            </a:scene3d>
            <a:sp3d>
              <a:bevelT w="63500" h="25400"/>
            </a:sp3d>
          </c:spPr>
          <c:invertIfNegative val="0"/>
          <c:cat>
            <c:strRef>
              <c:f>'IE SUMMARY'!$A$32:$A$55</c:f>
              <c:strCache>
                <c:ptCount val="24"/>
                <c:pt idx="0">
                  <c:v>Salary Exp (0.75 FTE Mgr, 1.25 FTE Maintenance)</c:v>
                </c:pt>
                <c:pt idx="1">
                  <c:v>Payroll Taxes</c:v>
                </c:pt>
                <c:pt idx="2">
                  <c:v>Workers Comp</c:v>
                </c:pt>
                <c:pt idx="3">
                  <c:v>Electric</c:v>
                </c:pt>
                <c:pt idx="4">
                  <c:v>Gas/Propane</c:v>
                </c:pt>
                <c:pt idx="5">
                  <c:v>Trash</c:v>
                </c:pt>
                <c:pt idx="6">
                  <c:v>Sewer-septic</c:v>
                </c:pt>
                <c:pt idx="7">
                  <c:v>Water </c:v>
                </c:pt>
                <c:pt idx="8">
                  <c:v>Phone/Cable/Internet</c:v>
                </c:pt>
                <c:pt idx="9">
                  <c:v>Auto expense &amp; travel</c:v>
                </c:pt>
                <c:pt idx="10">
                  <c:v>Maintenance / Capital Reserve ($250 per space / year)</c:v>
                </c:pt>
                <c:pt idx="11">
                  <c:v>Landscaping, Grounds Maintenance, Outside Services</c:v>
                </c:pt>
                <c:pt idx="12">
                  <c:v>Equipment and Supplies</c:v>
                </c:pt>
                <c:pt idx="13">
                  <c:v>Property Taxes (Add Description of Assumptions)</c:v>
                </c:pt>
                <c:pt idx="14">
                  <c:v>Insurance </c:v>
                </c:pt>
                <c:pt idx="15">
                  <c:v>Billing Software</c:v>
                </c:pt>
                <c:pt idx="16">
                  <c:v>Legal Expenses</c:v>
                </c:pt>
                <c:pt idx="17">
                  <c:v>LLC/LP Tax</c:v>
                </c:pt>
                <c:pt idx="18">
                  <c:v>Advertising</c:v>
                </c:pt>
                <c:pt idx="19">
                  <c:v>Tax Return Preparation/accounting</c:v>
                </c:pt>
                <c:pt idx="20">
                  <c:v>Licenses and Permits</c:v>
                </c:pt>
                <c:pt idx="21">
                  <c:v>Banking and Merchant fees (est)</c:v>
                </c:pt>
                <c:pt idx="22">
                  <c:v>Office Supplies, Postage, Pager, Printing, dues, subscr, Misc.</c:v>
                </c:pt>
                <c:pt idx="23">
                  <c:v>Professional Mgmt ($2,000/mo or 5.0%)</c:v>
                </c:pt>
              </c:strCache>
            </c:strRef>
          </c:cat>
          <c:val>
            <c:numRef>
              <c:f>'IE SUMMARY'!$F$32:$F$55</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8C16-44D1-B4ED-52863D21BCB7}"/>
            </c:ext>
          </c:extLst>
        </c:ser>
        <c:ser>
          <c:idx val="5"/>
          <c:order val="5"/>
          <c:tx>
            <c:strRef>
              <c:f>'IE SUMMARY'!$G$31</c:f>
              <c:strCache>
                <c:ptCount val="1"/>
                <c:pt idx="0">
                  <c:v>Broker Projection</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cene3d>
              <a:camera prst="orthographicFront">
                <a:rot lat="0" lon="0" rev="0"/>
              </a:camera>
              <a:lightRig rig="threePt" dir="t">
                <a:rot lat="0" lon="0" rev="1200000"/>
              </a:lightRig>
            </a:scene3d>
            <a:sp3d>
              <a:bevelT w="63500" h="25400"/>
            </a:sp3d>
          </c:spPr>
          <c:invertIfNegative val="0"/>
          <c:cat>
            <c:strRef>
              <c:f>'IE SUMMARY'!$A$32:$A$55</c:f>
              <c:strCache>
                <c:ptCount val="24"/>
                <c:pt idx="0">
                  <c:v>Salary Exp (0.75 FTE Mgr, 1.25 FTE Maintenance)</c:v>
                </c:pt>
                <c:pt idx="1">
                  <c:v>Payroll Taxes</c:v>
                </c:pt>
                <c:pt idx="2">
                  <c:v>Workers Comp</c:v>
                </c:pt>
                <c:pt idx="3">
                  <c:v>Electric</c:v>
                </c:pt>
                <c:pt idx="4">
                  <c:v>Gas/Propane</c:v>
                </c:pt>
                <c:pt idx="5">
                  <c:v>Trash</c:v>
                </c:pt>
                <c:pt idx="6">
                  <c:v>Sewer-septic</c:v>
                </c:pt>
                <c:pt idx="7">
                  <c:v>Water </c:v>
                </c:pt>
                <c:pt idx="8">
                  <c:v>Phone/Cable/Internet</c:v>
                </c:pt>
                <c:pt idx="9">
                  <c:v>Auto expense &amp; travel</c:v>
                </c:pt>
                <c:pt idx="10">
                  <c:v>Maintenance / Capital Reserve ($250 per space / year)</c:v>
                </c:pt>
                <c:pt idx="11">
                  <c:v>Landscaping, Grounds Maintenance, Outside Services</c:v>
                </c:pt>
                <c:pt idx="12">
                  <c:v>Equipment and Supplies</c:v>
                </c:pt>
                <c:pt idx="13">
                  <c:v>Property Taxes (Add Description of Assumptions)</c:v>
                </c:pt>
                <c:pt idx="14">
                  <c:v>Insurance </c:v>
                </c:pt>
                <c:pt idx="15">
                  <c:v>Billing Software</c:v>
                </c:pt>
                <c:pt idx="16">
                  <c:v>Legal Expenses</c:v>
                </c:pt>
                <c:pt idx="17">
                  <c:v>LLC/LP Tax</c:v>
                </c:pt>
                <c:pt idx="18">
                  <c:v>Advertising</c:v>
                </c:pt>
                <c:pt idx="19">
                  <c:v>Tax Return Preparation/accounting</c:v>
                </c:pt>
                <c:pt idx="20">
                  <c:v>Licenses and Permits</c:v>
                </c:pt>
                <c:pt idx="21">
                  <c:v>Banking and Merchant fees (est)</c:v>
                </c:pt>
                <c:pt idx="22">
                  <c:v>Office Supplies, Postage, Pager, Printing, dues, subscr, Misc.</c:v>
                </c:pt>
                <c:pt idx="23">
                  <c:v>Professional Mgmt ($2,000/mo or 5.0%)</c:v>
                </c:pt>
              </c:strCache>
            </c:strRef>
          </c:cat>
          <c:val>
            <c:numRef>
              <c:f>'IE SUMMARY'!$G$32:$G$55</c:f>
              <c:numCache>
                <c:formatCode>"$"#,##0_);[Red]\("$"#,##0\)</c:formatCode>
                <c:ptCount val="24"/>
                <c:pt idx="0">
                  <c:v>89303</c:v>
                </c:pt>
                <c:pt idx="1">
                  <c:v>9402</c:v>
                </c:pt>
                <c:pt idx="2">
                  <c:v>0</c:v>
                </c:pt>
                <c:pt idx="3">
                  <c:v>288261</c:v>
                </c:pt>
                <c:pt idx="4">
                  <c:v>0</c:v>
                </c:pt>
                <c:pt idx="5">
                  <c:v>0</c:v>
                </c:pt>
                <c:pt idx="6">
                  <c:v>0</c:v>
                </c:pt>
                <c:pt idx="7">
                  <c:v>0</c:v>
                </c:pt>
                <c:pt idx="8">
                  <c:v>3159</c:v>
                </c:pt>
                <c:pt idx="9">
                  <c:v>965</c:v>
                </c:pt>
                <c:pt idx="10">
                  <c:v>44397</c:v>
                </c:pt>
                <c:pt idx="11">
                  <c:v>24204</c:v>
                </c:pt>
                <c:pt idx="12">
                  <c:v>0</c:v>
                </c:pt>
                <c:pt idx="13">
                  <c:v>125292</c:v>
                </c:pt>
                <c:pt idx="14">
                  <c:v>20400</c:v>
                </c:pt>
                <c:pt idx="15">
                  <c:v>0</c:v>
                </c:pt>
                <c:pt idx="16">
                  <c:v>0</c:v>
                </c:pt>
                <c:pt idx="17">
                  <c:v>5800</c:v>
                </c:pt>
                <c:pt idx="18">
                  <c:v>0</c:v>
                </c:pt>
                <c:pt idx="19">
                  <c:v>3008</c:v>
                </c:pt>
                <c:pt idx="20">
                  <c:v>4256</c:v>
                </c:pt>
                <c:pt idx="21">
                  <c:v>1001</c:v>
                </c:pt>
                <c:pt idx="22">
                  <c:v>3629</c:v>
                </c:pt>
                <c:pt idx="23">
                  <c:v>87298</c:v>
                </c:pt>
              </c:numCache>
            </c:numRef>
          </c:val>
          <c:extLst>
            <c:ext xmlns:c16="http://schemas.microsoft.com/office/drawing/2014/chart" uri="{C3380CC4-5D6E-409C-BE32-E72D297353CC}">
              <c16:uniqueId val="{00000005-8C16-44D1-B4ED-52863D21BCB7}"/>
            </c:ext>
          </c:extLst>
        </c:ser>
        <c:ser>
          <c:idx val="7"/>
          <c:order val="6"/>
          <c:tx>
            <c:strRef>
              <c:f>'IE SUMMARY'!$H$31</c:f>
              <c:strCache>
                <c:ptCount val="1"/>
                <c:pt idx="0">
                  <c:v>BVG Default</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'IE SUMMARY'!$H$32:$H$55</c:f>
              <c:numCache>
                <c:formatCode>"$"#,##0_);[Red]\("$"#,##0\)</c:formatCode>
                <c:ptCount val="24"/>
                <c:pt idx="0">
                  <c:v>0</c:v>
                </c:pt>
                <c:pt idx="1">
                  <c:v>5900</c:v>
                </c:pt>
                <c:pt idx="2">
                  <c:v>0</c:v>
                </c:pt>
                <c:pt idx="3">
                  <c:v>112530</c:v>
                </c:pt>
                <c:pt idx="4">
                  <c:v>0</c:v>
                </c:pt>
                <c:pt idx="5">
                  <c:v>0</c:v>
                </c:pt>
                <c:pt idx="6">
                  <c:v>0</c:v>
                </c:pt>
                <c:pt idx="7">
                  <c:v>0</c:v>
                </c:pt>
                <c:pt idx="8">
                  <c:v>2832</c:v>
                </c:pt>
                <c:pt idx="9">
                  <c:v>0</c:v>
                </c:pt>
                <c:pt idx="10">
                  <c:v>0</c:v>
                </c:pt>
                <c:pt idx="11">
                  <c:v>71960.769520000002</c:v>
                </c:pt>
                <c:pt idx="12">
                  <c:v>0</c:v>
                </c:pt>
                <c:pt idx="13">
                  <c:v>35400</c:v>
                </c:pt>
                <c:pt idx="14">
                  <c:v>250</c:v>
                </c:pt>
                <c:pt idx="15">
                  <c:v>0</c:v>
                </c:pt>
                <c:pt idx="16">
                  <c:v>0</c:v>
                </c:pt>
                <c:pt idx="17">
                  <c:v>0</c:v>
                </c:pt>
                <c:pt idx="18">
                  <c:v>0</c:v>
                </c:pt>
                <c:pt idx="19">
                  <c:v>0</c:v>
                </c:pt>
                <c:pt idx="20">
                  <c:v>802.40000000000009</c:v>
                </c:pt>
                <c:pt idx="21">
                  <c:v>47200</c:v>
                </c:pt>
                <c:pt idx="22">
                  <c:v>2860</c:v>
                </c:pt>
                <c:pt idx="23">
                  <c:v>0</c:v>
                </c:pt>
              </c:numCache>
            </c:numRef>
          </c:val>
          <c:extLst>
            <c:ext xmlns:c16="http://schemas.microsoft.com/office/drawing/2014/chart" uri="{C3380CC4-5D6E-409C-BE32-E72D297353CC}">
              <c16:uniqueId val="{00000002-F9C9-49B9-87C3-B7C20CF1A70D}"/>
            </c:ext>
          </c:extLst>
        </c:ser>
        <c:ser>
          <c:idx val="6"/>
          <c:order val="7"/>
          <c:tx>
            <c:strRef>
              <c:f>'IE SUMMARY'!$I$31</c:f>
              <c:strCache>
                <c:ptCount val="1"/>
                <c:pt idx="0">
                  <c:v>BVG Yr 1 Projection</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cene3d>
              <a:camera prst="orthographicFront">
                <a:rot lat="0" lon="0" rev="0"/>
              </a:camera>
              <a:lightRig rig="threePt" dir="t">
                <a:rot lat="0" lon="0" rev="1200000"/>
              </a:lightRig>
            </a:scene3d>
            <a:sp3d>
              <a:bevelT w="63500" h="25400"/>
            </a:sp3d>
          </c:spPr>
          <c:invertIfNegative val="0"/>
          <c:cat>
            <c:strRef>
              <c:f>'IE SUMMARY'!$A$32:$A$55</c:f>
              <c:strCache>
                <c:ptCount val="24"/>
                <c:pt idx="0">
                  <c:v>Salary Exp (0.75 FTE Mgr, 1.25 FTE Maintenance)</c:v>
                </c:pt>
                <c:pt idx="1">
                  <c:v>Payroll Taxes</c:v>
                </c:pt>
                <c:pt idx="2">
                  <c:v>Workers Comp</c:v>
                </c:pt>
                <c:pt idx="3">
                  <c:v>Electric</c:v>
                </c:pt>
                <c:pt idx="4">
                  <c:v>Gas/Propane</c:v>
                </c:pt>
                <c:pt idx="5">
                  <c:v>Trash</c:v>
                </c:pt>
                <c:pt idx="6">
                  <c:v>Sewer-septic</c:v>
                </c:pt>
                <c:pt idx="7">
                  <c:v>Water </c:v>
                </c:pt>
                <c:pt idx="8">
                  <c:v>Phone/Cable/Internet</c:v>
                </c:pt>
                <c:pt idx="9">
                  <c:v>Auto expense &amp; travel</c:v>
                </c:pt>
                <c:pt idx="10">
                  <c:v>Maintenance / Capital Reserve ($250 per space / year)</c:v>
                </c:pt>
                <c:pt idx="11">
                  <c:v>Landscaping, Grounds Maintenance, Outside Services</c:v>
                </c:pt>
                <c:pt idx="12">
                  <c:v>Equipment and Supplies</c:v>
                </c:pt>
                <c:pt idx="13">
                  <c:v>Property Taxes (Add Description of Assumptions)</c:v>
                </c:pt>
                <c:pt idx="14">
                  <c:v>Insurance </c:v>
                </c:pt>
                <c:pt idx="15">
                  <c:v>Billing Software</c:v>
                </c:pt>
                <c:pt idx="16">
                  <c:v>Legal Expenses</c:v>
                </c:pt>
                <c:pt idx="17">
                  <c:v>LLC/LP Tax</c:v>
                </c:pt>
                <c:pt idx="18">
                  <c:v>Advertising</c:v>
                </c:pt>
                <c:pt idx="19">
                  <c:v>Tax Return Preparation/accounting</c:v>
                </c:pt>
                <c:pt idx="20">
                  <c:v>Licenses and Permits</c:v>
                </c:pt>
                <c:pt idx="21">
                  <c:v>Banking and Merchant fees (est)</c:v>
                </c:pt>
                <c:pt idx="22">
                  <c:v>Office Supplies, Postage, Pager, Printing, dues, subscr, Misc.</c:v>
                </c:pt>
                <c:pt idx="23">
                  <c:v>Professional Mgmt ($2,000/mo or 5.0%)</c:v>
                </c:pt>
              </c:strCache>
            </c:strRef>
          </c:cat>
          <c:val>
            <c:numRef>
              <c:f>'IE SUMMARY'!$I$32:$I$55</c:f>
              <c:numCache>
                <c:formatCode>"$"#,##0_);[Red]\("$"#,##0\)</c:formatCode>
                <c:ptCount val="24"/>
                <c:pt idx="0">
                  <c:v>134000</c:v>
                </c:pt>
                <c:pt idx="1">
                  <c:v>17680</c:v>
                </c:pt>
                <c:pt idx="2">
                  <c:v>6240</c:v>
                </c:pt>
                <c:pt idx="3">
                  <c:v>242586.63</c:v>
                </c:pt>
                <c:pt idx="4">
                  <c:v>2700</c:v>
                </c:pt>
                <c:pt idx="5">
                  <c:v>37053.22</c:v>
                </c:pt>
                <c:pt idx="6">
                  <c:v>35400</c:v>
                </c:pt>
                <c:pt idx="7">
                  <c:v>43604</c:v>
                </c:pt>
                <c:pt idx="8">
                  <c:v>2500</c:v>
                </c:pt>
                <c:pt idx="9">
                  <c:v>1500</c:v>
                </c:pt>
                <c:pt idx="10">
                  <c:v>29500</c:v>
                </c:pt>
                <c:pt idx="11">
                  <c:v>12000</c:v>
                </c:pt>
                <c:pt idx="12">
                  <c:v>9000</c:v>
                </c:pt>
                <c:pt idx="13">
                  <c:v>111186.78320000001</c:v>
                </c:pt>
                <c:pt idx="14">
                  <c:v>25071</c:v>
                </c:pt>
                <c:pt idx="15">
                  <c:v>1095</c:v>
                </c:pt>
                <c:pt idx="16">
                  <c:v>2500</c:v>
                </c:pt>
                <c:pt idx="17">
                  <c:v>1700</c:v>
                </c:pt>
                <c:pt idx="18">
                  <c:v>0</c:v>
                </c:pt>
                <c:pt idx="19">
                  <c:v>2450</c:v>
                </c:pt>
                <c:pt idx="20">
                  <c:v>5287.9554000000007</c:v>
                </c:pt>
                <c:pt idx="21">
                  <c:v>500</c:v>
                </c:pt>
                <c:pt idx="22">
                  <c:v>2500</c:v>
                </c:pt>
                <c:pt idx="23">
                  <c:v>57568.615616000003</c:v>
                </c:pt>
              </c:numCache>
            </c:numRef>
          </c:val>
          <c:extLst>
            <c:ext xmlns:c16="http://schemas.microsoft.com/office/drawing/2014/chart" uri="{C3380CC4-5D6E-409C-BE32-E72D297353CC}">
              <c16:uniqueId val="{00000006-8C16-44D1-B4ED-52863D21BCB7}"/>
            </c:ext>
          </c:extLst>
        </c:ser>
        <c:dLbls>
          <c:showLegendKey val="0"/>
          <c:showVal val="0"/>
          <c:showCatName val="0"/>
          <c:showSerName val="0"/>
          <c:showPercent val="0"/>
          <c:showBubbleSize val="0"/>
        </c:dLbls>
        <c:gapWidth val="100"/>
        <c:overlap val="-24"/>
        <c:axId val="750202264"/>
        <c:axId val="750202592"/>
      </c:barChart>
      <c:catAx>
        <c:axId val="75020226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50202592"/>
        <c:crosses val="autoZero"/>
        <c:auto val="1"/>
        <c:lblAlgn val="ctr"/>
        <c:lblOffset val="100"/>
        <c:noMultiLvlLbl val="0"/>
      </c:catAx>
      <c:valAx>
        <c:axId val="750202592"/>
        <c:scaling>
          <c:orientation val="minMax"/>
        </c:scaling>
        <c:delete val="0"/>
        <c:axPos val="l"/>
        <c:majorGridlines>
          <c:spPr>
            <a:ln w="9525" cap="flat" cmpd="sng" algn="ctr">
              <a:solidFill>
                <a:schemeClr val="lt1">
                  <a:lumMod val="95000"/>
                  <a:alpha val="10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50202264"/>
        <c:crosses val="autoZero"/>
        <c:crossBetween val="between"/>
      </c:valAx>
      <c:spPr>
        <a:noFill/>
        <a:ln>
          <a:noFill/>
        </a:ln>
        <a:effectLst/>
      </c:spPr>
    </c:plotArea>
    <c:legend>
      <c:legendPos val="b"/>
      <c:layout>
        <c:manualLayout>
          <c:xMode val="edge"/>
          <c:yMode val="edge"/>
          <c:x val="0.35259784107105308"/>
          <c:y val="0.93092637229207786"/>
          <c:w val="0.24504081092237356"/>
          <c:h val="3.24911996747150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9"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259080</xdr:colOff>
      <xdr:row>29</xdr:row>
      <xdr:rowOff>7620</xdr:rowOff>
    </xdr:from>
    <xdr:to>
      <xdr:col>8</xdr:col>
      <xdr:colOff>640080</xdr:colOff>
      <xdr:row>30</xdr:row>
      <xdr:rowOff>22860</xdr:rowOff>
    </xdr:to>
    <xdr:sp macro="" textlink="">
      <xdr:nvSpPr>
        <xdr:cNvPr id="3" name="TextBox 2">
          <a:extLst>
            <a:ext uri="{FF2B5EF4-FFF2-40B4-BE49-F238E27FC236}">
              <a16:creationId xmlns:a16="http://schemas.microsoft.com/office/drawing/2014/main" id="{3E9FA150-E4BB-4EDD-A800-81217D8D36B4}"/>
            </a:ext>
          </a:extLst>
        </xdr:cNvPr>
        <xdr:cNvSpPr txBox="1"/>
      </xdr:nvSpPr>
      <xdr:spPr>
        <a:xfrm>
          <a:off x="259080" y="6271260"/>
          <a:ext cx="6659880" cy="1386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feel that we are acquiring the asset at a very</a:t>
          </a:r>
          <a:r>
            <a:rPr lang="en-US" sz="1100" baseline="0"/>
            <a:t> low basis of $86,000 per pad which is an in place cap rate of 6.4%. In additional, the rents are substantially below market, and we are forecasting the ability to increase rents from an average of $746 today to $933 by Year 5. Also, and not shown in the proforma is the ability to profitably install and sell homes on the vacant pads given the very strong housing market. </a:t>
          </a:r>
          <a:endParaRPr lang="en-US" sz="1100"/>
        </a:p>
      </xdr:txBody>
    </xdr:sp>
    <xdr:clientData/>
  </xdr:twoCellAnchor>
  <xdr:twoCellAnchor>
    <xdr:from>
      <xdr:col>1</xdr:col>
      <xdr:colOff>0</xdr:colOff>
      <xdr:row>18</xdr:row>
      <xdr:rowOff>2539</xdr:rowOff>
    </xdr:from>
    <xdr:to>
      <xdr:col>8</xdr:col>
      <xdr:colOff>645795</xdr:colOff>
      <xdr:row>18</xdr:row>
      <xdr:rowOff>3686175</xdr:rowOff>
    </xdr:to>
    <xdr:sp macro="" textlink="">
      <xdr:nvSpPr>
        <xdr:cNvPr id="4" name="TextBox 3">
          <a:extLst>
            <a:ext uri="{FF2B5EF4-FFF2-40B4-BE49-F238E27FC236}">
              <a16:creationId xmlns:a16="http://schemas.microsoft.com/office/drawing/2014/main" id="{03B3B327-1FA2-402C-A4BF-B83C3F95014B}"/>
            </a:ext>
          </a:extLst>
        </xdr:cNvPr>
        <xdr:cNvSpPr txBox="1"/>
      </xdr:nvSpPr>
      <xdr:spPr>
        <a:xfrm>
          <a:off x="257175" y="3479164"/>
          <a:ext cx="6579870" cy="3683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Shady Glen Estates is an age-restricted park located several miles off of Interstate 80 in the Sierra foothills town of Colfax. The park has 118 spaces including a 21-space addition featuring double and triple wide homes with garages and concrete rows conveying a subdivision feel. Space rents average $746 per month with turnover rents at $850. We believe with cleanup and improved management, the space rent in the older portion of the park should compare to Grass Valley which currently averages $900 to $1,000 per month, and space rent in the newer portion of the park should be closer to $1,100 to $1,200 per month. The park features a renovated clubhouse and attractive pool and common area. </a:t>
          </a:r>
          <a:r>
            <a:rPr lang="en-US" sz="1100">
              <a:solidFill>
                <a:schemeClr val="dk1"/>
              </a:solidFill>
              <a:effectLst/>
              <a:latin typeface="+mn-lt"/>
              <a:ea typeface="+mn-ea"/>
              <a:cs typeface="+mn-cs"/>
            </a:rPr>
            <a:t>In addition, the private water system was connected to a municipal water system during our escrow period thereby eliminating the long term risk of the well operation. </a:t>
          </a:r>
        </a:p>
        <a:p>
          <a:endParaRPr lang="en-US" sz="1100"/>
        </a:p>
        <a:p>
          <a:r>
            <a:rPr lang="en-US" sz="1100"/>
            <a:t>The current ownership purchased the park in 2022 at a similar price to our contract price. While they have done some improvements including seal coating the roads and renovating the clubhouse and common areas, our impression is that they have taken a hands off approach both in terms of management and in terms of additional capital investment. The sellers purchased the park with an 80% LTV carryback loan that was coming due and that they could not</a:t>
          </a:r>
          <a:r>
            <a:rPr lang="en-US" sz="1100" baseline="0"/>
            <a:t> refinance without a significant equity investment</a:t>
          </a:r>
          <a:r>
            <a:rPr lang="en-US" sz="1100"/>
            <a:t>. </a:t>
          </a:r>
        </a:p>
        <a:p>
          <a:endParaRPr lang="en-US" sz="1100"/>
        </a:p>
        <a:p>
          <a:endParaRPr lang="en-US" sz="1100"/>
        </a:p>
      </xdr:txBody>
    </xdr:sp>
    <xdr:clientData/>
  </xdr:twoCellAnchor>
  <xdr:twoCellAnchor editAs="oneCell">
    <xdr:from>
      <xdr:col>0</xdr:col>
      <xdr:colOff>0</xdr:colOff>
      <xdr:row>0</xdr:row>
      <xdr:rowOff>0</xdr:rowOff>
    </xdr:from>
    <xdr:to>
      <xdr:col>2</xdr:col>
      <xdr:colOff>324390</xdr:colOff>
      <xdr:row>4</xdr:row>
      <xdr:rowOff>126364</xdr:rowOff>
    </xdr:to>
    <xdr:pic>
      <xdr:nvPicPr>
        <xdr:cNvPr id="6" name="Picture 5">
          <a:extLst>
            <a:ext uri="{FF2B5EF4-FFF2-40B4-BE49-F238E27FC236}">
              <a16:creationId xmlns:a16="http://schemas.microsoft.com/office/drawing/2014/main" id="{CA5F806C-B140-4437-969E-262A5C5F6A9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665510" cy="800099"/>
        </a:xfrm>
        <a:prstGeom prst="rect">
          <a:avLst/>
        </a:prstGeom>
      </xdr:spPr>
    </xdr:pic>
    <xdr:clientData/>
  </xdr:twoCellAnchor>
  <xdr:twoCellAnchor>
    <xdr:from>
      <xdr:col>0</xdr:col>
      <xdr:colOff>247650</xdr:colOff>
      <xdr:row>20</xdr:row>
      <xdr:rowOff>74296</xdr:rowOff>
    </xdr:from>
    <xdr:to>
      <xdr:col>9</xdr:col>
      <xdr:colOff>0</xdr:colOff>
      <xdr:row>20</xdr:row>
      <xdr:rowOff>809626</xdr:rowOff>
    </xdr:to>
    <xdr:sp macro="" textlink="">
      <xdr:nvSpPr>
        <xdr:cNvPr id="5" name="TextBox 4">
          <a:extLst>
            <a:ext uri="{FF2B5EF4-FFF2-40B4-BE49-F238E27FC236}">
              <a16:creationId xmlns:a16="http://schemas.microsoft.com/office/drawing/2014/main" id="{2C23BDF4-D59C-4AC2-903F-B4F24B5C315D}"/>
            </a:ext>
          </a:extLst>
        </xdr:cNvPr>
        <xdr:cNvSpPr txBox="1"/>
      </xdr:nvSpPr>
      <xdr:spPr>
        <a:xfrm>
          <a:off x="247650" y="13952221"/>
          <a:ext cx="6591300" cy="735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Our due diligence investigations revealed minor levels or deferred maintenance across various operational areas. We have reserved approximately $564,000 for deferred maintenance and infrastructure improvements which we feel will result in the park being set for very efficient operations going forward.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2</xdr:row>
      <xdr:rowOff>19050</xdr:rowOff>
    </xdr:from>
    <xdr:to>
      <xdr:col>4</xdr:col>
      <xdr:colOff>48578</xdr:colOff>
      <xdr:row>10</xdr:row>
      <xdr:rowOff>95349</xdr:rowOff>
    </xdr:to>
    <xdr:pic>
      <xdr:nvPicPr>
        <xdr:cNvPr id="4" name="Picture 3">
          <a:extLst>
            <a:ext uri="{FF2B5EF4-FFF2-40B4-BE49-F238E27FC236}">
              <a16:creationId xmlns:a16="http://schemas.microsoft.com/office/drawing/2014/main" id="{7D5CA231-2D26-AD61-561B-94F6A1B6C5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2247900"/>
          <a:ext cx="2058353" cy="1371699"/>
        </a:xfrm>
        <a:prstGeom prst="rect">
          <a:avLst/>
        </a:prstGeom>
      </xdr:spPr>
    </xdr:pic>
    <xdr:clientData/>
  </xdr:twoCellAnchor>
  <xdr:twoCellAnchor editAs="oneCell">
    <xdr:from>
      <xdr:col>4</xdr:col>
      <xdr:colOff>254775</xdr:colOff>
      <xdr:row>11</xdr:row>
      <xdr:rowOff>64275</xdr:rowOff>
    </xdr:from>
    <xdr:to>
      <xdr:col>7</xdr:col>
      <xdr:colOff>541478</xdr:colOff>
      <xdr:row>19</xdr:row>
      <xdr:rowOff>140574</xdr:rowOff>
    </xdr:to>
    <xdr:pic>
      <xdr:nvPicPr>
        <xdr:cNvPr id="6" name="Picture 5">
          <a:extLst>
            <a:ext uri="{FF2B5EF4-FFF2-40B4-BE49-F238E27FC236}">
              <a16:creationId xmlns:a16="http://schemas.microsoft.com/office/drawing/2014/main" id="{8DDD0D6B-2CAE-7378-447B-44C9D2A279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975" y="3750450"/>
          <a:ext cx="2058353" cy="1371699"/>
        </a:xfrm>
        <a:prstGeom prst="rect">
          <a:avLst/>
        </a:prstGeom>
      </xdr:spPr>
    </xdr:pic>
    <xdr:clientData/>
  </xdr:twoCellAnchor>
  <xdr:twoCellAnchor editAs="oneCell">
    <xdr:from>
      <xdr:col>4</xdr:col>
      <xdr:colOff>233325</xdr:colOff>
      <xdr:row>2</xdr:row>
      <xdr:rowOff>33300</xdr:rowOff>
    </xdr:from>
    <xdr:to>
      <xdr:col>7</xdr:col>
      <xdr:colOff>520028</xdr:colOff>
      <xdr:row>10</xdr:row>
      <xdr:rowOff>109599</xdr:rowOff>
    </xdr:to>
    <xdr:pic>
      <xdr:nvPicPr>
        <xdr:cNvPr id="8" name="Picture 7">
          <a:extLst>
            <a:ext uri="{FF2B5EF4-FFF2-40B4-BE49-F238E27FC236}">
              <a16:creationId xmlns:a16="http://schemas.microsoft.com/office/drawing/2014/main" id="{BDB8B94F-2094-7479-E4BF-581BC9053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95525" y="2262150"/>
          <a:ext cx="2058353" cy="1371699"/>
        </a:xfrm>
        <a:prstGeom prst="rect">
          <a:avLst/>
        </a:prstGeom>
      </xdr:spPr>
    </xdr:pic>
    <xdr:clientData/>
  </xdr:twoCellAnchor>
  <xdr:twoCellAnchor editAs="oneCell">
    <xdr:from>
      <xdr:col>4</xdr:col>
      <xdr:colOff>266699</xdr:colOff>
      <xdr:row>20</xdr:row>
      <xdr:rowOff>154726</xdr:rowOff>
    </xdr:from>
    <xdr:to>
      <xdr:col>7</xdr:col>
      <xdr:colOff>523874</xdr:colOff>
      <xdr:row>29</xdr:row>
      <xdr:rowOff>102977</xdr:rowOff>
    </xdr:to>
    <xdr:pic>
      <xdr:nvPicPr>
        <xdr:cNvPr id="10" name="Picture 9">
          <a:extLst>
            <a:ext uri="{FF2B5EF4-FFF2-40B4-BE49-F238E27FC236}">
              <a16:creationId xmlns:a16="http://schemas.microsoft.com/office/drawing/2014/main" id="{468934C7-DB72-4C7D-085E-5AC0276B12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28899" y="5298226"/>
          <a:ext cx="2028825" cy="1405575"/>
        </a:xfrm>
        <a:prstGeom prst="rect">
          <a:avLst/>
        </a:prstGeom>
      </xdr:spPr>
    </xdr:pic>
    <xdr:clientData/>
  </xdr:twoCellAnchor>
  <xdr:twoCellAnchor editAs="oneCell">
    <xdr:from>
      <xdr:col>8</xdr:col>
      <xdr:colOff>147674</xdr:colOff>
      <xdr:row>11</xdr:row>
      <xdr:rowOff>85651</xdr:rowOff>
    </xdr:from>
    <xdr:to>
      <xdr:col>11</xdr:col>
      <xdr:colOff>252449</xdr:colOff>
      <xdr:row>20</xdr:row>
      <xdr:rowOff>35644</xdr:rowOff>
    </xdr:to>
    <xdr:pic>
      <xdr:nvPicPr>
        <xdr:cNvPr id="12" name="Picture 11">
          <a:extLst>
            <a:ext uri="{FF2B5EF4-FFF2-40B4-BE49-F238E27FC236}">
              <a16:creationId xmlns:a16="http://schemas.microsoft.com/office/drawing/2014/main" id="{DC8EF9AD-6F8D-EDE8-1959-4C1A360DB96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72074" y="3771826"/>
          <a:ext cx="1876425" cy="1407319"/>
        </a:xfrm>
        <a:prstGeom prst="rect">
          <a:avLst/>
        </a:prstGeom>
      </xdr:spPr>
    </xdr:pic>
    <xdr:clientData/>
  </xdr:twoCellAnchor>
  <xdr:twoCellAnchor editAs="oneCell">
    <xdr:from>
      <xdr:col>8</xdr:col>
      <xdr:colOff>145274</xdr:colOff>
      <xdr:row>21</xdr:row>
      <xdr:rowOff>16576</xdr:rowOff>
    </xdr:from>
    <xdr:to>
      <xdr:col>11</xdr:col>
      <xdr:colOff>250049</xdr:colOff>
      <xdr:row>29</xdr:row>
      <xdr:rowOff>128495</xdr:rowOff>
    </xdr:to>
    <xdr:pic>
      <xdr:nvPicPr>
        <xdr:cNvPr id="14" name="Picture 13">
          <a:extLst>
            <a:ext uri="{FF2B5EF4-FFF2-40B4-BE49-F238E27FC236}">
              <a16:creationId xmlns:a16="http://schemas.microsoft.com/office/drawing/2014/main" id="{3DE75F23-C362-063A-DB9E-8E546F9290E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69674" y="5322001"/>
          <a:ext cx="1876425" cy="1407319"/>
        </a:xfrm>
        <a:prstGeom prst="rect">
          <a:avLst/>
        </a:prstGeom>
      </xdr:spPr>
    </xdr:pic>
    <xdr:clientData/>
  </xdr:twoCellAnchor>
  <xdr:twoCellAnchor editAs="oneCell">
    <xdr:from>
      <xdr:col>8</xdr:col>
      <xdr:colOff>152399</xdr:colOff>
      <xdr:row>2</xdr:row>
      <xdr:rowOff>14176</xdr:rowOff>
    </xdr:from>
    <xdr:to>
      <xdr:col>11</xdr:col>
      <xdr:colOff>257174</xdr:colOff>
      <xdr:row>10</xdr:row>
      <xdr:rowOff>126095</xdr:rowOff>
    </xdr:to>
    <xdr:pic>
      <xdr:nvPicPr>
        <xdr:cNvPr id="16" name="Picture 15">
          <a:extLst>
            <a:ext uri="{FF2B5EF4-FFF2-40B4-BE49-F238E27FC236}">
              <a16:creationId xmlns:a16="http://schemas.microsoft.com/office/drawing/2014/main" id="{0D3481CC-841E-7A02-46A6-13413B6932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76799" y="2243026"/>
          <a:ext cx="1876425" cy="1407319"/>
        </a:xfrm>
        <a:prstGeom prst="rect">
          <a:avLst/>
        </a:prstGeom>
      </xdr:spPr>
    </xdr:pic>
    <xdr:clientData/>
  </xdr:twoCellAnchor>
  <xdr:twoCellAnchor editAs="oneCell">
    <xdr:from>
      <xdr:col>0</xdr:col>
      <xdr:colOff>335625</xdr:colOff>
      <xdr:row>21</xdr:row>
      <xdr:rowOff>21300</xdr:rowOff>
    </xdr:from>
    <xdr:to>
      <xdr:col>4</xdr:col>
      <xdr:colOff>31778</xdr:colOff>
      <xdr:row>29</xdr:row>
      <xdr:rowOff>97599</xdr:rowOff>
    </xdr:to>
    <xdr:pic>
      <xdr:nvPicPr>
        <xdr:cNvPr id="18" name="Picture 17">
          <a:extLst>
            <a:ext uri="{FF2B5EF4-FFF2-40B4-BE49-F238E27FC236}">
              <a16:creationId xmlns:a16="http://schemas.microsoft.com/office/drawing/2014/main" id="{F46D2394-BEB7-A121-0A7F-C244793F389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5625" y="5326725"/>
          <a:ext cx="2058353" cy="1371699"/>
        </a:xfrm>
        <a:prstGeom prst="rect">
          <a:avLst/>
        </a:prstGeom>
      </xdr:spPr>
    </xdr:pic>
    <xdr:clientData/>
  </xdr:twoCellAnchor>
  <xdr:twoCellAnchor editAs="oneCell">
    <xdr:from>
      <xdr:col>0</xdr:col>
      <xdr:colOff>342750</xdr:colOff>
      <xdr:row>11</xdr:row>
      <xdr:rowOff>76050</xdr:rowOff>
    </xdr:from>
    <xdr:to>
      <xdr:col>4</xdr:col>
      <xdr:colOff>38903</xdr:colOff>
      <xdr:row>19</xdr:row>
      <xdr:rowOff>152349</xdr:rowOff>
    </xdr:to>
    <xdr:pic>
      <xdr:nvPicPr>
        <xdr:cNvPr id="20" name="Picture 19">
          <a:extLst>
            <a:ext uri="{FF2B5EF4-FFF2-40B4-BE49-F238E27FC236}">
              <a16:creationId xmlns:a16="http://schemas.microsoft.com/office/drawing/2014/main" id="{5BFFECF6-8DEE-9176-B5CF-81A430ACE1D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42750" y="3762225"/>
          <a:ext cx="2058353" cy="13716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672353</xdr:colOff>
      <xdr:row>179</xdr:row>
      <xdr:rowOff>78442</xdr:rowOff>
    </xdr:from>
    <xdr:to>
      <xdr:col>2</xdr:col>
      <xdr:colOff>1555125</xdr:colOff>
      <xdr:row>375</xdr:row>
      <xdr:rowOff>604</xdr:rowOff>
    </xdr:to>
    <xdr:pic>
      <xdr:nvPicPr>
        <xdr:cNvPr id="3" name="Picture 2">
          <a:extLst>
            <a:ext uri="{FF2B5EF4-FFF2-40B4-BE49-F238E27FC236}">
              <a16:creationId xmlns:a16="http://schemas.microsoft.com/office/drawing/2014/main" id="{BCFA06B9-2D80-430B-B9B8-FF1EEA12EC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8677" y="28059530"/>
          <a:ext cx="876422" cy="3143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1</xdr:row>
      <xdr:rowOff>42861</xdr:rowOff>
    </xdr:from>
    <xdr:to>
      <xdr:col>42</xdr:col>
      <xdr:colOff>361950</xdr:colOff>
      <xdr:row>35</xdr:row>
      <xdr:rowOff>161924</xdr:rowOff>
    </xdr:to>
    <xdr:graphicFrame macro="">
      <xdr:nvGraphicFramePr>
        <xdr:cNvPr id="2" name="Chart 1">
          <a:extLst>
            <a:ext uri="{FF2B5EF4-FFF2-40B4-BE49-F238E27FC236}">
              <a16:creationId xmlns:a16="http://schemas.microsoft.com/office/drawing/2014/main" id="{DC4ACCEF-F067-4A6B-886A-E084D4689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EWIS\00REPORT\00-9897\ESUITEBP\ESUITFIX.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etorg4686179.sharepoint.com/Acquistions/UC/Shady%20Glen%20Estates%20-%20Colfax/DD%20Checklist%20-%20Shady%20Glen.xlsx" TargetMode="External"/><Relationship Id="rId1" Type="http://schemas.openxmlformats.org/officeDocument/2006/relationships/externalLinkPath" Target="/Acquistions/UC/Shady%20Glen%20Estates%20-%20Colfax/DD%20Checklist%20-%20Shady%20Gl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Ophist1"/>
      <sheetName val="Ophist2"/>
      <sheetName val="Ophist%"/>
      <sheetName val="Ophist YTD"/>
      <sheetName val="Trailing 12"/>
      <sheetName val="Base Year"/>
      <sheetName val="FixVar"/>
      <sheetName val="Hotel Tax Model"/>
      <sheetName val="Projection"/>
      <sheetName val="Hotel Tax Model-Report Table"/>
      <sheetName val="bpcaexplan"/>
      <sheetName val="Recapture"/>
      <sheetName val="Hotel % Rent"/>
      <sheetName val="All Tax Comps"/>
      <sheetName val="Selected Tax Comps"/>
      <sheetName val="Ten Year"/>
      <sheetName val="DCF"/>
      <sheetName val="Matrix"/>
      <sheetName val="Fin Summary"/>
      <sheetName val="Comps"/>
      <sheetName val="Ind Avgs"/>
      <sheetName val="Inv Survey"/>
      <sheetName val="Inc Exp"/>
      <sheetName val="IE Forecast"/>
      <sheetName val="Dialog2"/>
      <sheetName val="Dialog5"/>
      <sheetName val="Module1"/>
      <sheetName val="L"/>
      <sheetName val="Dialog1"/>
      <sheetName val="Dialog3"/>
      <sheetName val="Dialog4"/>
    </sheetNames>
    <sheetDataSet>
      <sheetData sheetId="0"/>
      <sheetData sheetId="1"/>
      <sheetData sheetId="2"/>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sheetData sheetId="24"/>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ickable Index"/>
      <sheetName val="DOCUMENT INVENTORY"/>
      <sheetName val="FOLLOW UP SUMMARY"/>
      <sheetName val="Follow Up Summary Instructions"/>
      <sheetName val="OSP Menu"/>
      <sheetName val="TOP 5"/>
      <sheetName val="Bank - UTILITY AUDIT"/>
      <sheetName val="small PG&amp;E"/>
      <sheetName val="large PG&amp;E"/>
      <sheetName val="Rent Roll Audit"/>
      <sheetName val="Summary, PSA, Title"/>
      <sheetName val="Infrastructure"/>
      <sheetName val="Accounting, Taxes, Tenants"/>
      <sheetName val="Env, Special, Access, Util"/>
      <sheetName val="Market-Final Tasks"/>
      <sheetName val="Rent Comps"/>
      <sheetName val="Sales Comps"/>
      <sheetName val="Due Diligence Budget"/>
    </sheetNames>
    <sheetDataSet>
      <sheetData sheetId="0"/>
      <sheetData sheetId="1"/>
      <sheetData sheetId="2"/>
      <sheetData sheetId="3"/>
      <sheetData sheetId="4"/>
      <sheetData sheetId="5"/>
      <sheetData sheetId="6"/>
      <sheetData sheetId="7"/>
      <sheetData sheetId="8"/>
      <sheetData sheetId="9"/>
      <sheetData sheetId="10">
        <row r="2">
          <cell r="O2" t="str">
            <v>In Progress</v>
          </cell>
        </row>
        <row r="3">
          <cell r="O3" t="str">
            <v>Not Started</v>
          </cell>
        </row>
        <row r="4">
          <cell r="O4" t="str">
            <v>READY TO REVIEW</v>
          </cell>
        </row>
        <row r="5">
          <cell r="O5" t="str">
            <v>Waiting On…</v>
          </cell>
        </row>
        <row r="6">
          <cell r="O6" t="str">
            <v>Deferred</v>
          </cell>
        </row>
        <row r="7">
          <cell r="O7" t="str">
            <v>N/A</v>
          </cell>
        </row>
        <row r="8">
          <cell r="O8" t="str">
            <v>CRITICAL PATH</v>
          </cell>
        </row>
      </sheetData>
      <sheetData sheetId="11"/>
      <sheetData sheetId="12"/>
      <sheetData sheetId="13">
        <row r="12">
          <cell r="E12" t="str">
            <v>Due Date</v>
          </cell>
        </row>
        <row r="18">
          <cell r="E18" t="str">
            <v>Due Date</v>
          </cell>
        </row>
      </sheetData>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huduser.gov/portal/datasets/fmr/fmrs/FY2024_code/2024summary.odn" TargetMode="External"/><Relationship Id="rId1" Type="http://schemas.openxmlformats.org/officeDocument/2006/relationships/hyperlink" Target="https://www.zillow.com/colfax-ca/apartments/?searchQueryState=%7B%22pagination%22%3A%7B%7D%2C%22isMapVisible%22%3Atrue%2C%22mapBounds%22%3A%7B%22west%22%3A-121.15173733789062%2C%22east%22%3A-120.76652920800781%2C%22south%22%3A38.984701451810245%2C%22north%22%3A39.20399422209409%7D%2C%22regionSelection%22%3A%5B%7B%22regionId%22%3A10902%2C%22regionType%22%3A6%7D%5D%2C%22filterState%22%3A%7B%22sort%22%3A%7B%22value%22%3A%22priorityscore%22%7D%2C%22ah%22%3A%7B%22value%22%3Atrue%7D%2C%22beds%22%3A%7B%22min%22%3A2%7D%2C%22sf%22%3A%7B%22value%22%3Afalse%7D%2C%22tow%22%3A%7B%22value%22%3Afalse%7D%2C%22mf%22%3A%7B%22value%22%3Afalse%7D%2C%22land%22%3A%7B%22value%22%3Afalse%7D%2C%22manu%22%3A%7B%22value%22%3Afalse%7D%2C%22fr%22%3A%7B%22value%22%3Atrue%7D%2C%22fsba%22%3A%7B%22value%22%3Afalse%7D%2C%22fsbo%22%3A%7B%22value%22%3Afalse%7D%2C%22nc%22%3A%7B%22value%22%3Afalse%7D%2C%22cmsn%22%3A%7B%22value%22%3Afalse%7D%2C%22auc%22%3A%7B%22value%22%3Afalse%7D%2C%22fore%22%3A%7B%22value%22%3Afalse%7D%7D%2C%22isListVisible%22%3Atrue%2C%22mapZoom%22%3A12%2C%22usersSearchTerm%22%3A%22Colfax%20CA%22%7D"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zillow.com/colfax-ca/rentals/?searchQueryState=%7B%22pagination%22%3A%7B%7D%2C%22isMapVisible%22%3Atrue%2C%22mapBounds%22%3A%7B%22north%22%3A39.21795998319647%2C%22south%22%3A38.971223255645164%2C%22east%22%3A-120.60345089990234%2C%22west%22%3A-121.19190610009765%7D%2C%22usersSearchTerm%22%3A%22Redding%2C%20CA%22%2C%22filterState%22%3A%7B%22sort%22%3A%7B%22value%22%3A%22paymenta%22%7D%2C%22sf%22%3A%7B%22value%22%3Afalse%7D%2C%22tow%22%3A%7B%22value%22%3Afalse%7D%2C%22con%22%3A%7B%22value%22%3Afalse%7D%2C%22land%22%3A%7B%22value%22%3Afalse%7D%2C%22ah%22%3A%7B%22value%22%3Atrue%7D%2C%22apa%22%3A%7B%22value%22%3Afalse%7D%2C%22manu%22%3A%7B%22value%22%3Afalse%7D%2C%22apco%22%3A%7B%22value%22%3Afalse%7D%2C%22fr%22%3A%7B%22value%22%3Atrue%7D%2C%22fsba%22%3A%7B%22value%22%3Afalse%7D%2C%22fsbo%22%3A%7B%22value%22%3Afalse%7D%2C%22nc%22%3A%7B%22value%22%3Afalse%7D%2C%22cmsn%22%3A%7B%22value%22%3Afalse%7D%2C%22auc%22%3A%7B%22value%22%3Afalse%7D%2C%22fore%22%3A%7B%22value%22%3Afalse%7D%2C%22beds%22%3A%7B%22min%22%3A2%2C%22max%22%3A2%7D%7D%2C%22isListVisible%22%3Atrue%2C%22regionSelection%22%3A%5B%7B%22regionId%22%3A10902%2C%22regionType%22%3A6%7D%5D%2C%22mapZoom%22%3A11%7D"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B6:I59"/>
  <sheetViews>
    <sheetView tabSelected="1" workbookViewId="0"/>
  </sheetViews>
  <sheetFormatPr defaultColWidth="8.85546875" defaultRowHeight="12.75" x14ac:dyDescent="0.2"/>
  <cols>
    <col min="1" max="1" width="3.85546875" customWidth="1"/>
    <col min="2" max="2" width="15.7109375" customWidth="1"/>
    <col min="3" max="3" width="13" customWidth="1"/>
    <col min="4" max="4" width="11.28515625" customWidth="1"/>
    <col min="5" max="5" width="12.85546875" customWidth="1"/>
    <col min="6" max="6" width="11" customWidth="1"/>
    <col min="7" max="7" width="14" customWidth="1"/>
    <col min="8" max="8" width="11.140625" customWidth="1"/>
    <col min="9" max="9" width="9.7109375" customWidth="1"/>
  </cols>
  <sheetData>
    <row r="6" spans="2:9" x14ac:dyDescent="0.2">
      <c r="B6" s="11" t="str">
        <f>Proforma!C1</f>
        <v>Shady Glen - 450 Gladycon Rd, Colfax CA 95713</v>
      </c>
    </row>
    <row r="8" spans="2:9" ht="33" customHeight="1" x14ac:dyDescent="0.2">
      <c r="B8" s="616" t="s">
        <v>0</v>
      </c>
      <c r="C8" s="616" t="s">
        <v>1</v>
      </c>
      <c r="D8" s="616" t="s">
        <v>2</v>
      </c>
      <c r="E8" s="616" t="s">
        <v>3</v>
      </c>
      <c r="F8" s="616" t="s">
        <v>4</v>
      </c>
      <c r="G8" s="616" t="s">
        <v>5</v>
      </c>
      <c r="H8" s="616" t="s">
        <v>6</v>
      </c>
      <c r="I8" s="616" t="s">
        <v>7</v>
      </c>
    </row>
    <row r="9" spans="2:9" ht="26.1" customHeight="1" x14ac:dyDescent="0.2">
      <c r="B9" s="617">
        <f>'Financial Summary'!B5</f>
        <v>10230000</v>
      </c>
      <c r="C9" s="618">
        <f>Proforma!D15</f>
        <v>118</v>
      </c>
      <c r="D9" s="617">
        <f>B9/C9</f>
        <v>86694.91525423729</v>
      </c>
      <c r="E9" s="617">
        <f>Proforma!D5</f>
        <v>630000</v>
      </c>
      <c r="F9" s="619">
        <f>Proforma!G15</f>
        <v>5.9322033898305086E-2</v>
      </c>
      <c r="G9" s="618">
        <f>Proforma!D17</f>
        <v>0</v>
      </c>
      <c r="H9" s="619">
        <f ca="1">Proforma!D8</f>
        <v>6.0367604620994463E-2</v>
      </c>
      <c r="I9" s="619">
        <f ca="1">Proforma!D135</f>
        <v>0.14666612540249613</v>
      </c>
    </row>
    <row r="11" spans="2:9" ht="15" x14ac:dyDescent="0.2">
      <c r="B11" s="105" t="s">
        <v>8</v>
      </c>
    </row>
    <row r="12" spans="2:9" ht="13.35" customHeight="1" x14ac:dyDescent="0.2">
      <c r="B12" s="67" t="s">
        <v>9</v>
      </c>
      <c r="C12" s="67"/>
      <c r="D12" s="67"/>
      <c r="E12" s="67"/>
      <c r="F12" s="67" t="s">
        <v>1011</v>
      </c>
      <c r="G12" s="67"/>
      <c r="H12" s="67"/>
      <c r="I12" s="67"/>
    </row>
    <row r="13" spans="2:9" ht="15" x14ac:dyDescent="0.2">
      <c r="B13" s="67" t="s">
        <v>10</v>
      </c>
      <c r="C13" s="67"/>
      <c r="D13" s="67"/>
      <c r="E13" s="67"/>
      <c r="F13" s="67" t="s">
        <v>11</v>
      </c>
      <c r="G13" s="67"/>
      <c r="H13" s="67"/>
      <c r="I13" s="67"/>
    </row>
    <row r="14" spans="2:9" ht="15" x14ac:dyDescent="0.2">
      <c r="B14" s="67" t="s">
        <v>12</v>
      </c>
      <c r="C14" s="67"/>
      <c r="D14" s="67"/>
      <c r="E14" s="67"/>
      <c r="F14" s="67" t="s">
        <v>13</v>
      </c>
      <c r="G14" s="67"/>
      <c r="H14" s="67"/>
      <c r="I14" s="67"/>
    </row>
    <row r="15" spans="2:9" ht="15" x14ac:dyDescent="0.2">
      <c r="B15" s="67" t="s">
        <v>14</v>
      </c>
      <c r="C15" s="67"/>
      <c r="D15" s="67"/>
      <c r="E15" s="67"/>
      <c r="F15" s="67"/>
      <c r="H15" s="67"/>
      <c r="I15" s="67"/>
    </row>
    <row r="16" spans="2:9" ht="13.35" customHeight="1" x14ac:dyDescent="0.2">
      <c r="B16" s="67"/>
    </row>
    <row r="18" spans="2:9" ht="15" x14ac:dyDescent="0.2">
      <c r="B18" s="105" t="s">
        <v>15</v>
      </c>
    </row>
    <row r="19" spans="2:9" ht="207.75" customHeight="1" x14ac:dyDescent="0.2">
      <c r="B19" s="845"/>
      <c r="C19" s="845"/>
      <c r="D19" s="845"/>
      <c r="E19" s="845"/>
      <c r="F19" s="845"/>
      <c r="G19" s="845"/>
      <c r="H19" s="845"/>
      <c r="I19" s="845"/>
    </row>
    <row r="20" spans="2:9" ht="15" x14ac:dyDescent="0.2">
      <c r="B20" s="105" t="s">
        <v>16</v>
      </c>
      <c r="C20" s="508"/>
      <c r="D20" s="508"/>
      <c r="E20" s="508"/>
      <c r="F20" s="508"/>
      <c r="G20" s="508"/>
      <c r="H20" s="508"/>
      <c r="I20" s="508"/>
    </row>
    <row r="21" spans="2:9" ht="70.5" customHeight="1" x14ac:dyDescent="0.2">
      <c r="B21" s="4"/>
      <c r="C21" s="508"/>
      <c r="D21" s="508"/>
      <c r="E21" s="508"/>
      <c r="F21" s="508"/>
      <c r="G21" s="508"/>
      <c r="H21" s="508"/>
      <c r="I21" s="508"/>
    </row>
    <row r="22" spans="2:9" ht="15" hidden="1" x14ac:dyDescent="0.2">
      <c r="B22" s="5"/>
      <c r="C22" s="508"/>
      <c r="D22" s="508"/>
      <c r="E22" s="508"/>
      <c r="F22" s="508"/>
      <c r="G22" s="508"/>
      <c r="H22" s="508"/>
      <c r="I22" s="508"/>
    </row>
    <row r="23" spans="2:9" ht="15" hidden="1" x14ac:dyDescent="0.2">
      <c r="B23" s="5"/>
      <c r="C23" s="508"/>
      <c r="D23" s="508"/>
      <c r="E23" s="508"/>
      <c r="F23" s="508"/>
      <c r="G23" s="508"/>
      <c r="H23" s="508"/>
      <c r="I23" s="508"/>
    </row>
    <row r="24" spans="2:9" ht="15" hidden="1" x14ac:dyDescent="0.2">
      <c r="B24" s="5"/>
    </row>
    <row r="25" spans="2:9" ht="15" hidden="1" x14ac:dyDescent="0.2">
      <c r="B25" s="5"/>
    </row>
    <row r="26" spans="2:9" hidden="1" x14ac:dyDescent="0.2"/>
    <row r="27" spans="2:9" hidden="1" x14ac:dyDescent="0.2"/>
    <row r="28" spans="2:9" hidden="1" x14ac:dyDescent="0.2"/>
    <row r="29" spans="2:9" ht="20.45" customHeight="1" x14ac:dyDescent="0.2">
      <c r="B29" s="105" t="s">
        <v>17</v>
      </c>
    </row>
    <row r="30" spans="2:9" ht="75" customHeight="1" x14ac:dyDescent="0.2">
      <c r="B30" s="846"/>
      <c r="C30" s="847"/>
      <c r="D30" s="847"/>
      <c r="E30" s="847"/>
      <c r="F30" s="847"/>
      <c r="G30" s="847"/>
      <c r="H30" s="847"/>
    </row>
    <row r="31" spans="2:9" ht="15" x14ac:dyDescent="0.2">
      <c r="B31" s="5"/>
    </row>
    <row r="32" spans="2:9" ht="13.5" thickBot="1" x14ac:dyDescent="0.25"/>
    <row r="33" spans="2:9" x14ac:dyDescent="0.2">
      <c r="B33" s="106" t="s">
        <v>18</v>
      </c>
      <c r="C33" s="106" t="s">
        <v>19</v>
      </c>
      <c r="D33" s="106" t="s">
        <v>4</v>
      </c>
      <c r="E33" s="106" t="s">
        <v>20</v>
      </c>
      <c r="F33" s="107" t="s">
        <v>21</v>
      </c>
      <c r="G33" s="108"/>
    </row>
    <row r="34" spans="2:9" ht="27.75" customHeight="1" thickBot="1" x14ac:dyDescent="0.25">
      <c r="B34" s="2">
        <f ca="1">Proforma!J103</f>
        <v>17276830.178760916</v>
      </c>
      <c r="C34" s="65">
        <f ca="1">B34/C9</f>
        <v>146413.81507424504</v>
      </c>
      <c r="D34" s="3">
        <f>Proforma!E38</f>
        <v>0.04</v>
      </c>
      <c r="E34" s="3">
        <f>Proforma!D9</f>
        <v>5.5E-2</v>
      </c>
      <c r="F34" s="843">
        <f ca="1">Proforma!D137/-Proforma!E131</f>
        <v>0.38727111106790812</v>
      </c>
      <c r="G34" s="844"/>
    </row>
    <row r="35" spans="2:9" ht="13.5" thickBot="1" x14ac:dyDescent="0.25"/>
    <row r="36" spans="2:9" ht="18" x14ac:dyDescent="0.25">
      <c r="B36" s="78" t="s">
        <v>22</v>
      </c>
      <c r="C36" s="79"/>
      <c r="D36" s="79"/>
      <c r="E36" s="79"/>
      <c r="F36" s="79"/>
      <c r="G36" s="79"/>
      <c r="H36" s="79"/>
      <c r="I36" s="80"/>
    </row>
    <row r="37" spans="2:9" x14ac:dyDescent="0.2">
      <c r="B37" s="81"/>
      <c r="C37" s="44"/>
      <c r="D37" s="44"/>
      <c r="E37" s="44"/>
      <c r="F37" s="44"/>
      <c r="G37" s="44"/>
      <c r="H37" s="44"/>
      <c r="I37" s="509"/>
    </row>
    <row r="38" spans="2:9" ht="13.35" customHeight="1" thickBot="1" x14ac:dyDescent="0.25">
      <c r="B38" s="100" t="s">
        <v>23</v>
      </c>
      <c r="C38" s="66"/>
      <c r="D38" s="82">
        <f>-Proforma!E116</f>
        <v>4230000</v>
      </c>
      <c r="E38" s="848" t="str">
        <f>TEXT(Proforma!K22,"0%")&amp;" preferred return paid to investors.  All cash flow including refinance proceeds above the "&amp;TEXT(Proforma!K22,"0%")&amp;" preferred shall be paid to investors until 100% of their investment is returned.  After 100% of the original capital has been returned, then investors and BVG shall split the cash flow and refinance proceeds "&amp;TEXT(Proforma!K20,"00%")&amp;"/"&amp;TEXT(Proforma!K21,"00%")</f>
        <v>5% preferred return paid to investors.  All cash flow including refinance proceeds above the 5% preferred shall be paid to investors until 100% of their investment is returned.  After 100% of the original capital has been returned, then investors and BVG shall split the cash flow and refinance proceeds 50%/50%</v>
      </c>
      <c r="F38" s="848"/>
      <c r="G38" s="848"/>
      <c r="H38" s="848"/>
      <c r="I38" s="849"/>
    </row>
    <row r="39" spans="2:9" ht="15.75" thickBot="1" x14ac:dyDescent="0.3">
      <c r="B39" s="102" t="s">
        <v>24</v>
      </c>
      <c r="C39" s="103"/>
      <c r="D39" s="104">
        <f>D38</f>
        <v>4230000</v>
      </c>
      <c r="E39" s="848"/>
      <c r="F39" s="848"/>
      <c r="G39" s="848"/>
      <c r="H39" s="848"/>
      <c r="I39" s="849"/>
    </row>
    <row r="40" spans="2:9" x14ac:dyDescent="0.2">
      <c r="B40" s="100" t="s">
        <v>25</v>
      </c>
      <c r="C40" s="66"/>
      <c r="D40" s="83">
        <f>IF(InvestorPromote=50%,D39/(D38/5000),D39/(D38/6000))</f>
        <v>5000</v>
      </c>
      <c r="E40" s="848"/>
      <c r="F40" s="848"/>
      <c r="G40" s="848"/>
      <c r="H40" s="848"/>
      <c r="I40" s="849"/>
    </row>
    <row r="41" spans="2:9" x14ac:dyDescent="0.2">
      <c r="B41" s="97"/>
      <c r="C41" s="66" t="s">
        <v>26</v>
      </c>
      <c r="D41" s="96">
        <f>D40/10000</f>
        <v>0.5</v>
      </c>
      <c r="E41" s="848"/>
      <c r="F41" s="848"/>
      <c r="G41" s="848"/>
      <c r="H41" s="848"/>
      <c r="I41" s="849"/>
    </row>
    <row r="42" spans="2:9" x14ac:dyDescent="0.2">
      <c r="B42" s="101"/>
      <c r="C42" s="66"/>
      <c r="D42" s="82"/>
      <c r="E42" s="848"/>
      <c r="F42" s="848"/>
      <c r="G42" s="848"/>
      <c r="H42" s="848"/>
      <c r="I42" s="849"/>
    </row>
    <row r="43" spans="2:9" x14ac:dyDescent="0.2">
      <c r="B43" s="101"/>
      <c r="C43" s="66"/>
      <c r="D43" s="84"/>
      <c r="E43" s="85"/>
      <c r="F43" s="85"/>
      <c r="G43" s="85"/>
      <c r="H43" s="85"/>
      <c r="I43" s="86"/>
    </row>
    <row r="44" spans="2:9" x14ac:dyDescent="0.2">
      <c r="B44" s="97" t="s">
        <v>27</v>
      </c>
      <c r="C44" s="66"/>
      <c r="D44" s="66"/>
      <c r="E44" s="98" t="s">
        <v>28</v>
      </c>
      <c r="F44" s="98" t="s">
        <v>29</v>
      </c>
      <c r="G44" s="98" t="s">
        <v>30</v>
      </c>
      <c r="H44" s="98" t="s">
        <v>31</v>
      </c>
      <c r="I44" s="99" t="s">
        <v>32</v>
      </c>
    </row>
    <row r="45" spans="2:9" x14ac:dyDescent="0.2">
      <c r="B45" s="97"/>
      <c r="C45" s="66"/>
      <c r="D45" s="66"/>
      <c r="E45" s="87">
        <f ca="1">$D$39*E46</f>
        <v>161001.58636190719</v>
      </c>
      <c r="F45" s="87">
        <f t="shared" ref="F45:I45" ca="1" si="0">$D$39*F46</f>
        <v>280819.33728558733</v>
      </c>
      <c r="G45" s="87">
        <f t="shared" ca="1" si="0"/>
        <v>339261.92745174095</v>
      </c>
      <c r="H45" s="87">
        <f t="shared" ca="1" si="0"/>
        <v>401438.88870825793</v>
      </c>
      <c r="I45" s="88">
        <f t="shared" ca="1" si="0"/>
        <v>455635.06000975776</v>
      </c>
    </row>
    <row r="46" spans="2:9" x14ac:dyDescent="0.2">
      <c r="B46" s="97"/>
      <c r="C46" s="66"/>
      <c r="D46" s="66"/>
      <c r="E46" s="89">
        <f ca="1">'Financial Summary'!E17</f>
        <v>3.8061840747495787E-2</v>
      </c>
      <c r="F46" s="89">
        <f ca="1">'Financial Summary'!F17</f>
        <v>6.6387550185718042E-2</v>
      </c>
      <c r="G46" s="89">
        <f ca="1">'Financial Summary'!G17</f>
        <v>8.0203765355021495E-2</v>
      </c>
      <c r="H46" s="89">
        <f ca="1">'Financial Summary'!H17</f>
        <v>9.4902810569328117E-2</v>
      </c>
      <c r="I46" s="90">
        <f ca="1">'Financial Summary'!I17</f>
        <v>0.10771514421034463</v>
      </c>
    </row>
    <row r="47" spans="2:9" ht="6.6" customHeight="1" x14ac:dyDescent="0.2">
      <c r="B47" s="97"/>
      <c r="C47" s="66"/>
      <c r="D47" s="66"/>
      <c r="E47" s="66"/>
      <c r="F47" s="66"/>
      <c r="G47" s="66"/>
      <c r="H47" s="66"/>
      <c r="I47" s="91"/>
    </row>
    <row r="48" spans="2:9" x14ac:dyDescent="0.2">
      <c r="B48" s="97" t="s">
        <v>33</v>
      </c>
      <c r="C48" s="66"/>
      <c r="D48" s="66"/>
      <c r="E48" s="92">
        <f>$D$41*Proforma!F141*2</f>
        <v>-7872013.3875524476</v>
      </c>
      <c r="F48" s="92">
        <f>$D$41*Proforma!G141*2</f>
        <v>-8540.3175524475519</v>
      </c>
      <c r="G48" s="92">
        <f>$D$41*Proforma!H141*2</f>
        <v>-8540.3175524475519</v>
      </c>
      <c r="H48" s="92">
        <f>$D$41*Proforma!I141*2</f>
        <v>-8540.3175524475519</v>
      </c>
      <c r="I48" s="93">
        <f>$D$41*Proforma!J141*2</f>
        <v>-8540.3175524475519</v>
      </c>
    </row>
    <row r="49" spans="2:9" x14ac:dyDescent="0.2">
      <c r="B49" s="97"/>
      <c r="C49" s="66"/>
      <c r="D49" s="66"/>
      <c r="E49" s="66"/>
      <c r="F49" s="66"/>
      <c r="G49" s="66"/>
      <c r="H49" s="66"/>
      <c r="I49" s="91"/>
    </row>
    <row r="50" spans="2:9" x14ac:dyDescent="0.2">
      <c r="B50" s="97" t="s">
        <v>34</v>
      </c>
      <c r="E50" s="109">
        <f ca="1">SUM(E45:I45)</f>
        <v>1638156.7998172513</v>
      </c>
      <c r="H50" s="110" t="s">
        <v>35</v>
      </c>
      <c r="I50" s="111">
        <f ca="1">Proforma!D135</f>
        <v>0.14666612540249613</v>
      </c>
    </row>
    <row r="51" spans="2:9" ht="15" x14ac:dyDescent="0.35">
      <c r="B51" s="97" t="s">
        <v>36</v>
      </c>
      <c r="E51" s="112">
        <f ca="1">D41*(Proforma!J103-IF(Proforma!D98&lt;&gt;5,Proforma!J98,Proforma!K92))</f>
        <v>5533902.7668313999</v>
      </c>
      <c r="H51" s="110" t="s">
        <v>37</v>
      </c>
      <c r="I51" s="111">
        <f ca="1">Proforma!D145</f>
        <v>0.29891049554921389</v>
      </c>
    </row>
    <row r="52" spans="2:9" x14ac:dyDescent="0.2">
      <c r="B52" s="345" t="s">
        <v>38</v>
      </c>
      <c r="C52" s="346"/>
      <c r="D52" s="346"/>
      <c r="E52" s="347">
        <f ca="1">E50+E51</f>
        <v>7172059.5666486509</v>
      </c>
      <c r="I52" s="348"/>
    </row>
    <row r="53" spans="2:9" ht="13.5" thickBot="1" x14ac:dyDescent="0.25">
      <c r="B53" s="343" t="s">
        <v>39</v>
      </c>
      <c r="C53" s="94"/>
      <c r="D53" s="94"/>
      <c r="E53" s="344">
        <f ca="1">+E52/D39</f>
        <v>1.6955223561817141</v>
      </c>
      <c r="F53" s="94"/>
      <c r="G53" s="94"/>
      <c r="H53" s="94"/>
      <c r="I53" s="113"/>
    </row>
    <row r="55" spans="2:9" x14ac:dyDescent="0.2">
      <c r="I55" s="501" t="s">
        <v>40</v>
      </c>
    </row>
    <row r="56" spans="2:9" x14ac:dyDescent="0.2">
      <c r="F56" s="500" t="s">
        <v>41</v>
      </c>
      <c r="I56" s="501" t="s">
        <v>42</v>
      </c>
    </row>
    <row r="58" spans="2:9" x14ac:dyDescent="0.2">
      <c r="H58" s="500"/>
      <c r="I58" s="70"/>
    </row>
    <row r="59" spans="2:9" x14ac:dyDescent="0.2">
      <c r="I59" s="70"/>
    </row>
  </sheetData>
  <sheetProtection algorithmName="SHA-512" hashValue="5O+7ROCdLvFvVSv7RR9KAD9IHegbS2ptzE04LA10Y+xvnj4qpGt+DGnUKI4AOMt8INGjZwLgOaEEmK/zuFotBA==" saltValue="dfeB2B+X3cl9EypUHMsfwQ==" spinCount="100000" sheet="1" objects="1" scenarios="1"/>
  <protectedRanges>
    <protectedRange sqref="D39" name="Range1"/>
  </protectedRanges>
  <mergeCells count="4">
    <mergeCell ref="F34:G34"/>
    <mergeCell ref="B19:I19"/>
    <mergeCell ref="B30:H30"/>
    <mergeCell ref="E38:I42"/>
  </mergeCells>
  <pageMargins left="0.5" right="0.5" top="0.5" bottom="0.5" header="0.3" footer="0.3"/>
  <pageSetup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CD38-0102-4834-932D-032EA85C1A01}">
  <sheetPr codeName="Sheet13">
    <tabColor rgb="FF7030A0"/>
  </sheetPr>
  <dimension ref="A1"/>
  <sheetViews>
    <sheetView workbookViewId="0">
      <selection activeCell="R14" sqref="R14"/>
    </sheetView>
  </sheetViews>
  <sheetFormatPr defaultColWidth="9.140625" defaultRowHeight="15" x14ac:dyDescent="0.25"/>
  <cols>
    <col min="1" max="16384" width="9.140625" style="150"/>
  </cols>
  <sheetData/>
  <sheetProtection algorithmName="SHA-512" hashValue="lT1jAfoWvfF6BPlYeSQMSUy+Z33Mu1KC4NgzKb2ZJd/rdmiCr6GpFkTjkVDUUizP+uluFjvOkhypDZblg0zVYw==" saltValue="hZ2xdbWHgEUvw/7pyxYtVg=="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05EA-A685-4ADC-9128-6A2E339F78B9}">
  <sheetPr codeName="Sheet14">
    <tabColor rgb="FF7030A0"/>
    <pageSetUpPr fitToPage="1"/>
  </sheetPr>
  <dimension ref="A1:C41"/>
  <sheetViews>
    <sheetView workbookViewId="0">
      <selection activeCell="R14" sqref="R14"/>
    </sheetView>
  </sheetViews>
  <sheetFormatPr defaultColWidth="9.140625" defaultRowHeight="15" x14ac:dyDescent="0.25"/>
  <cols>
    <col min="1" max="1" width="9.140625" style="150"/>
    <col min="2" max="2" width="53.7109375" style="150" bestFit="1" customWidth="1"/>
    <col min="3" max="3" width="108.28515625" style="150" bestFit="1" customWidth="1"/>
    <col min="4" max="16384" width="9.140625" style="150"/>
  </cols>
  <sheetData>
    <row r="1" spans="1:3" x14ac:dyDescent="0.25">
      <c r="A1" s="864" t="s">
        <v>548</v>
      </c>
      <c r="B1" s="864"/>
      <c r="C1" s="864"/>
    </row>
    <row r="2" spans="1:3" x14ac:dyDescent="0.25">
      <c r="A2" s="566">
        <v>1</v>
      </c>
      <c r="B2" s="564" t="s">
        <v>422</v>
      </c>
    </row>
    <row r="3" spans="1:3" x14ac:dyDescent="0.25">
      <c r="A3" s="567">
        <v>2</v>
      </c>
      <c r="B3" s="568" t="s">
        <v>423</v>
      </c>
      <c r="C3" s="208" t="s">
        <v>549</v>
      </c>
    </row>
    <row r="4" spans="1:3" x14ac:dyDescent="0.25">
      <c r="A4" s="566">
        <v>3</v>
      </c>
      <c r="B4" s="564" t="s">
        <v>424</v>
      </c>
      <c r="C4" s="150" t="s">
        <v>549</v>
      </c>
    </row>
    <row r="5" spans="1:3" x14ac:dyDescent="0.25">
      <c r="A5" s="567">
        <v>4</v>
      </c>
      <c r="B5" s="568" t="s">
        <v>425</v>
      </c>
      <c r="C5" s="208" t="s">
        <v>550</v>
      </c>
    </row>
    <row r="6" spans="1:3" x14ac:dyDescent="0.25">
      <c r="A6" s="566">
        <v>4403</v>
      </c>
      <c r="B6" s="564" t="s">
        <v>426</v>
      </c>
      <c r="C6" s="150" t="s">
        <v>551</v>
      </c>
    </row>
    <row r="7" spans="1:3" x14ac:dyDescent="0.25">
      <c r="A7" s="567">
        <v>4401</v>
      </c>
      <c r="B7" s="568" t="s">
        <v>164</v>
      </c>
      <c r="C7" s="208" t="s">
        <v>551</v>
      </c>
    </row>
    <row r="8" spans="1:3" x14ac:dyDescent="0.25">
      <c r="A8" s="566">
        <v>4404</v>
      </c>
      <c r="B8" s="564" t="s">
        <v>291</v>
      </c>
      <c r="C8" s="150" t="s">
        <v>551</v>
      </c>
    </row>
    <row r="9" spans="1:3" x14ac:dyDescent="0.25">
      <c r="A9" s="567">
        <v>4405</v>
      </c>
      <c r="B9" s="568" t="s">
        <v>104</v>
      </c>
      <c r="C9" s="208" t="s">
        <v>551</v>
      </c>
    </row>
    <row r="10" spans="1:3" x14ac:dyDescent="0.25">
      <c r="A10" s="566">
        <v>4402</v>
      </c>
      <c r="B10" s="564" t="s">
        <v>103</v>
      </c>
      <c r="C10" s="150" t="s">
        <v>551</v>
      </c>
    </row>
    <row r="11" spans="1:3" x14ac:dyDescent="0.25">
      <c r="A11" s="567">
        <v>4998</v>
      </c>
      <c r="B11" s="568" t="s">
        <v>427</v>
      </c>
      <c r="C11" s="208" t="s">
        <v>552</v>
      </c>
    </row>
    <row r="12" spans="1:3" x14ac:dyDescent="0.25">
      <c r="A12" s="566">
        <v>4134</v>
      </c>
      <c r="B12" s="564" t="s">
        <v>428</v>
      </c>
      <c r="C12" s="209" t="s">
        <v>553</v>
      </c>
    </row>
    <row r="15" spans="1:3" x14ac:dyDescent="0.25">
      <c r="A15" s="864" t="s">
        <v>554</v>
      </c>
      <c r="B15" s="864"/>
      <c r="C15" s="864"/>
    </row>
    <row r="17" spans="1:3" ht="15.75" thickBot="1" x14ac:dyDescent="0.3">
      <c r="A17" s="210" t="s">
        <v>555</v>
      </c>
      <c r="B17" s="210" t="s">
        <v>556</v>
      </c>
      <c r="C17" s="210" t="s">
        <v>557</v>
      </c>
    </row>
    <row r="18" spans="1:3" x14ac:dyDescent="0.25">
      <c r="A18" s="566">
        <v>5701</v>
      </c>
      <c r="B18" s="564" t="s">
        <v>558</v>
      </c>
      <c r="C18" s="150" t="s">
        <v>559</v>
      </c>
    </row>
    <row r="19" spans="1:3" x14ac:dyDescent="0.25">
      <c r="A19" s="567">
        <v>5305</v>
      </c>
      <c r="B19" s="568" t="s">
        <v>175</v>
      </c>
      <c r="C19" s="208" t="s">
        <v>560</v>
      </c>
    </row>
    <row r="20" spans="1:3" x14ac:dyDescent="0.25">
      <c r="A20" s="566">
        <v>5306</v>
      </c>
      <c r="B20" s="564" t="s">
        <v>176</v>
      </c>
      <c r="C20" s="150" t="s">
        <v>561</v>
      </c>
    </row>
    <row r="21" spans="1:3" x14ac:dyDescent="0.25">
      <c r="A21" s="567">
        <v>5404</v>
      </c>
      <c r="B21" s="568" t="s">
        <v>426</v>
      </c>
      <c r="C21" s="208" t="s">
        <v>562</v>
      </c>
    </row>
    <row r="22" spans="1:3" x14ac:dyDescent="0.25">
      <c r="A22" s="566">
        <v>5401</v>
      </c>
      <c r="B22" s="564" t="s">
        <v>563</v>
      </c>
      <c r="C22" s="150" t="s">
        <v>564</v>
      </c>
    </row>
    <row r="23" spans="1:3" x14ac:dyDescent="0.25">
      <c r="A23" s="567">
        <v>5405</v>
      </c>
      <c r="B23" s="568" t="s">
        <v>291</v>
      </c>
      <c r="C23" s="208" t="s">
        <v>565</v>
      </c>
    </row>
    <row r="24" spans="1:3" x14ac:dyDescent="0.25">
      <c r="A24" s="566">
        <v>5403</v>
      </c>
      <c r="B24" s="564" t="s">
        <v>446</v>
      </c>
      <c r="C24" s="150" t="s">
        <v>566</v>
      </c>
    </row>
    <row r="25" spans="1:3" x14ac:dyDescent="0.25">
      <c r="A25" s="567">
        <v>5402</v>
      </c>
      <c r="B25" s="568" t="s">
        <v>448</v>
      </c>
      <c r="C25" s="208" t="s">
        <v>567</v>
      </c>
    </row>
    <row r="26" spans="1:3" x14ac:dyDescent="0.25">
      <c r="A26" s="566">
        <v>5603</v>
      </c>
      <c r="B26" s="564" t="s">
        <v>568</v>
      </c>
      <c r="C26" s="150" t="s">
        <v>569</v>
      </c>
    </row>
    <row r="27" spans="1:3" x14ac:dyDescent="0.25">
      <c r="A27" s="567">
        <v>5020</v>
      </c>
      <c r="B27" s="568" t="s">
        <v>183</v>
      </c>
      <c r="C27" s="208" t="s">
        <v>570</v>
      </c>
    </row>
    <row r="28" spans="1:3" x14ac:dyDescent="0.25">
      <c r="A28" s="566">
        <v>5104</v>
      </c>
      <c r="B28" s="564" t="s">
        <v>571</v>
      </c>
      <c r="C28" s="150" t="s">
        <v>572</v>
      </c>
    </row>
    <row r="29" spans="1:3" x14ac:dyDescent="0.25">
      <c r="A29" s="567">
        <v>5109</v>
      </c>
      <c r="B29" s="568" t="s">
        <v>184</v>
      </c>
      <c r="C29" s="208" t="s">
        <v>573</v>
      </c>
    </row>
    <row r="30" spans="1:3" x14ac:dyDescent="0.25">
      <c r="A30" s="566">
        <v>5200</v>
      </c>
      <c r="B30" s="564" t="s">
        <v>185</v>
      </c>
      <c r="C30" s="150" t="s">
        <v>574</v>
      </c>
    </row>
    <row r="31" spans="1:3" x14ac:dyDescent="0.25">
      <c r="A31" s="567">
        <v>5301</v>
      </c>
      <c r="B31" s="211" t="s">
        <v>575</v>
      </c>
      <c r="C31" s="208"/>
    </row>
    <row r="32" spans="1:3" x14ac:dyDescent="0.25">
      <c r="A32" s="566">
        <v>5053</v>
      </c>
      <c r="B32" s="564" t="s">
        <v>186</v>
      </c>
    </row>
    <row r="33" spans="1:3" x14ac:dyDescent="0.25">
      <c r="A33" s="567">
        <v>5604</v>
      </c>
      <c r="B33" s="568" t="s">
        <v>187</v>
      </c>
      <c r="C33" s="208" t="s">
        <v>576</v>
      </c>
    </row>
    <row r="34" spans="1:3" x14ac:dyDescent="0.25">
      <c r="A34" s="566">
        <v>5062</v>
      </c>
      <c r="B34" s="564" t="s">
        <v>188</v>
      </c>
      <c r="C34" s="150" t="s">
        <v>577</v>
      </c>
    </row>
    <row r="35" spans="1:3" x14ac:dyDescent="0.25">
      <c r="A35" s="567">
        <v>5302</v>
      </c>
      <c r="B35" s="568" t="s">
        <v>189</v>
      </c>
      <c r="C35" s="208" t="s">
        <v>578</v>
      </c>
    </row>
    <row r="36" spans="1:3" x14ac:dyDescent="0.25">
      <c r="A36" s="566">
        <v>5001</v>
      </c>
      <c r="B36" s="564" t="s">
        <v>190</v>
      </c>
      <c r="C36" s="150" t="s">
        <v>579</v>
      </c>
    </row>
    <row r="37" spans="1:3" x14ac:dyDescent="0.25">
      <c r="A37" s="567">
        <v>5061</v>
      </c>
      <c r="B37" s="568" t="s">
        <v>191</v>
      </c>
      <c r="C37" s="208" t="s">
        <v>580</v>
      </c>
    </row>
    <row r="38" spans="1:3" x14ac:dyDescent="0.25">
      <c r="A38" s="566">
        <v>5304</v>
      </c>
      <c r="B38" s="564" t="s">
        <v>192</v>
      </c>
      <c r="C38" s="150" t="s">
        <v>581</v>
      </c>
    </row>
    <row r="39" spans="1:3" x14ac:dyDescent="0.25">
      <c r="A39" s="567">
        <v>5064</v>
      </c>
      <c r="B39" s="568" t="s">
        <v>193</v>
      </c>
      <c r="C39" s="208" t="s">
        <v>582</v>
      </c>
    </row>
    <row r="40" spans="1:3" x14ac:dyDescent="0.25">
      <c r="A40" s="566">
        <v>5601</v>
      </c>
      <c r="B40" s="564" t="s">
        <v>194</v>
      </c>
      <c r="C40" s="150" t="s">
        <v>583</v>
      </c>
    </row>
    <row r="41" spans="1:3" x14ac:dyDescent="0.25">
      <c r="A41" s="567">
        <v>5000</v>
      </c>
      <c r="B41" s="568" t="s">
        <v>466</v>
      </c>
      <c r="C41" s="208" t="s">
        <v>584</v>
      </c>
    </row>
  </sheetData>
  <sheetProtection algorithmName="SHA-512" hashValue="TLpdqbx1meajKXFckgC39E1+LAr3ySrMIlERAbEuxIDv+0aEwv0tmu5dp4LhrcehOFY3MjOeYpBm/gOOJDRPOA==" saltValue="En5QqOdipxmfJX1sQ1wRBQ==" spinCount="100000" sheet="1" objects="1" scenarios="1"/>
  <mergeCells count="2">
    <mergeCell ref="A1:C1"/>
    <mergeCell ref="A15:C15"/>
  </mergeCells>
  <pageMargins left="0.2" right="0.2" top="0.25" bottom="0.25" header="0.3" footer="0.3"/>
  <pageSetup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7F88-CAF0-4425-A084-0EAFE098B48C}">
  <sheetPr codeName="Sheet15">
    <tabColor theme="9"/>
    <pageSetUpPr fitToPage="1"/>
  </sheetPr>
  <dimension ref="A1:AC112"/>
  <sheetViews>
    <sheetView workbookViewId="0">
      <selection activeCell="D15" sqref="D15"/>
    </sheetView>
  </sheetViews>
  <sheetFormatPr defaultColWidth="0" defaultRowHeight="0" customHeight="1" zeroHeight="1" x14ac:dyDescent="0.25"/>
  <cols>
    <col min="1" max="1" width="1" style="349" customWidth="1"/>
    <col min="2" max="2" width="29.7109375" style="349" customWidth="1"/>
    <col min="3" max="3" width="15.28515625" style="349" customWidth="1"/>
    <col min="4" max="4" width="16.140625" style="349" bestFit="1" customWidth="1"/>
    <col min="5" max="5" width="20.28515625" style="349" customWidth="1"/>
    <col min="6" max="7" width="10.85546875" style="350" bestFit="1" customWidth="1"/>
    <col min="8" max="9" width="10.140625" style="350" bestFit="1" customWidth="1"/>
    <col min="10" max="10" width="12.28515625" style="350" customWidth="1"/>
    <col min="11" max="11" width="10.28515625" style="350" customWidth="1"/>
    <col min="12" max="13" width="10.140625" style="350" bestFit="1" customWidth="1"/>
    <col min="14" max="14" width="11.85546875" style="350" customWidth="1"/>
    <col min="15" max="16" width="10.140625" style="350" bestFit="1" customWidth="1"/>
    <col min="17" max="17" width="10.28515625" style="349" bestFit="1" customWidth="1"/>
    <col min="18" max="18" width="18.42578125" style="349" bestFit="1" customWidth="1"/>
    <col min="19" max="20" width="10.140625" style="349" bestFit="1" customWidth="1"/>
    <col min="21" max="21" width="11.140625" style="349" bestFit="1" customWidth="1"/>
    <col min="22" max="29" width="9.140625" style="349" customWidth="1"/>
    <col min="30" max="16384" width="9.140625" style="349" hidden="1"/>
  </cols>
  <sheetData>
    <row r="1" spans="1:21" ht="6.75" customHeight="1" x14ac:dyDescent="0.25"/>
    <row r="2" spans="1:21" ht="18.75" x14ac:dyDescent="0.3">
      <c r="B2" s="351" t="s">
        <v>585</v>
      </c>
      <c r="C2" s="352"/>
      <c r="D2" s="352"/>
      <c r="E2" s="352"/>
      <c r="F2" s="353"/>
      <c r="G2" s="353"/>
      <c r="H2" s="353"/>
      <c r="I2" s="353"/>
      <c r="J2" s="353"/>
      <c r="K2" s="353"/>
      <c r="L2" s="353"/>
      <c r="M2" s="353"/>
      <c r="N2" s="353"/>
      <c r="O2" s="353"/>
      <c r="P2" s="353"/>
      <c r="Q2" s="353"/>
      <c r="R2" s="353"/>
      <c r="S2" s="353"/>
      <c r="T2" s="353"/>
      <c r="U2" s="354"/>
    </row>
    <row r="3" spans="1:21" ht="5.0999999999999996" customHeight="1" x14ac:dyDescent="0.25">
      <c r="B3" s="355"/>
      <c r="C3" s="356"/>
      <c r="D3" s="356"/>
      <c r="E3" s="356"/>
      <c r="F3" s="357"/>
      <c r="G3" s="357"/>
      <c r="H3" s="357"/>
      <c r="I3" s="357"/>
      <c r="J3" s="357"/>
      <c r="K3" s="357"/>
      <c r="L3" s="357"/>
      <c r="M3" s="357"/>
      <c r="N3" s="357"/>
      <c r="O3" s="357"/>
      <c r="P3" s="357"/>
      <c r="Q3" s="357"/>
      <c r="R3" s="357"/>
      <c r="S3" s="357"/>
      <c r="T3" s="357"/>
      <c r="U3" s="357"/>
    </row>
    <row r="4" spans="1:21" ht="15.75" x14ac:dyDescent="0.25">
      <c r="B4" s="355" t="s">
        <v>586</v>
      </c>
      <c r="C4" s="356"/>
      <c r="D4" s="358" t="s">
        <v>587</v>
      </c>
      <c r="E4" s="359"/>
      <c r="F4" s="360" t="s">
        <v>588</v>
      </c>
      <c r="G4" s="361">
        <v>10</v>
      </c>
      <c r="H4" s="357"/>
      <c r="I4" s="357"/>
      <c r="J4" s="357"/>
      <c r="K4" s="357"/>
      <c r="L4" s="357"/>
      <c r="M4" s="357"/>
      <c r="N4" s="362"/>
      <c r="O4" s="873"/>
      <c r="P4" s="873"/>
      <c r="Q4" s="873"/>
      <c r="R4" s="873"/>
      <c r="S4" s="873"/>
      <c r="T4" s="357"/>
      <c r="U4" s="357"/>
    </row>
    <row r="5" spans="1:21" ht="15.75" x14ac:dyDescent="0.25">
      <c r="A5" s="349" t="b">
        <f>AND(E5="Yes", H14&lt;Equity_Share_Sponsor)</f>
        <v>0</v>
      </c>
      <c r="B5" s="355" t="s">
        <v>589</v>
      </c>
      <c r="C5" s="356"/>
      <c r="D5" s="363" t="s">
        <v>590</v>
      </c>
      <c r="E5" s="364" t="s">
        <v>82</v>
      </c>
      <c r="F5" s="365" t="s">
        <v>591</v>
      </c>
      <c r="G5" s="366">
        <f>Proforma!D98</f>
        <v>6</v>
      </c>
      <c r="H5" s="367" t="s">
        <v>592</v>
      </c>
      <c r="I5" s="357"/>
      <c r="J5" s="357"/>
      <c r="K5" s="357"/>
      <c r="L5" s="357"/>
      <c r="M5" s="357"/>
      <c r="N5" s="362"/>
      <c r="O5" s="873"/>
      <c r="P5" s="873"/>
      <c r="Q5" s="873"/>
      <c r="R5" s="873"/>
      <c r="S5" s="873"/>
      <c r="T5" s="357"/>
      <c r="U5" s="357"/>
    </row>
    <row r="6" spans="1:21" ht="5.0999999999999996" customHeight="1" x14ac:dyDescent="0.25">
      <c r="B6" s="368"/>
      <c r="C6" s="368"/>
      <c r="D6" s="369"/>
      <c r="E6" s="368"/>
      <c r="F6" s="370"/>
      <c r="G6" s="370"/>
      <c r="H6" s="370"/>
      <c r="I6" s="370"/>
      <c r="J6" s="370"/>
      <c r="K6" s="370"/>
      <c r="L6" s="370"/>
      <c r="M6" s="357"/>
      <c r="N6" s="370"/>
      <c r="O6" s="370"/>
      <c r="P6" s="370"/>
      <c r="Q6" s="368"/>
      <c r="R6" s="368"/>
      <c r="S6" s="368"/>
      <c r="T6" s="368"/>
      <c r="U6" s="368"/>
    </row>
    <row r="7" spans="1:21" ht="16.5" thickBot="1" x14ac:dyDescent="0.3">
      <c r="B7" s="371" t="s">
        <v>593</v>
      </c>
      <c r="C7" s="372" t="s">
        <v>594</v>
      </c>
      <c r="D7" s="372" t="s">
        <v>595</v>
      </c>
      <c r="E7" s="365"/>
      <c r="F7" s="372" t="s">
        <v>596</v>
      </c>
      <c r="G7" s="373">
        <f>Proforma!E103</f>
        <v>5.5E-2</v>
      </c>
      <c r="H7" s="367" t="s">
        <v>597</v>
      </c>
      <c r="I7" s="370"/>
      <c r="J7" s="370"/>
      <c r="K7" s="370"/>
      <c r="L7" s="370"/>
      <c r="M7" s="357"/>
      <c r="N7" s="370"/>
      <c r="O7" s="370"/>
      <c r="P7" s="370"/>
      <c r="Q7" s="368"/>
      <c r="R7" s="368"/>
      <c r="S7" s="368"/>
      <c r="T7" s="368"/>
      <c r="U7" s="368"/>
    </row>
    <row r="8" spans="1:21" ht="15" x14ac:dyDescent="0.25">
      <c r="B8" s="368" t="s">
        <v>598</v>
      </c>
      <c r="C8" s="374">
        <v>0.05</v>
      </c>
      <c r="D8" s="375">
        <f ca="1">Equity_Share_Sponsor*Total_Equity</f>
        <v>238801.96890346511</v>
      </c>
      <c r="E8" s="368"/>
      <c r="F8" s="376"/>
      <c r="G8" s="367"/>
      <c r="H8" s="370"/>
      <c r="I8" s="370"/>
      <c r="J8" s="370"/>
      <c r="K8" s="377" t="s">
        <v>599</v>
      </c>
      <c r="L8" s="378" t="str">
        <f ca="1">IF(ROUND(L10,0)=ROUND(L9,0),"OK","Error")</f>
        <v>OK</v>
      </c>
      <c r="M8" s="370"/>
      <c r="N8" s="370"/>
      <c r="O8" s="370"/>
      <c r="P8" s="370"/>
      <c r="Q8" s="368"/>
      <c r="R8" s="368"/>
      <c r="S8" s="368"/>
      <c r="T8" s="368"/>
      <c r="U8" s="368"/>
    </row>
    <row r="9" spans="1:21" ht="15" x14ac:dyDescent="0.25">
      <c r="B9" s="368" t="s">
        <v>600</v>
      </c>
      <c r="C9" s="379">
        <f>1-C8</f>
        <v>0.95</v>
      </c>
      <c r="D9" s="380">
        <f ca="1">Total_Equity*Equity_Share_LP</f>
        <v>4537237.4091658369</v>
      </c>
      <c r="E9" s="368"/>
      <c r="F9" s="376"/>
      <c r="G9" s="381"/>
      <c r="H9" s="370"/>
      <c r="I9" s="370"/>
      <c r="J9" s="370"/>
      <c r="K9" s="382" t="s">
        <v>601</v>
      </c>
      <c r="L9" s="383">
        <f ca="1">(D23+D33)/1000000</f>
        <v>3.2977492379764932</v>
      </c>
      <c r="M9" s="370"/>
      <c r="N9" s="370"/>
      <c r="O9" s="370"/>
      <c r="P9" s="370"/>
      <c r="Q9" s="368"/>
      <c r="R9" s="384"/>
      <c r="S9" s="368"/>
      <c r="T9" s="368"/>
      <c r="U9" s="368"/>
    </row>
    <row r="10" spans="1:21" ht="15.75" thickBot="1" x14ac:dyDescent="0.3">
      <c r="B10" s="368" t="s">
        <v>602</v>
      </c>
      <c r="C10" s="385"/>
      <c r="D10" s="375">
        <f ca="1">-SUMIF(F47:U47,"&lt;0")</f>
        <v>4776039.3780693021</v>
      </c>
      <c r="E10" s="368"/>
      <c r="F10" s="376"/>
      <c r="G10" s="381"/>
      <c r="H10" s="370"/>
      <c r="I10" s="370"/>
      <c r="J10" s="370"/>
      <c r="K10" s="386" t="s">
        <v>603</v>
      </c>
      <c r="L10" s="387">
        <f ca="1">(SUM(F47:U47)+SUM(F40:U42))/1000000</f>
        <v>3.297749237976495</v>
      </c>
      <c r="M10" s="370"/>
      <c r="N10" s="388"/>
      <c r="O10" s="370"/>
      <c r="P10" s="370"/>
      <c r="Q10" s="368"/>
      <c r="R10" s="384"/>
      <c r="S10" s="368"/>
      <c r="T10" s="368"/>
      <c r="U10" s="368"/>
    </row>
    <row r="11" spans="1:21" ht="5.0999999999999996" customHeight="1" x14ac:dyDescent="0.25">
      <c r="B11" s="368"/>
      <c r="C11" s="385"/>
      <c r="D11" s="389"/>
      <c r="E11" s="368"/>
      <c r="F11" s="376"/>
      <c r="G11" s="381"/>
      <c r="H11" s="370"/>
      <c r="I11" s="370"/>
      <c r="J11" s="370"/>
      <c r="K11" s="370"/>
      <c r="L11" s="370"/>
      <c r="M11" s="370"/>
      <c r="N11" s="370"/>
      <c r="O11" s="370"/>
      <c r="P11" s="370"/>
      <c r="Q11" s="368"/>
      <c r="R11" s="368"/>
      <c r="S11" s="368"/>
      <c r="T11" s="368"/>
      <c r="U11" s="368"/>
    </row>
    <row r="12" spans="1:21" ht="15" x14ac:dyDescent="0.25">
      <c r="B12" s="368"/>
      <c r="C12" s="368"/>
      <c r="D12" s="369"/>
      <c r="E12" s="368"/>
      <c r="F12" s="874" t="s">
        <v>604</v>
      </c>
      <c r="G12" s="875"/>
      <c r="H12" s="878" t="s">
        <v>605</v>
      </c>
      <c r="I12" s="878"/>
      <c r="J12" s="390"/>
      <c r="K12" s="370"/>
      <c r="L12" s="370"/>
      <c r="M12" s="370"/>
      <c r="N12" s="370"/>
      <c r="O12" s="370"/>
      <c r="P12" s="370"/>
      <c r="Q12" s="368"/>
      <c r="R12" s="384"/>
      <c r="S12" s="368"/>
      <c r="T12" s="368"/>
      <c r="U12" s="368"/>
    </row>
    <row r="13" spans="1:21" ht="15.75" x14ac:dyDescent="0.25">
      <c r="B13" s="391" t="str">
        <f>IF(D4="Equity Multiple","Promote Structure (Equity Multiple Hurdles)","Promote Structure (IRR Hurdles)")</f>
        <v>Promote Structure (IRR Hurdles)</v>
      </c>
      <c r="C13" s="392"/>
      <c r="D13" s="393"/>
      <c r="E13" s="392"/>
      <c r="F13" s="876"/>
      <c r="G13" s="877"/>
      <c r="H13" s="394" t="s">
        <v>606</v>
      </c>
      <c r="I13" s="395" t="s">
        <v>607</v>
      </c>
      <c r="J13" s="396" t="s">
        <v>105</v>
      </c>
      <c r="K13" s="397"/>
      <c r="L13" s="397"/>
      <c r="M13" s="397"/>
      <c r="N13" s="397"/>
      <c r="O13" s="370"/>
      <c r="P13" s="370"/>
      <c r="Q13" s="368"/>
      <c r="R13" s="368"/>
      <c r="S13" s="368"/>
      <c r="T13" s="368"/>
      <c r="U13" s="368"/>
    </row>
    <row r="14" spans="1:21" ht="15" x14ac:dyDescent="0.25">
      <c r="B14" s="368" t="s">
        <v>608</v>
      </c>
      <c r="C14" s="398" t="s">
        <v>609</v>
      </c>
      <c r="D14" s="399" t="s">
        <v>610</v>
      </c>
      <c r="E14" s="400">
        <f>IF($D$4="Equity Multiple",C15,D15)</f>
        <v>7.0000000000000007E-2</v>
      </c>
      <c r="F14" s="401" t="s">
        <v>611</v>
      </c>
      <c r="G14" s="402"/>
      <c r="H14" s="403">
        <f>Equity_Share_Sponsor</f>
        <v>0.05</v>
      </c>
      <c r="I14" s="385">
        <f>1-H14</f>
        <v>0.95</v>
      </c>
      <c r="J14" s="879" t="str">
        <f>IF(I14=Equity_Share_LP,"Pref prorata to LP/GP, then Pro rata return of capital",IF(CU?,"Return of capital and Pref NOT pro rata + GP Catch Up","Return of capital and Pref NOT pro rata"))</f>
        <v>Pref prorata to LP/GP, then Pro rata return of capital</v>
      </c>
      <c r="K14" s="880"/>
      <c r="L14" s="880"/>
      <c r="M14" s="880"/>
      <c r="N14" s="880"/>
      <c r="O14" s="370"/>
      <c r="P14" s="370"/>
      <c r="Q14" s="368"/>
      <c r="R14" s="404"/>
      <c r="S14" s="368"/>
      <c r="T14" s="368"/>
      <c r="U14" s="368"/>
    </row>
    <row r="15" spans="1:21" ht="15" x14ac:dyDescent="0.25">
      <c r="B15" s="368" t="s">
        <v>612</v>
      </c>
      <c r="C15" s="405">
        <v>2</v>
      </c>
      <c r="D15" s="406">
        <v>7.0000000000000007E-2</v>
      </c>
      <c r="E15" s="407">
        <f t="shared" ref="E15:E16" si="0">IF($D$4="Equity Multiple",C16,D16)</f>
        <v>0.15</v>
      </c>
      <c r="F15" s="403">
        <v>0.4</v>
      </c>
      <c r="G15" s="408"/>
      <c r="H15" s="409">
        <f>1-(Equity_Share_LP*(1-F15))</f>
        <v>0.43000000000000005</v>
      </c>
      <c r="I15" s="385">
        <f t="shared" ref="I15:I17" si="1">1-H15</f>
        <v>0.56999999999999995</v>
      </c>
      <c r="J15" s="871" t="str">
        <f>IF(Equity_Share_Sponsor&lt;&gt;H14,TEXT(I14,"0.0%")&amp;"/"&amp;TEXT(H14,"0.0%")&amp;" to "&amp;(IF(D4="IRR",TEXT(E14,"0.0%"),TEXT(E14,"0.0X")))&amp;", then "&amp;TEXT(I15,"0.0%")&amp;"/"&amp;TEXT(H15,"0.0%")&amp;" to "&amp;(IF(D4="IRR",TEXT(E15,"0.0%"),TEXT(E15,"0.0X"))),"Prorata to LP/GP to "&amp;(IF(D4="IRR",TEXT(E14,"0.0%"),TEXT(E14,"0.0X")))&amp;", then "&amp;TEXT(I15,"0.0%")&amp;"/"&amp;TEXT(H15,"0.0%")&amp;" to "&amp;(IF(D4="IRR",TEXT(E15,"0.0%"),TEXT(E15,"0.0X"))))</f>
        <v>Prorata to LP/GP to 7.0%, then 57.0%/43.0% to 15.0%</v>
      </c>
      <c r="K15" s="872"/>
      <c r="L15" s="872"/>
      <c r="M15" s="872"/>
      <c r="N15" s="872"/>
      <c r="O15" s="370"/>
      <c r="P15" s="370"/>
      <c r="Q15" s="368"/>
      <c r="R15" s="368"/>
      <c r="S15" s="368"/>
      <c r="T15" s="368"/>
      <c r="U15" s="368"/>
    </row>
    <row r="16" spans="1:21" ht="15" x14ac:dyDescent="0.25">
      <c r="B16" s="368" t="s">
        <v>613</v>
      </c>
      <c r="C16" s="405">
        <v>2.5</v>
      </c>
      <c r="D16" s="406">
        <v>0.15</v>
      </c>
      <c r="E16" s="407">
        <f t="shared" si="0"/>
        <v>0.99</v>
      </c>
      <c r="F16" s="403">
        <v>0.5</v>
      </c>
      <c r="G16" s="408"/>
      <c r="H16" s="409">
        <f>1-(Equity_Share_LP*(1-F16))</f>
        <v>0.52500000000000002</v>
      </c>
      <c r="I16" s="385">
        <f t="shared" si="1"/>
        <v>0.47499999999999998</v>
      </c>
      <c r="J16" s="871" t="str">
        <f>TEXT(I15,"0.0%")&amp;"/"&amp;TEXT(H15,"0.0%")&amp;" to "&amp;(IF(D4="IRR",TEXT(E15,"0.0%"),TEXT(E15,"0.0X")))&amp;", then "&amp;TEXT(I16,"0.0%")&amp;"/"&amp;TEXT(H16,"0.0%")&amp;" to "&amp;(IF(D4="IRR",TEXT(E16,"0.0%"),TEXT(E16,"0.0X")))</f>
        <v>57.0%/43.0% to 15.0%, then 47.5%/52.5% to 99.0%</v>
      </c>
      <c r="K16" s="872"/>
      <c r="L16" s="872"/>
      <c r="M16" s="872"/>
      <c r="N16" s="872"/>
      <c r="O16" s="370"/>
      <c r="P16" s="370"/>
      <c r="Q16" s="368"/>
      <c r="R16" s="410"/>
      <c r="S16" s="368"/>
      <c r="T16" s="368"/>
      <c r="U16" s="368"/>
    </row>
    <row r="17" spans="2:21" ht="15" x14ac:dyDescent="0.25">
      <c r="B17" s="368" t="s">
        <v>614</v>
      </c>
      <c r="C17" s="405">
        <v>3</v>
      </c>
      <c r="D17" s="406">
        <v>0.99</v>
      </c>
      <c r="E17" s="407"/>
      <c r="F17" s="403">
        <v>0.5</v>
      </c>
      <c r="G17" s="408"/>
      <c r="H17" s="409">
        <f>1-(Equity_Share_LP*(1-F17))</f>
        <v>0.52500000000000002</v>
      </c>
      <c r="I17" s="385">
        <f t="shared" si="1"/>
        <v>0.47499999999999998</v>
      </c>
      <c r="J17" s="871" t="str">
        <f>TEXT(I16,"0.0%")&amp;"/"&amp;TEXT(H16,"0.0%")&amp;" to "&amp;(IF(D4="IRR",TEXT(E16,"0.0%"),TEXT(E16,"0.0X")))&amp;", then "&amp;TEXT(I17,"0.0%")&amp;"/"&amp;TEXT(H17,"0.0%")&amp;" thereafter"</f>
        <v>47.5%/52.5% to 99.0%, then 47.5%/52.5% thereafter</v>
      </c>
      <c r="K17" s="872"/>
      <c r="L17" s="872"/>
      <c r="M17" s="872"/>
      <c r="N17" s="872"/>
      <c r="O17" s="370"/>
      <c r="P17" s="370"/>
      <c r="Q17" s="368"/>
      <c r="R17" s="368"/>
      <c r="S17" s="368"/>
      <c r="T17" s="368"/>
      <c r="U17" s="368"/>
    </row>
    <row r="18" spans="2:21" ht="5.0999999999999996" customHeight="1" x14ac:dyDescent="0.25">
      <c r="B18" s="368"/>
      <c r="C18" s="368"/>
      <c r="D18" s="411"/>
      <c r="E18" s="407"/>
      <c r="F18" s="381"/>
      <c r="G18" s="412"/>
      <c r="H18" s="413"/>
      <c r="I18" s="413"/>
      <c r="J18" s="370"/>
      <c r="K18" s="370"/>
      <c r="L18" s="370"/>
      <c r="M18" s="370"/>
      <c r="N18" s="370"/>
      <c r="O18" s="370"/>
      <c r="P18" s="370"/>
      <c r="Q18" s="368"/>
      <c r="R18" s="368"/>
      <c r="S18" s="368"/>
      <c r="T18" s="368"/>
      <c r="U18" s="368"/>
    </row>
    <row r="19" spans="2:21" ht="15.75" x14ac:dyDescent="0.25">
      <c r="B19" s="391" t="s">
        <v>615</v>
      </c>
      <c r="C19" s="392"/>
      <c r="D19" s="414"/>
      <c r="E19" s="415"/>
      <c r="F19" s="416">
        <v>0</v>
      </c>
      <c r="G19" s="416">
        <f ca="1">IF(G39="","",F19+1)</f>
        <v>1</v>
      </c>
      <c r="H19" s="416">
        <f t="shared" ref="H19:U19" ca="1" si="2">IF(H39="","",G19+1)</f>
        <v>2</v>
      </c>
      <c r="I19" s="416">
        <f t="shared" ca="1" si="2"/>
        <v>3</v>
      </c>
      <c r="J19" s="416">
        <f t="shared" ca="1" si="2"/>
        <v>4</v>
      </c>
      <c r="K19" s="416">
        <f t="shared" ca="1" si="2"/>
        <v>5</v>
      </c>
      <c r="L19" s="416">
        <f t="shared" ca="1" si="2"/>
        <v>6</v>
      </c>
      <c r="M19" s="416">
        <f t="shared" ca="1" si="2"/>
        <v>7</v>
      </c>
      <c r="N19" s="416">
        <f t="shared" ca="1" si="2"/>
        <v>8</v>
      </c>
      <c r="O19" s="416">
        <f t="shared" ca="1" si="2"/>
        <v>9</v>
      </c>
      <c r="P19" s="416">
        <f t="shared" ca="1" si="2"/>
        <v>10</v>
      </c>
      <c r="Q19" s="416" t="str">
        <f t="shared" si="2"/>
        <v/>
      </c>
      <c r="R19" s="416" t="str">
        <f t="shared" si="2"/>
        <v/>
      </c>
      <c r="S19" s="416" t="str">
        <f t="shared" si="2"/>
        <v/>
      </c>
      <c r="T19" s="416" t="str">
        <f t="shared" si="2"/>
        <v/>
      </c>
      <c r="U19" s="416" t="str">
        <f t="shared" si="2"/>
        <v/>
      </c>
    </row>
    <row r="20" spans="2:21" ht="15" x14ac:dyDescent="0.25">
      <c r="B20" s="417" t="s">
        <v>616</v>
      </c>
      <c r="C20" s="368"/>
      <c r="D20" s="411"/>
      <c r="E20" s="407"/>
      <c r="F20" s="418"/>
      <c r="G20" s="419"/>
      <c r="H20" s="420"/>
      <c r="I20" s="420"/>
      <c r="J20" s="369"/>
      <c r="K20" s="369"/>
      <c r="L20" s="369"/>
      <c r="M20" s="369"/>
      <c r="N20" s="369"/>
      <c r="O20" s="369"/>
      <c r="P20" s="369"/>
      <c r="Q20" s="369"/>
      <c r="R20" s="369"/>
      <c r="S20" s="369"/>
      <c r="T20" s="369"/>
      <c r="U20" s="369"/>
    </row>
    <row r="21" spans="2:21" ht="15" x14ac:dyDescent="0.25">
      <c r="B21" s="421" t="s">
        <v>617</v>
      </c>
      <c r="C21" s="368"/>
      <c r="D21" s="422">
        <f ca="1">SUM(F21:U21)</f>
        <v>6575586.6416712329</v>
      </c>
      <c r="E21" s="407"/>
      <c r="F21" s="375">
        <f t="shared" ref="F21:U21" si="3">IF(F19="","",F60+F82+F97+F104)</f>
        <v>0</v>
      </c>
      <c r="G21" s="375">
        <f t="shared" ca="1" si="3"/>
        <v>108016.50704381183</v>
      </c>
      <c r="H21" s="375">
        <f t="shared" ca="1" si="3"/>
        <v>221843.37042130798</v>
      </c>
      <c r="I21" s="375">
        <f t="shared" ca="1" si="3"/>
        <v>277363.83107915393</v>
      </c>
      <c r="J21" s="375">
        <f t="shared" ca="1" si="3"/>
        <v>336431.94427284505</v>
      </c>
      <c r="K21" s="375">
        <f t="shared" ca="1" si="3"/>
        <v>387918.30700926989</v>
      </c>
      <c r="L21" s="375">
        <f t="shared" ca="1" si="3"/>
        <v>4881798.4422105849</v>
      </c>
      <c r="M21" s="375">
        <f t="shared" ca="1" si="3"/>
        <v>92730.496491252386</v>
      </c>
      <c r="N21" s="375">
        <f t="shared" ca="1" si="3"/>
        <v>120344.55550911646</v>
      </c>
      <c r="O21" s="375">
        <f t="shared" ca="1" si="3"/>
        <v>149139.18763389101</v>
      </c>
      <c r="P21" s="375">
        <f t="shared" ca="1" si="3"/>
        <v>0</v>
      </c>
      <c r="Q21" s="375" t="str">
        <f t="shared" si="3"/>
        <v/>
      </c>
      <c r="R21" s="375" t="str">
        <f t="shared" si="3"/>
        <v/>
      </c>
      <c r="S21" s="375" t="str">
        <f t="shared" si="3"/>
        <v/>
      </c>
      <c r="T21" s="375" t="str">
        <f t="shared" si="3"/>
        <v/>
      </c>
      <c r="U21" s="375" t="str">
        <f t="shared" si="3"/>
        <v/>
      </c>
    </row>
    <row r="22" spans="2:21" ht="15" x14ac:dyDescent="0.25">
      <c r="B22" s="421" t="s">
        <v>618</v>
      </c>
      <c r="C22" s="368"/>
      <c r="D22" s="422">
        <f ca="1">SUM(F22:U22)</f>
        <v>4537237.4091658378</v>
      </c>
      <c r="E22" s="407"/>
      <c r="F22" s="375">
        <f t="shared" ref="F22:U22" si="4">F56</f>
        <v>4252200</v>
      </c>
      <c r="G22" s="375">
        <f t="shared" ca="1" si="4"/>
        <v>0</v>
      </c>
      <c r="H22" s="375">
        <f t="shared" ca="1" si="4"/>
        <v>0</v>
      </c>
      <c r="I22" s="375">
        <f t="shared" ca="1" si="4"/>
        <v>0</v>
      </c>
      <c r="J22" s="375">
        <f t="shared" ca="1" si="4"/>
        <v>0</v>
      </c>
      <c r="K22" s="375">
        <f t="shared" ca="1" si="4"/>
        <v>0</v>
      </c>
      <c r="L22" s="375">
        <f t="shared" ca="1" si="4"/>
        <v>0</v>
      </c>
      <c r="M22" s="375">
        <f t="shared" ca="1" si="4"/>
        <v>0</v>
      </c>
      <c r="N22" s="375">
        <f t="shared" ca="1" si="4"/>
        <v>0</v>
      </c>
      <c r="O22" s="375">
        <f t="shared" ca="1" si="4"/>
        <v>0</v>
      </c>
      <c r="P22" s="375">
        <f t="shared" ca="1" si="4"/>
        <v>285037.40916583739</v>
      </c>
      <c r="Q22" s="375" t="str">
        <f t="shared" si="4"/>
        <v/>
      </c>
      <c r="R22" s="375" t="str">
        <f t="shared" si="4"/>
        <v/>
      </c>
      <c r="S22" s="375" t="str">
        <f t="shared" si="4"/>
        <v/>
      </c>
      <c r="T22" s="375" t="str">
        <f t="shared" si="4"/>
        <v/>
      </c>
      <c r="U22" s="375" t="str">
        <f t="shared" si="4"/>
        <v/>
      </c>
    </row>
    <row r="23" spans="2:21" ht="15" x14ac:dyDescent="0.25">
      <c r="B23" s="421" t="s">
        <v>619</v>
      </c>
      <c r="C23" s="368"/>
      <c r="D23" s="422">
        <f ca="1">D21-D22</f>
        <v>2038349.2325053951</v>
      </c>
      <c r="E23" s="407"/>
      <c r="F23" s="418"/>
      <c r="G23" s="419"/>
      <c r="H23" s="420"/>
      <c r="I23" s="420"/>
      <c r="J23" s="369"/>
      <c r="K23" s="369"/>
      <c r="L23" s="369"/>
      <c r="M23" s="369"/>
      <c r="N23" s="369"/>
      <c r="O23" s="369"/>
      <c r="P23" s="369"/>
      <c r="Q23" s="369"/>
      <c r="R23" s="369"/>
      <c r="S23" s="369"/>
      <c r="T23" s="369"/>
      <c r="U23" s="369"/>
    </row>
    <row r="24" spans="2:21" ht="15" x14ac:dyDescent="0.25">
      <c r="B24" s="421" t="s">
        <v>620</v>
      </c>
      <c r="C24" s="368"/>
      <c r="D24" s="423">
        <f ca="1">IRR(F24:U24)</f>
        <v>7.5555113103918048E-2</v>
      </c>
      <c r="E24" s="407"/>
      <c r="F24" s="375">
        <f t="shared" ref="F24:U24" si="5">IF(F19="","",(-F22)+F21)</f>
        <v>-4252200</v>
      </c>
      <c r="G24" s="375">
        <f t="shared" ca="1" si="5"/>
        <v>108016.50704381183</v>
      </c>
      <c r="H24" s="375">
        <f t="shared" ca="1" si="5"/>
        <v>221843.37042130798</v>
      </c>
      <c r="I24" s="375">
        <f t="shared" ca="1" si="5"/>
        <v>277363.83107915393</v>
      </c>
      <c r="J24" s="375">
        <f t="shared" ca="1" si="5"/>
        <v>336431.94427284505</v>
      </c>
      <c r="K24" s="375">
        <f t="shared" ca="1" si="5"/>
        <v>387918.30700926989</v>
      </c>
      <c r="L24" s="375">
        <f t="shared" ca="1" si="5"/>
        <v>4881798.4422105849</v>
      </c>
      <c r="M24" s="375">
        <f t="shared" ca="1" si="5"/>
        <v>92730.496491252386</v>
      </c>
      <c r="N24" s="375">
        <f t="shared" ca="1" si="5"/>
        <v>120344.55550911646</v>
      </c>
      <c r="O24" s="375">
        <f t="shared" ca="1" si="5"/>
        <v>149139.18763389101</v>
      </c>
      <c r="P24" s="375">
        <f t="shared" ca="1" si="5"/>
        <v>-285037.40916583739</v>
      </c>
      <c r="Q24" s="375" t="str">
        <f t="shared" si="5"/>
        <v/>
      </c>
      <c r="R24" s="375" t="str">
        <f t="shared" si="5"/>
        <v/>
      </c>
      <c r="S24" s="375" t="str">
        <f t="shared" si="5"/>
        <v/>
      </c>
      <c r="T24" s="375" t="str">
        <f t="shared" si="5"/>
        <v/>
      </c>
      <c r="U24" s="375" t="str">
        <f t="shared" si="5"/>
        <v/>
      </c>
    </row>
    <row r="25" spans="2:21" ht="15" x14ac:dyDescent="0.25">
      <c r="B25" s="421" t="s">
        <v>621</v>
      </c>
      <c r="C25" s="368"/>
      <c r="D25" s="424">
        <f ca="1">D21/D22</f>
        <v>1.4492489699541955</v>
      </c>
      <c r="E25" s="407"/>
      <c r="F25" s="418"/>
      <c r="G25" s="419"/>
      <c r="H25" s="420"/>
      <c r="I25" s="420"/>
      <c r="J25" s="369"/>
      <c r="K25" s="369"/>
      <c r="L25" s="369"/>
      <c r="M25" s="369"/>
      <c r="N25" s="369"/>
      <c r="O25" s="369"/>
      <c r="P25" s="369"/>
      <c r="Q25" s="369"/>
      <c r="R25" s="369"/>
      <c r="S25" s="369"/>
      <c r="T25" s="369"/>
      <c r="U25" s="369"/>
    </row>
    <row r="26" spans="2:21" ht="5.0999999999999996" customHeight="1" x14ac:dyDescent="0.25">
      <c r="B26" s="421"/>
      <c r="C26" s="368"/>
      <c r="D26" s="411"/>
      <c r="E26" s="407"/>
      <c r="F26" s="418"/>
      <c r="G26" s="419"/>
      <c r="H26" s="420"/>
      <c r="I26" s="420"/>
      <c r="J26" s="369"/>
      <c r="K26" s="369"/>
      <c r="L26" s="369"/>
      <c r="M26" s="369"/>
      <c r="N26" s="369"/>
      <c r="O26" s="369"/>
      <c r="P26" s="369"/>
      <c r="Q26" s="369"/>
      <c r="R26" s="369"/>
      <c r="S26" s="369"/>
      <c r="T26" s="369"/>
      <c r="U26" s="369"/>
    </row>
    <row r="27" spans="2:21" ht="15" x14ac:dyDescent="0.25">
      <c r="B27" s="417" t="s">
        <v>622</v>
      </c>
      <c r="C27" s="368"/>
      <c r="D27" s="411"/>
      <c r="E27" s="407"/>
      <c r="F27" s="418"/>
      <c r="G27" s="419"/>
      <c r="H27" s="420"/>
      <c r="I27" s="420"/>
      <c r="J27" s="369"/>
      <c r="K27" s="369"/>
      <c r="L27" s="369"/>
      <c r="M27" s="369"/>
      <c r="N27" s="369"/>
      <c r="O27" s="369"/>
      <c r="P27" s="369"/>
      <c r="Q27" s="369"/>
      <c r="R27" s="369"/>
      <c r="S27" s="369"/>
      <c r="T27" s="369"/>
      <c r="U27" s="369"/>
    </row>
    <row r="28" spans="2:21" s="430" customFormat="1" ht="15" x14ac:dyDescent="0.25">
      <c r="B28" s="425" t="s">
        <v>623</v>
      </c>
      <c r="C28" s="426"/>
      <c r="D28" s="427">
        <f ca="1">SUM(F28:U28)</f>
        <v>658317.44753974548</v>
      </c>
      <c r="E28" s="428"/>
      <c r="F28" s="429">
        <f t="shared" ref="F28:U28" si="6">IF(F19="","",F65+F83+F98+F105)</f>
        <v>0</v>
      </c>
      <c r="G28" s="429">
        <f t="shared" ca="1" si="6"/>
        <v>5685.0793180953597</v>
      </c>
      <c r="H28" s="429">
        <f t="shared" ca="1" si="6"/>
        <v>11675.96686427938</v>
      </c>
      <c r="I28" s="429">
        <f t="shared" ca="1" si="6"/>
        <v>14598.096372587073</v>
      </c>
      <c r="J28" s="429">
        <f t="shared" ca="1" si="6"/>
        <v>17706.944435412923</v>
      </c>
      <c r="K28" s="429">
        <f t="shared" ca="1" si="6"/>
        <v>20416.753000487915</v>
      </c>
      <c r="L28" s="429">
        <f t="shared" ca="1" si="6"/>
        <v>314985.2688774236</v>
      </c>
      <c r="M28" s="429">
        <f t="shared" ca="1" si="6"/>
        <v>69954.585072348302</v>
      </c>
      <c r="N28" s="429">
        <f t="shared" ca="1" si="6"/>
        <v>90786.243629684366</v>
      </c>
      <c r="O28" s="429">
        <f t="shared" ca="1" si="6"/>
        <v>112508.50996942658</v>
      </c>
      <c r="P28" s="429">
        <f t="shared" ca="1" si="6"/>
        <v>0</v>
      </c>
      <c r="Q28" s="429" t="str">
        <f t="shared" si="6"/>
        <v/>
      </c>
      <c r="R28" s="429" t="str">
        <f t="shared" si="6"/>
        <v/>
      </c>
      <c r="S28" s="429" t="str">
        <f t="shared" si="6"/>
        <v/>
      </c>
      <c r="T28" s="429" t="str">
        <f t="shared" si="6"/>
        <v/>
      </c>
      <c r="U28" s="429" t="str">
        <f t="shared" si="6"/>
        <v/>
      </c>
    </row>
    <row r="29" spans="2:21" ht="15" x14ac:dyDescent="0.25">
      <c r="B29" s="421" t="s">
        <v>624</v>
      </c>
      <c r="C29" s="368"/>
      <c r="D29" s="422"/>
      <c r="E29" s="407"/>
      <c r="F29" s="375"/>
      <c r="G29" s="375">
        <f t="shared" ref="G29:U29" ca="1" si="7">IF(ISERROR((+G21/Equity_Share_LP*Equity_Share_Sponsor)),"-",(+G21/Equity_Share_LP*Equity_Share_Sponsor))</f>
        <v>5685.0793180953597</v>
      </c>
      <c r="H29" s="375">
        <f t="shared" ca="1" si="7"/>
        <v>11675.966864279369</v>
      </c>
      <c r="I29" s="375">
        <f t="shared" ca="1" si="7"/>
        <v>14598.096372587052</v>
      </c>
      <c r="J29" s="375">
        <f t="shared" ca="1" si="7"/>
        <v>17706.944435412901</v>
      </c>
      <c r="K29" s="375">
        <f t="shared" ca="1" si="7"/>
        <v>20416.753000487894</v>
      </c>
      <c r="L29" s="375">
        <f t="shared" ca="1" si="7"/>
        <v>256936.76011634662</v>
      </c>
      <c r="M29" s="375">
        <f t="shared" ca="1" si="7"/>
        <v>4880.552446908021</v>
      </c>
      <c r="N29" s="375">
        <f t="shared" ca="1" si="7"/>
        <v>6333.9239741640249</v>
      </c>
      <c r="O29" s="375">
        <f t="shared" ca="1" si="7"/>
        <v>7849.4309280995267</v>
      </c>
      <c r="P29" s="375">
        <f t="shared" ca="1" si="7"/>
        <v>0</v>
      </c>
      <c r="Q29" s="375" t="str">
        <f t="shared" si="7"/>
        <v>-</v>
      </c>
      <c r="R29" s="375" t="str">
        <f t="shared" si="7"/>
        <v>-</v>
      </c>
      <c r="S29" s="375" t="str">
        <f t="shared" si="7"/>
        <v>-</v>
      </c>
      <c r="T29" s="375" t="str">
        <f t="shared" si="7"/>
        <v>-</v>
      </c>
      <c r="U29" s="375" t="str">
        <f t="shared" si="7"/>
        <v>-</v>
      </c>
    </row>
    <row r="30" spans="2:21" ht="15" x14ac:dyDescent="0.25">
      <c r="B30" s="421" t="s">
        <v>625</v>
      </c>
      <c r="C30" s="368"/>
      <c r="D30" s="422"/>
      <c r="E30" s="407"/>
      <c r="F30" s="375"/>
      <c r="G30" s="375">
        <f ca="1">IF(ISERROR((+G28-G29)),"-",(+G28-G29))</f>
        <v>0</v>
      </c>
      <c r="H30" s="375">
        <f t="shared" ref="H30:U30" ca="1" si="8">IF(ISERROR((+H28-H29)),"-",(+H28-H29))</f>
        <v>1.0913936421275139E-11</v>
      </c>
      <c r="I30" s="375">
        <f t="shared" ca="1" si="8"/>
        <v>2.1827872842550278E-11</v>
      </c>
      <c r="J30" s="375">
        <f t="shared" ca="1" si="8"/>
        <v>2.1827872842550278E-11</v>
      </c>
      <c r="K30" s="375">
        <f t="shared" ca="1" si="8"/>
        <v>2.1827872842550278E-11</v>
      </c>
      <c r="L30" s="375">
        <f t="shared" ca="1" si="8"/>
        <v>58048.508761076984</v>
      </c>
      <c r="M30" s="375">
        <f t="shared" ca="1" si="8"/>
        <v>65074.032625440283</v>
      </c>
      <c r="N30" s="375">
        <f t="shared" ca="1" si="8"/>
        <v>84452.319655520347</v>
      </c>
      <c r="O30" s="375">
        <f t="shared" ca="1" si="8"/>
        <v>104659.07904132706</v>
      </c>
      <c r="P30" s="375">
        <f t="shared" ca="1" si="8"/>
        <v>0</v>
      </c>
      <c r="Q30" s="375" t="str">
        <f t="shared" si="8"/>
        <v>-</v>
      </c>
      <c r="R30" s="375" t="str">
        <f t="shared" si="8"/>
        <v>-</v>
      </c>
      <c r="S30" s="375" t="str">
        <f t="shared" si="8"/>
        <v>-</v>
      </c>
      <c r="T30" s="375" t="str">
        <f t="shared" si="8"/>
        <v>-</v>
      </c>
      <c r="U30" s="375" t="str">
        <f t="shared" si="8"/>
        <v>-</v>
      </c>
    </row>
    <row r="31" spans="2:21" ht="15" x14ac:dyDescent="0.25">
      <c r="B31" s="421" t="s">
        <v>626</v>
      </c>
      <c r="C31" s="368"/>
      <c r="D31" s="422">
        <f ca="1">SUM(F31:U31)</f>
        <v>839884.52683481784</v>
      </c>
      <c r="E31" s="407"/>
      <c r="F31" s="375">
        <f>IF(F19="","",SUM(F40:F42))</f>
        <v>200000</v>
      </c>
      <c r="G31" s="375">
        <f t="shared" ref="G31:U31" ca="1" si="9">IF(G19="","",SUM(G40:G42))</f>
        <v>42300</v>
      </c>
      <c r="H31" s="375">
        <f t="shared" ca="1" si="9"/>
        <v>42300</v>
      </c>
      <c r="I31" s="375">
        <f t="shared" ca="1" si="9"/>
        <v>42300</v>
      </c>
      <c r="J31" s="375">
        <f t="shared" ca="1" si="9"/>
        <v>42300</v>
      </c>
      <c r="K31" s="375">
        <f t="shared" ca="1" si="9"/>
        <v>42300</v>
      </c>
      <c r="L31" s="375">
        <f t="shared" ca="1" si="9"/>
        <v>42300</v>
      </c>
      <c r="M31" s="375">
        <f t="shared" ca="1" si="9"/>
        <v>42300</v>
      </c>
      <c r="N31" s="375">
        <f t="shared" ca="1" si="9"/>
        <v>42300</v>
      </c>
      <c r="O31" s="375">
        <f t="shared" ca="1" si="9"/>
        <v>42300</v>
      </c>
      <c r="P31" s="375">
        <f t="shared" ca="1" si="9"/>
        <v>259184.52683481787</v>
      </c>
      <c r="Q31" s="375" t="str">
        <f t="shared" si="9"/>
        <v/>
      </c>
      <c r="R31" s="375" t="str">
        <f t="shared" si="9"/>
        <v/>
      </c>
      <c r="S31" s="375" t="str">
        <f t="shared" si="9"/>
        <v/>
      </c>
      <c r="T31" s="375" t="str">
        <f t="shared" si="9"/>
        <v/>
      </c>
      <c r="U31" s="375" t="str">
        <f t="shared" si="9"/>
        <v/>
      </c>
    </row>
    <row r="32" spans="2:21" ht="15" x14ac:dyDescent="0.25">
      <c r="B32" s="421" t="s">
        <v>627</v>
      </c>
      <c r="C32" s="368"/>
      <c r="D32" s="422">
        <f ca="1">SUM(F32:U32)</f>
        <v>238801.96890346514</v>
      </c>
      <c r="E32" s="407"/>
      <c r="F32" s="375">
        <f t="shared" ref="F32:U32" si="10">IF(F19="","",-(MIN(F47,0)+F56))</f>
        <v>223800</v>
      </c>
      <c r="G32" s="375">
        <f t="shared" ca="1" si="10"/>
        <v>0</v>
      </c>
      <c r="H32" s="375">
        <f t="shared" ca="1" si="10"/>
        <v>0</v>
      </c>
      <c r="I32" s="375">
        <f t="shared" ca="1" si="10"/>
        <v>0</v>
      </c>
      <c r="J32" s="375">
        <f t="shared" ca="1" si="10"/>
        <v>0</v>
      </c>
      <c r="K32" s="375">
        <f t="shared" ca="1" si="10"/>
        <v>0</v>
      </c>
      <c r="L32" s="375">
        <f t="shared" ca="1" si="10"/>
        <v>0</v>
      </c>
      <c r="M32" s="375">
        <f t="shared" ca="1" si="10"/>
        <v>0</v>
      </c>
      <c r="N32" s="375">
        <f t="shared" ca="1" si="10"/>
        <v>0</v>
      </c>
      <c r="O32" s="375">
        <f t="shared" ca="1" si="10"/>
        <v>0</v>
      </c>
      <c r="P32" s="375">
        <f t="shared" ca="1" si="10"/>
        <v>15001.968903465138</v>
      </c>
      <c r="Q32" s="375" t="str">
        <f t="shared" si="10"/>
        <v/>
      </c>
      <c r="R32" s="375" t="str">
        <f t="shared" si="10"/>
        <v/>
      </c>
      <c r="S32" s="375" t="str">
        <f t="shared" si="10"/>
        <v/>
      </c>
      <c r="T32" s="375" t="str">
        <f t="shared" si="10"/>
        <v/>
      </c>
      <c r="U32" s="375" t="str">
        <f t="shared" si="10"/>
        <v/>
      </c>
    </row>
    <row r="33" spans="2:25" ht="15" x14ac:dyDescent="0.25">
      <c r="B33" s="421" t="s">
        <v>628</v>
      </c>
      <c r="C33" s="368"/>
      <c r="D33" s="422">
        <f ca="1">+D28+D31-D32</f>
        <v>1259400.0054710982</v>
      </c>
      <c r="E33" s="407"/>
      <c r="F33" s="418"/>
      <c r="G33" s="419"/>
      <c r="H33" s="420"/>
      <c r="I33" s="420"/>
      <c r="J33" s="369"/>
      <c r="K33" s="369"/>
      <c r="L33" s="369"/>
      <c r="M33" s="369"/>
      <c r="N33" s="369"/>
      <c r="O33" s="369"/>
      <c r="P33" s="369"/>
      <c r="Q33" s="369"/>
      <c r="R33" s="369"/>
      <c r="S33" s="369"/>
      <c r="T33" s="369"/>
      <c r="U33" s="369"/>
    </row>
    <row r="34" spans="2:25" ht="15" x14ac:dyDescent="0.25">
      <c r="B34" s="421" t="s">
        <v>629</v>
      </c>
      <c r="C34" s="368"/>
      <c r="D34" s="423">
        <f ca="1">IRR(F34:U34)</f>
        <v>2.1440578071331231</v>
      </c>
      <c r="E34" s="407"/>
      <c r="F34" s="375">
        <f>IF(F19="","",(-F32)+F28+F31)</f>
        <v>-23800</v>
      </c>
      <c r="G34" s="375">
        <f t="shared" ref="G34:U34" ca="1" si="11">IF(G19="","",(-G32)+G28+G31)</f>
        <v>47985.079318095362</v>
      </c>
      <c r="H34" s="375">
        <f t="shared" ca="1" si="11"/>
        <v>53975.966864279384</v>
      </c>
      <c r="I34" s="375">
        <f t="shared" ca="1" si="11"/>
        <v>56898.096372587075</v>
      </c>
      <c r="J34" s="375">
        <f t="shared" ca="1" si="11"/>
        <v>60006.944435412923</v>
      </c>
      <c r="K34" s="375">
        <f t="shared" ca="1" si="11"/>
        <v>62716.753000487915</v>
      </c>
      <c r="L34" s="375">
        <f t="shared" ca="1" si="11"/>
        <v>357285.2688774236</v>
      </c>
      <c r="M34" s="375">
        <f t="shared" ca="1" si="11"/>
        <v>112254.5850723483</v>
      </c>
      <c r="N34" s="375">
        <f t="shared" ca="1" si="11"/>
        <v>133086.24362968438</v>
      </c>
      <c r="O34" s="375">
        <f t="shared" ca="1" si="11"/>
        <v>154808.50996942658</v>
      </c>
      <c r="P34" s="375">
        <f t="shared" ca="1" si="11"/>
        <v>244182.55793135273</v>
      </c>
      <c r="Q34" s="375" t="str">
        <f t="shared" si="11"/>
        <v/>
      </c>
      <c r="R34" s="375" t="str">
        <f t="shared" si="11"/>
        <v/>
      </c>
      <c r="S34" s="375" t="str">
        <f t="shared" si="11"/>
        <v/>
      </c>
      <c r="T34" s="375" t="str">
        <f t="shared" si="11"/>
        <v/>
      </c>
      <c r="U34" s="375" t="str">
        <f t="shared" si="11"/>
        <v/>
      </c>
    </row>
    <row r="35" spans="2:25" ht="15" x14ac:dyDescent="0.25">
      <c r="B35" s="421" t="s">
        <v>630</v>
      </c>
      <c r="C35" s="368"/>
      <c r="D35" s="424">
        <f ca="1">D28/D32</f>
        <v>2.7567505015248348</v>
      </c>
      <c r="E35" s="407"/>
      <c r="F35" s="418"/>
      <c r="G35" s="419"/>
      <c r="H35" s="420"/>
      <c r="I35" s="420"/>
      <c r="J35" s="369"/>
      <c r="K35" s="369"/>
      <c r="L35" s="369"/>
      <c r="M35" s="369"/>
      <c r="N35" s="369"/>
      <c r="O35" s="369"/>
      <c r="P35" s="369"/>
      <c r="Q35" s="369"/>
      <c r="R35" s="369"/>
      <c r="S35" s="369"/>
      <c r="T35" s="369"/>
      <c r="U35" s="369"/>
    </row>
    <row r="36" spans="2:25" ht="5.0999999999999996" customHeight="1" x14ac:dyDescent="0.25">
      <c r="B36" s="431"/>
      <c r="C36" s="432"/>
      <c r="D36" s="433"/>
      <c r="E36" s="368"/>
      <c r="F36" s="369"/>
      <c r="G36" s="369"/>
      <c r="H36" s="369"/>
      <c r="I36" s="369"/>
      <c r="J36" s="369"/>
      <c r="K36" s="369"/>
      <c r="L36" s="369"/>
      <c r="M36" s="369"/>
      <c r="N36" s="369"/>
      <c r="O36" s="369"/>
      <c r="P36" s="369"/>
      <c r="Q36" s="369"/>
      <c r="R36" s="369"/>
      <c r="S36" s="369"/>
      <c r="T36" s="369"/>
      <c r="U36" s="369"/>
    </row>
    <row r="37" spans="2:25" ht="15.75" x14ac:dyDescent="0.25">
      <c r="B37" s="391" t="s">
        <v>631</v>
      </c>
      <c r="C37" s="392"/>
      <c r="D37" s="392"/>
      <c r="E37" s="397"/>
      <c r="F37" s="416">
        <v>0</v>
      </c>
      <c r="G37" s="416">
        <f t="shared" ref="G37:U37" si="12">IF(F37&gt;=$G$4,"",F37+1)</f>
        <v>1</v>
      </c>
      <c r="H37" s="416">
        <f t="shared" si="12"/>
        <v>2</v>
      </c>
      <c r="I37" s="416">
        <f t="shared" si="12"/>
        <v>3</v>
      </c>
      <c r="J37" s="416">
        <f t="shared" si="12"/>
        <v>4</v>
      </c>
      <c r="K37" s="416">
        <f t="shared" si="12"/>
        <v>5</v>
      </c>
      <c r="L37" s="416">
        <f t="shared" si="12"/>
        <v>6</v>
      </c>
      <c r="M37" s="416">
        <f t="shared" si="12"/>
        <v>7</v>
      </c>
      <c r="N37" s="416">
        <f t="shared" si="12"/>
        <v>8</v>
      </c>
      <c r="O37" s="416">
        <f t="shared" si="12"/>
        <v>9</v>
      </c>
      <c r="P37" s="416">
        <f t="shared" si="12"/>
        <v>10</v>
      </c>
      <c r="Q37" s="416" t="str">
        <f t="shared" si="12"/>
        <v/>
      </c>
      <c r="R37" s="416" t="str">
        <f t="shared" si="12"/>
        <v/>
      </c>
      <c r="S37" s="416" t="str">
        <f t="shared" si="12"/>
        <v/>
      </c>
      <c r="T37" s="416" t="str">
        <f t="shared" si="12"/>
        <v/>
      </c>
      <c r="U37" s="416" t="str">
        <f t="shared" si="12"/>
        <v/>
      </c>
      <c r="V37" s="434"/>
      <c r="W37" s="434"/>
      <c r="X37" s="434"/>
      <c r="Y37" s="434"/>
    </row>
    <row r="38" spans="2:25" ht="15" x14ac:dyDescent="0.25">
      <c r="B38" s="368"/>
      <c r="C38" s="368"/>
      <c r="D38" s="368"/>
      <c r="E38" s="376" t="s">
        <v>632</v>
      </c>
      <c r="F38" s="435">
        <f ca="1">EOMONTH(TODAY(),0)</f>
        <v>45961</v>
      </c>
      <c r="G38" s="436">
        <f ca="1">IF(G37="","",EOMONTH(F38,12))</f>
        <v>46326</v>
      </c>
      <c r="H38" s="436">
        <f t="shared" ref="H38:U38" ca="1" si="13">IF(H37="","",EOMONTH(G38,12))</f>
        <v>46691</v>
      </c>
      <c r="I38" s="436">
        <f t="shared" ca="1" si="13"/>
        <v>47057</v>
      </c>
      <c r="J38" s="436">
        <f t="shared" ca="1" si="13"/>
        <v>47422</v>
      </c>
      <c r="K38" s="436">
        <f t="shared" ca="1" si="13"/>
        <v>47787</v>
      </c>
      <c r="L38" s="436">
        <f t="shared" ca="1" si="13"/>
        <v>48152</v>
      </c>
      <c r="M38" s="436">
        <f t="shared" ca="1" si="13"/>
        <v>48518</v>
      </c>
      <c r="N38" s="436">
        <f t="shared" ca="1" si="13"/>
        <v>48883</v>
      </c>
      <c r="O38" s="436">
        <f t="shared" ca="1" si="13"/>
        <v>49248</v>
      </c>
      <c r="P38" s="436">
        <f t="shared" ca="1" si="13"/>
        <v>49613</v>
      </c>
      <c r="Q38" s="436" t="str">
        <f t="shared" si="13"/>
        <v/>
      </c>
      <c r="R38" s="436" t="str">
        <f t="shared" si="13"/>
        <v/>
      </c>
      <c r="S38" s="436" t="str">
        <f t="shared" si="13"/>
        <v/>
      </c>
      <c r="T38" s="436" t="str">
        <f t="shared" si="13"/>
        <v/>
      </c>
      <c r="U38" s="436" t="str">
        <f t="shared" si="13"/>
        <v/>
      </c>
      <c r="V38" s="434"/>
      <c r="W38" s="434"/>
      <c r="X38" s="434"/>
      <c r="Y38" s="434"/>
    </row>
    <row r="39" spans="2:25" ht="15" x14ac:dyDescent="0.25">
      <c r="B39" s="437" t="s">
        <v>633</v>
      </c>
      <c r="C39" s="368"/>
      <c r="D39" s="368"/>
      <c r="E39" s="404"/>
      <c r="F39" s="438">
        <f>Proforma!E116</f>
        <v>-4230000</v>
      </c>
      <c r="G39" s="438">
        <f ca="1">IF(G37="","",IF(G37=$G$4,Proforma!F116+Proforma!F105-Proforma!F100,Proforma!F116))</f>
        <v>161001.58636190719</v>
      </c>
      <c r="H39" s="438">
        <f ca="1">IF(H37="","",IF(H37=$G$4,Proforma!G116+Proforma!G105-Proforma!G100,Proforma!G116))</f>
        <v>280819.33728558733</v>
      </c>
      <c r="I39" s="438">
        <f ca="1">IF(I37="","",IF(I37=$G$4,Proforma!H116+Proforma!H105-Proforma!H100,Proforma!H116))</f>
        <v>339261.92745174095</v>
      </c>
      <c r="J39" s="438">
        <f ca="1">IF(J37="","",IF(J37=$G$4,Proforma!I116+Proforma!I105-Proforma!I100,Proforma!I116))</f>
        <v>401438.88870825793</v>
      </c>
      <c r="K39" s="438">
        <f ca="1">IF(K37="","",IF(K37=$G$4,Proforma!J116+Proforma!J105-Proforma!J100,Proforma!J116))</f>
        <v>455635.06000975776</v>
      </c>
      <c r="L39" s="438">
        <f ca="1">IF(L37="","",IF(L37=$G$4,Proforma!K116+Proforma!K105-Proforma!K100,Proforma!K116))</f>
        <v>5244083.7110880092</v>
      </c>
      <c r="M39" s="438">
        <f ca="1">IF(M37="","",IF(M37=$G$4,Proforma!L116+Proforma!L105-Proforma!L100,Proforma!L116))</f>
        <v>209985.08156360069</v>
      </c>
      <c r="N39" s="438">
        <f ca="1">IF(N37="","",IF(N37=$G$4,Proforma!M116+Proforma!M105-Proforma!M100,Proforma!M116))</f>
        <v>258430.79913880082</v>
      </c>
      <c r="O39" s="438">
        <f ca="1">IF(O37="","",IF(O37=$G$4,Proforma!N116+Proforma!N105-Proforma!N100,Proforma!N116))</f>
        <v>308947.69760331756</v>
      </c>
      <c r="P39" s="438">
        <f ca="1">IF(P37="","",IF(P37=$G$4,Proforma!O116+Proforma!O105-Proforma!O100,Proforma!O116))</f>
        <v>723240.99268737785</v>
      </c>
      <c r="Q39" s="438" t="str">
        <f>IF(Q37="","",IF(Q37=$G$4,Proforma!P116+Proforma!P105-Proforma!P100,Proforma!P116))</f>
        <v/>
      </c>
      <c r="R39" s="438" t="str">
        <f>IF(R37="","",IF(R37=$G$4,Proforma!Q116+Proforma!Q105-Proforma!Q100,Proforma!Q116))</f>
        <v/>
      </c>
      <c r="S39" s="438" t="str">
        <f>IF(S37="","",IF(S37=$G$4,Proforma!R116+Proforma!R105-Proforma!R100,Proforma!R116))</f>
        <v/>
      </c>
      <c r="T39" s="438" t="str">
        <f>IF(T37="","",IF(T37=$G$4,Proforma!S116+Proforma!S105-Proforma!S100,Proforma!S116))</f>
        <v/>
      </c>
      <c r="U39" s="438" t="str">
        <f>IF(U37="","",IF(U37=$G$4,Proforma!T116+Proforma!T105-Proforma!T100,Proforma!T116))</f>
        <v/>
      </c>
    </row>
    <row r="40" spans="2:25" ht="15" x14ac:dyDescent="0.25">
      <c r="B40" s="421" t="s">
        <v>634</v>
      </c>
      <c r="C40" s="439">
        <v>0.01</v>
      </c>
      <c r="D40" s="368"/>
      <c r="E40" s="404"/>
      <c r="F40" s="438">
        <v>0</v>
      </c>
      <c r="G40" s="438">
        <f ca="1">IF(G39="","",$C$40*(-Proforma!$E$116))</f>
        <v>42300</v>
      </c>
      <c r="H40" s="438">
        <f ca="1">IF(H39="","",$C$40*(-Proforma!$E$116))</f>
        <v>42300</v>
      </c>
      <c r="I40" s="438">
        <f ca="1">IF(I39="","",$C$40*(-Proforma!$E$116))</f>
        <v>42300</v>
      </c>
      <c r="J40" s="438">
        <f ca="1">IF(J39="","",$C$40*(-Proforma!$E$116))</f>
        <v>42300</v>
      </c>
      <c r="K40" s="438">
        <f ca="1">IF(K39="","",$C$40*(-Proforma!$E$116))</f>
        <v>42300</v>
      </c>
      <c r="L40" s="438">
        <f ca="1">IF(L39="","",$C$40*(-Proforma!$E$116))</f>
        <v>42300</v>
      </c>
      <c r="M40" s="438">
        <f ca="1">IF(M39="","",$C$40*(-Proforma!$E$116))</f>
        <v>42300</v>
      </c>
      <c r="N40" s="438">
        <f ca="1">IF(N39="","",$C$40*(-Proforma!$E$116))</f>
        <v>42300</v>
      </c>
      <c r="O40" s="438">
        <f ca="1">IF(O39="","",$C$40*(-Proforma!$E$116))</f>
        <v>42300</v>
      </c>
      <c r="P40" s="438">
        <f ca="1">IF(P39="","",$C$40*(-Proforma!$E$116))</f>
        <v>42300</v>
      </c>
      <c r="Q40" s="438" t="str">
        <f>IF(Q39="","",$C$40*(-Proforma!$E$116))</f>
        <v/>
      </c>
      <c r="R40" s="438" t="str">
        <f>IF(R39="","",$C$40*(-Proforma!$E$116))</f>
        <v/>
      </c>
      <c r="S40" s="438" t="str">
        <f>IF(S39="","",$C$40*(-Proforma!$E$116))</f>
        <v/>
      </c>
      <c r="T40" s="438" t="str">
        <f>IF(T39="","",$C$40*(-Proforma!$E$116))</f>
        <v/>
      </c>
      <c r="U40" s="438" t="str">
        <f>IF(U39="","",$C$40*(-Proforma!$E$116))</f>
        <v/>
      </c>
    </row>
    <row r="41" spans="2:25" ht="15" x14ac:dyDescent="0.25">
      <c r="B41" s="421" t="s">
        <v>635</v>
      </c>
      <c r="C41" s="440">
        <v>0.01</v>
      </c>
      <c r="D41" s="368"/>
      <c r="E41" s="404"/>
      <c r="F41" s="438">
        <v>200000</v>
      </c>
      <c r="G41" s="438">
        <f ca="1">IF(G39="","",0)</f>
        <v>0</v>
      </c>
      <c r="H41" s="438">
        <f t="shared" ref="H41:U41" ca="1" si="14">IF(H39="","",0)</f>
        <v>0</v>
      </c>
      <c r="I41" s="438">
        <f t="shared" ca="1" si="14"/>
        <v>0</v>
      </c>
      <c r="J41" s="438">
        <f t="shared" ca="1" si="14"/>
        <v>0</v>
      </c>
      <c r="K41" s="438">
        <f t="shared" ca="1" si="14"/>
        <v>0</v>
      </c>
      <c r="L41" s="438">
        <f t="shared" ca="1" si="14"/>
        <v>0</v>
      </c>
      <c r="M41" s="438">
        <f t="shared" ca="1" si="14"/>
        <v>0</v>
      </c>
      <c r="N41" s="438">
        <f t="shared" ca="1" si="14"/>
        <v>0</v>
      </c>
      <c r="O41" s="438">
        <f t="shared" ca="1" si="14"/>
        <v>0</v>
      </c>
      <c r="P41" s="438">
        <f t="shared" ca="1" si="14"/>
        <v>0</v>
      </c>
      <c r="Q41" s="438" t="str">
        <f t="shared" si="14"/>
        <v/>
      </c>
      <c r="R41" s="438" t="str">
        <f t="shared" si="14"/>
        <v/>
      </c>
      <c r="S41" s="438" t="str">
        <f t="shared" si="14"/>
        <v/>
      </c>
      <c r="T41" s="438" t="str">
        <f t="shared" si="14"/>
        <v/>
      </c>
      <c r="U41" s="438" t="str">
        <f t="shared" si="14"/>
        <v/>
      </c>
    </row>
    <row r="42" spans="2:25" ht="15" x14ac:dyDescent="0.25">
      <c r="B42" s="421" t="s">
        <v>636</v>
      </c>
      <c r="C42" s="440">
        <v>0.01</v>
      </c>
      <c r="D42" s="368"/>
      <c r="E42" s="404"/>
      <c r="F42" s="438">
        <v>0</v>
      </c>
      <c r="G42" s="438">
        <f ca="1">IF(G37=$G$4,$C$42*Proforma!F103,IF(G41="","",0))</f>
        <v>0</v>
      </c>
      <c r="H42" s="438">
        <f ca="1">IF(H37=$G$4,$C$42*Proforma!G103,IF(H41="","",0))</f>
        <v>0</v>
      </c>
      <c r="I42" s="438">
        <f ca="1">IF(I37=$G$4,$C$42*Proforma!H103,IF(I41="","",0))</f>
        <v>0</v>
      </c>
      <c r="J42" s="438">
        <f ca="1">IF(J37=$G$4,$C$42*Proforma!I103,IF(J41="","",0))</f>
        <v>0</v>
      </c>
      <c r="K42" s="438">
        <f ca="1">IF(K37=$G$4,$C$42*Proforma!J103,IF(K41="","",0))</f>
        <v>0</v>
      </c>
      <c r="L42" s="438">
        <f ca="1">IF(L37=$G$4,$C$42*Proforma!K103,IF(L41="","",0))</f>
        <v>0</v>
      </c>
      <c r="M42" s="438">
        <f ca="1">IF(M37=$G$4,$C$42*Proforma!L103,IF(M41="","",0))</f>
        <v>0</v>
      </c>
      <c r="N42" s="438">
        <f ca="1">IF(N37=$G$4,$C$42*Proforma!M103,IF(N41="","",0))</f>
        <v>0</v>
      </c>
      <c r="O42" s="438">
        <f ca="1">IF(O37=$G$4,$C$42*Proforma!N103,IF(O41="","",0))</f>
        <v>0</v>
      </c>
      <c r="P42" s="438">
        <f ca="1">IF(P37=$G$4,$C$42*Proforma!O103,IF(P41="","",0))</f>
        <v>216884.52683481787</v>
      </c>
      <c r="Q42" s="438" t="str">
        <f>IF(Q37=$G$4,$C$42*Proforma!P103,IF(Q41="","",0))</f>
        <v/>
      </c>
      <c r="R42" s="438" t="str">
        <f>IF(R37=$G$4,$C$42*Proforma!Q103,IF(R41="","",0))</f>
        <v/>
      </c>
      <c r="S42" s="438" t="str">
        <f>IF(S37=$G$4,$C$42*Proforma!R103,IF(S41="","",0))</f>
        <v/>
      </c>
      <c r="T42" s="438" t="str">
        <f>IF(T37=$G$4,$C$42*Proforma!S103,IF(T41="","",0))</f>
        <v/>
      </c>
      <c r="U42" s="438" t="str">
        <f>IF(U37=$G$4,$C$42*Proforma!T103,IF(U41="","",0))</f>
        <v/>
      </c>
    </row>
    <row r="43" spans="2:25" ht="15" x14ac:dyDescent="0.25">
      <c r="B43" s="421" t="s">
        <v>637</v>
      </c>
      <c r="C43" s="441">
        <v>25</v>
      </c>
      <c r="D43" s="368" t="s">
        <v>638</v>
      </c>
      <c r="E43" s="404"/>
      <c r="F43" s="438"/>
      <c r="G43" s="438">
        <f ca="1">IF(G42="","",$C43*200)</f>
        <v>5000</v>
      </c>
      <c r="H43" s="438">
        <f t="shared" ref="H43:U43" ca="1" si="15">IF(H42="","",$C43*200)</f>
        <v>5000</v>
      </c>
      <c r="I43" s="438">
        <f t="shared" ca="1" si="15"/>
        <v>5000</v>
      </c>
      <c r="J43" s="438">
        <f t="shared" ca="1" si="15"/>
        <v>5000</v>
      </c>
      <c r="K43" s="438">
        <f t="shared" ca="1" si="15"/>
        <v>5000</v>
      </c>
      <c r="L43" s="438">
        <f t="shared" ca="1" si="15"/>
        <v>5000</v>
      </c>
      <c r="M43" s="438">
        <f t="shared" ca="1" si="15"/>
        <v>5000</v>
      </c>
      <c r="N43" s="438">
        <f t="shared" ca="1" si="15"/>
        <v>5000</v>
      </c>
      <c r="O43" s="438">
        <f t="shared" ca="1" si="15"/>
        <v>5000</v>
      </c>
      <c r="P43" s="438">
        <f t="shared" ca="1" si="15"/>
        <v>5000</v>
      </c>
      <c r="Q43" s="438" t="str">
        <f t="shared" si="15"/>
        <v/>
      </c>
      <c r="R43" s="438" t="str">
        <f t="shared" si="15"/>
        <v/>
      </c>
      <c r="S43" s="438" t="str">
        <f t="shared" si="15"/>
        <v/>
      </c>
      <c r="T43" s="438" t="str">
        <f t="shared" si="15"/>
        <v/>
      </c>
      <c r="U43" s="438" t="str">
        <f t="shared" si="15"/>
        <v/>
      </c>
    </row>
    <row r="44" spans="2:25" ht="15" x14ac:dyDescent="0.25">
      <c r="B44" s="421" t="s">
        <v>639</v>
      </c>
      <c r="C44" s="437">
        <f>C43</f>
        <v>25</v>
      </c>
      <c r="D44" s="442" t="str">
        <f>IF(C44&lt;25,"Need to calculate manually when less than 25","")</f>
        <v/>
      </c>
      <c r="E44" s="404"/>
      <c r="F44" s="438">
        <f>MAX(C44-25,0)*1200+24000+22000</f>
        <v>46000</v>
      </c>
      <c r="G44" s="438"/>
      <c r="H44" s="438"/>
      <c r="I44" s="438"/>
      <c r="J44" s="438"/>
      <c r="K44" s="438"/>
      <c r="L44" s="438"/>
      <c r="M44" s="438"/>
      <c r="N44" s="438"/>
      <c r="O44" s="438"/>
      <c r="P44" s="438"/>
      <c r="Q44" s="438"/>
      <c r="R44" s="438"/>
      <c r="S44" s="438"/>
      <c r="T44" s="438"/>
      <c r="U44" s="438"/>
    </row>
    <row r="45" spans="2:25" ht="15" x14ac:dyDescent="0.25">
      <c r="B45" s="421" t="s">
        <v>640</v>
      </c>
      <c r="C45" s="440">
        <v>0.03</v>
      </c>
      <c r="D45" s="368"/>
      <c r="E45" s="404"/>
      <c r="F45" s="438">
        <v>0</v>
      </c>
      <c r="G45" s="438">
        <f ca="1">IF(G$37=$G$4,$C$45*Proforma!F$103,IF(G42="","",0))</f>
        <v>0</v>
      </c>
      <c r="H45" s="438">
        <f ca="1">IF(H$37=$G$4,$C$45*Proforma!G$103,IF(H42="","",0))</f>
        <v>0</v>
      </c>
      <c r="I45" s="438">
        <f ca="1">IF(I$37=$G$4,$C$45*Proforma!H$103,IF(I42="","",0))</f>
        <v>0</v>
      </c>
      <c r="J45" s="438">
        <f ca="1">IF(J$37=$G$4,$C$45*Proforma!I$103,IF(J42="","",0))</f>
        <v>0</v>
      </c>
      <c r="K45" s="438">
        <f ca="1">IF(K$37=$G$4,$C$45*Proforma!J$103,IF(K42="","",0))</f>
        <v>0</v>
      </c>
      <c r="L45" s="438">
        <f ca="1">IF(L$37=$G$4,$C$45*Proforma!K$103,IF(L42="","",0))</f>
        <v>0</v>
      </c>
      <c r="M45" s="438">
        <f ca="1">IF(M$37=$G$4,$C$45*Proforma!L$103,IF(M42="","",0))</f>
        <v>0</v>
      </c>
      <c r="N45" s="438">
        <f ca="1">IF(N$37=$G$4,$C$45*Proforma!M$103,IF(N42="","",0))</f>
        <v>0</v>
      </c>
      <c r="O45" s="438">
        <f ca="1">IF(O$37=$G$4,$C$45*Proforma!N$103,IF(O42="","",0))</f>
        <v>0</v>
      </c>
      <c r="P45" s="438">
        <f ca="1">IF(P$37=$G$4,$C$45*Proforma!O$103,IF(P42="","",0))</f>
        <v>650653.58050445362</v>
      </c>
      <c r="Q45" s="438" t="str">
        <f>IF(Q$37=$G$4,$C$45*Proforma!P$103,IF(Q42="","",0))</f>
        <v/>
      </c>
      <c r="R45" s="438" t="str">
        <f>IF(R$37=$G$4,$C$45*Proforma!Q$103,IF(R42="","",0))</f>
        <v/>
      </c>
      <c r="S45" s="438" t="str">
        <f>IF(S$37=$G$4,$C$45*Proforma!R$103,IF(S42="","",0))</f>
        <v/>
      </c>
      <c r="T45" s="438" t="str">
        <f>IF(T$37=$G$4,$C$45*Proforma!S$103,IF(T42="","",0))</f>
        <v/>
      </c>
      <c r="U45" s="438" t="str">
        <f>IF(U$37=$G$4,$C$45*Proforma!T$103,IF(U42="","",0))</f>
        <v/>
      </c>
    </row>
    <row r="46" spans="2:25" ht="15" x14ac:dyDescent="0.25">
      <c r="B46" s="421" t="s">
        <v>641</v>
      </c>
      <c r="C46" s="440">
        <v>5.0000000000000001E-3</v>
      </c>
      <c r="D46" s="368"/>
      <c r="E46" s="404"/>
      <c r="F46" s="438">
        <v>0</v>
      </c>
      <c r="G46" s="438">
        <f ca="1">IF(G$37=$G$4,$C$46*Proforma!F$103,IF(G45="","",0))</f>
        <v>0</v>
      </c>
      <c r="H46" s="438">
        <f ca="1">IF(H$37=$G$4,$C$46*Proforma!G$103,IF(H45="","",0))</f>
        <v>0</v>
      </c>
      <c r="I46" s="438">
        <f ca="1">IF(I$37=$G$4,$C$46*Proforma!H$103,IF(I45="","",0))</f>
        <v>0</v>
      </c>
      <c r="J46" s="438">
        <f ca="1">IF(J$37=$G$4,$C$46*Proforma!I$103,IF(J45="","",0))</f>
        <v>0</v>
      </c>
      <c r="K46" s="438">
        <f ca="1">IF(K$37=$G$4,$C$46*Proforma!J$103,IF(K45="","",0))</f>
        <v>0</v>
      </c>
      <c r="L46" s="438">
        <f ca="1">IF(L$37=$G$4,$C$46*Proforma!K$103,IF(L45="","",0))</f>
        <v>0</v>
      </c>
      <c r="M46" s="438">
        <f ca="1">IF(M$37=$G$4,$C$46*Proforma!L$103,IF(M45="","",0))</f>
        <v>0</v>
      </c>
      <c r="N46" s="438">
        <f ca="1">IF(N$37=$G$4,$C$46*Proforma!M$103,IF(N45="","",0))</f>
        <v>0</v>
      </c>
      <c r="O46" s="438">
        <f ca="1">IF(O$37=$G$4,$C$46*Proforma!N$103,IF(O45="","",0))</f>
        <v>0</v>
      </c>
      <c r="P46" s="438">
        <f ca="1">IF(P$37=$G$4,$C$46*Proforma!O$103,IF(P45="","",0))</f>
        <v>108442.26341740893</v>
      </c>
      <c r="Q46" s="438" t="str">
        <f>IF(Q$37=$G$4,$C$46*Proforma!P$103,IF(Q45="","",0))</f>
        <v/>
      </c>
      <c r="R46" s="438" t="str">
        <f>IF(R$37=$G$4,$C$46*Proforma!Q$103,IF(R45="","",0))</f>
        <v/>
      </c>
      <c r="S46" s="438" t="str">
        <f>IF(S$37=$G$4,$C$46*Proforma!R$103,IF(S45="","",0))</f>
        <v/>
      </c>
      <c r="T46" s="438" t="str">
        <f>IF(T$37=$G$4,$C$46*Proforma!S$103,IF(T45="","",0))</f>
        <v/>
      </c>
      <c r="U46" s="438" t="str">
        <f>IF(U$37=$G$4,$C$46*Proforma!T$103,IF(U45="","",0))</f>
        <v/>
      </c>
    </row>
    <row r="47" spans="2:25" ht="15" x14ac:dyDescent="0.25">
      <c r="B47" s="368" t="s">
        <v>642</v>
      </c>
      <c r="C47" s="368"/>
      <c r="D47" s="368"/>
      <c r="E47" s="404"/>
      <c r="F47" s="438">
        <f>IF(F37="","",F39-SUM(F40:F46))</f>
        <v>-4476000</v>
      </c>
      <c r="G47" s="438">
        <f t="shared" ref="G47:U47" ca="1" si="16">IF(G37="","",G39-SUM(G40:G46))</f>
        <v>113701.58636190719</v>
      </c>
      <c r="H47" s="438">
        <f t="shared" ca="1" si="16"/>
        <v>233519.33728558733</v>
      </c>
      <c r="I47" s="438">
        <f t="shared" ca="1" si="16"/>
        <v>291961.92745174095</v>
      </c>
      <c r="J47" s="438">
        <f t="shared" ca="1" si="16"/>
        <v>354138.88870825793</v>
      </c>
      <c r="K47" s="438">
        <f t="shared" ca="1" si="16"/>
        <v>408335.06000975776</v>
      </c>
      <c r="L47" s="438">
        <f t="shared" ca="1" si="16"/>
        <v>5196783.7110880092</v>
      </c>
      <c r="M47" s="438">
        <f t="shared" ca="1" si="16"/>
        <v>162685.08156360069</v>
      </c>
      <c r="N47" s="438">
        <f t="shared" ca="1" si="16"/>
        <v>211130.79913880082</v>
      </c>
      <c r="O47" s="438">
        <f t="shared" ca="1" si="16"/>
        <v>261647.69760331756</v>
      </c>
      <c r="P47" s="438">
        <f t="shared" ca="1" si="16"/>
        <v>-300039.37806930253</v>
      </c>
      <c r="Q47" s="438" t="str">
        <f t="shared" si="16"/>
        <v/>
      </c>
      <c r="R47" s="438" t="str">
        <f t="shared" si="16"/>
        <v/>
      </c>
      <c r="S47" s="438" t="str">
        <f t="shared" si="16"/>
        <v/>
      </c>
      <c r="T47" s="438" t="str">
        <f t="shared" si="16"/>
        <v/>
      </c>
      <c r="U47" s="438" t="str">
        <f t="shared" si="16"/>
        <v/>
      </c>
    </row>
    <row r="48" spans="2:25" ht="15" x14ac:dyDescent="0.25">
      <c r="B48" s="368" t="s">
        <v>643</v>
      </c>
      <c r="C48" s="368"/>
      <c r="D48" s="368"/>
      <c r="E48" s="368"/>
      <c r="F48" s="420">
        <f ca="1">IRR(F47:U47)</f>
        <v>8.3330434693304367E-2</v>
      </c>
      <c r="G48" s="369"/>
      <c r="H48" s="369"/>
      <c r="I48" s="369"/>
      <c r="J48" s="369"/>
      <c r="K48" s="369"/>
      <c r="L48" s="369"/>
      <c r="M48" s="369"/>
      <c r="N48" s="369"/>
      <c r="O48" s="369"/>
      <c r="P48" s="369"/>
      <c r="Q48" s="369"/>
      <c r="R48" s="369"/>
      <c r="S48" s="369"/>
      <c r="T48" s="369"/>
      <c r="U48" s="369"/>
    </row>
    <row r="49" spans="2:21" ht="15" x14ac:dyDescent="0.25">
      <c r="B49" s="368" t="s">
        <v>609</v>
      </c>
      <c r="C49" s="368"/>
      <c r="D49" s="368"/>
      <c r="E49" s="368"/>
      <c r="F49" s="443">
        <f ca="1">SUMIF(F47:U47,"&gt;0")/-SUMIF(F47:U47,"&lt;0")</f>
        <v>1.5146240465327279</v>
      </c>
      <c r="G49" s="369"/>
      <c r="H49" s="369"/>
      <c r="I49" s="369"/>
      <c r="J49" s="369"/>
      <c r="K49" s="369"/>
      <c r="L49" s="369"/>
      <c r="M49" s="369"/>
      <c r="N49" s="369"/>
      <c r="O49" s="369"/>
      <c r="P49" s="369"/>
      <c r="Q49" s="369"/>
      <c r="R49" s="369"/>
      <c r="S49" s="369"/>
      <c r="T49" s="369"/>
      <c r="U49" s="369"/>
    </row>
    <row r="50" spans="2:21" ht="5.0999999999999996" customHeight="1" x14ac:dyDescent="0.25">
      <c r="B50" s="368"/>
      <c r="C50" s="368"/>
      <c r="D50" s="368"/>
      <c r="E50" s="369"/>
      <c r="F50" s="444"/>
      <c r="G50" s="369"/>
      <c r="H50" s="369"/>
      <c r="I50" s="369"/>
      <c r="J50" s="369"/>
      <c r="K50" s="369"/>
      <c r="L50" s="369"/>
      <c r="M50" s="369"/>
      <c r="N50" s="369"/>
      <c r="O50" s="369"/>
      <c r="P50" s="444"/>
      <c r="Q50" s="369"/>
      <c r="R50" s="369"/>
      <c r="S50" s="369"/>
      <c r="T50" s="369"/>
      <c r="U50" s="369"/>
    </row>
    <row r="51" spans="2:21" ht="15.75" x14ac:dyDescent="0.25">
      <c r="B51" s="371" t="s">
        <v>644</v>
      </c>
      <c r="C51" s="368"/>
      <c r="D51" s="368"/>
      <c r="E51" s="368"/>
      <c r="F51" s="369"/>
      <c r="G51" s="369"/>
      <c r="H51" s="369"/>
      <c r="I51" s="369"/>
      <c r="J51" s="369"/>
      <c r="K51" s="369"/>
      <c r="L51" s="369"/>
      <c r="M51" s="369"/>
      <c r="N51" s="369"/>
      <c r="O51" s="369"/>
      <c r="P51" s="369"/>
      <c r="Q51" s="369"/>
      <c r="R51" s="369"/>
      <c r="S51" s="369"/>
      <c r="T51" s="369"/>
      <c r="U51" s="369"/>
    </row>
    <row r="52" spans="2:21" ht="15" x14ac:dyDescent="0.25">
      <c r="B52" s="445" t="s">
        <v>645</v>
      </c>
      <c r="C52" s="446">
        <f>E14</f>
        <v>7.0000000000000007E-2</v>
      </c>
      <c r="D52" s="392"/>
      <c r="E52" s="392"/>
      <c r="F52" s="393"/>
      <c r="G52" s="393"/>
      <c r="H52" s="393"/>
      <c r="I52" s="393"/>
      <c r="J52" s="393"/>
      <c r="K52" s="393"/>
      <c r="L52" s="393"/>
      <c r="M52" s="393"/>
      <c r="N52" s="393"/>
      <c r="O52" s="393"/>
      <c r="P52" s="393"/>
      <c r="Q52" s="393"/>
      <c r="R52" s="393"/>
      <c r="S52" s="393"/>
      <c r="T52" s="393"/>
      <c r="U52" s="393"/>
    </row>
    <row r="53" spans="2:21" ht="15" x14ac:dyDescent="0.25">
      <c r="B53" s="368" t="s">
        <v>646</v>
      </c>
      <c r="C53" s="368"/>
      <c r="D53" s="368"/>
      <c r="E53" s="368"/>
      <c r="F53" s="447">
        <f t="shared" ref="F53:U53" si="17">IF(F37="","",E58)</f>
        <v>0</v>
      </c>
      <c r="G53" s="447">
        <f t="shared" si="17"/>
        <v>4252200</v>
      </c>
      <c r="H53" s="447">
        <f t="shared" ca="1" si="17"/>
        <v>4441837.4929561885</v>
      </c>
      <c r="I53" s="447">
        <f t="shared" ca="1" si="17"/>
        <v>4530922.747041814</v>
      </c>
      <c r="J53" s="447">
        <f t="shared" ca="1" si="17"/>
        <v>4570723.508255587</v>
      </c>
      <c r="K53" s="447">
        <f t="shared" ca="1" si="17"/>
        <v>4554242.2095606327</v>
      </c>
      <c r="L53" s="447">
        <f t="shared" ca="1" si="17"/>
        <v>4485120.8572206078</v>
      </c>
      <c r="M53" s="447">
        <f t="shared" ca="1" si="17"/>
        <v>0</v>
      </c>
      <c r="N53" s="447">
        <f t="shared" ca="1" si="17"/>
        <v>0</v>
      </c>
      <c r="O53" s="447">
        <f t="shared" ca="1" si="17"/>
        <v>0</v>
      </c>
      <c r="P53" s="447">
        <f t="shared" ca="1" si="17"/>
        <v>0</v>
      </c>
      <c r="Q53" s="447" t="str">
        <f t="shared" si="17"/>
        <v/>
      </c>
      <c r="R53" s="447" t="str">
        <f t="shared" si="17"/>
        <v/>
      </c>
      <c r="S53" s="447" t="str">
        <f t="shared" si="17"/>
        <v/>
      </c>
      <c r="T53" s="447" t="str">
        <f t="shared" si="17"/>
        <v/>
      </c>
      <c r="U53" s="447" t="str">
        <f t="shared" si="17"/>
        <v/>
      </c>
    </row>
    <row r="54" spans="2:21" ht="15" x14ac:dyDescent="0.25">
      <c r="B54" s="368" t="s">
        <v>647</v>
      </c>
      <c r="C54" s="368"/>
      <c r="D54" s="368"/>
      <c r="E54" s="368"/>
      <c r="F54" s="448" t="str">
        <f ca="1">IF(ROUND(SUM(G54:U54),0)=ROUND(SUM(F56:U56),0),"All Capital Returned","Capital Not Returned")</f>
        <v>Capital Not Returned</v>
      </c>
      <c r="G54" s="447">
        <f ca="1">IF(G37="","",G60-G55)</f>
        <v>-189637.49295618816</v>
      </c>
      <c r="H54" s="447">
        <f t="shared" ref="H54:U54" ca="1" si="18">IF(H37="","",H60-H55)</f>
        <v>-89085.25408562526</v>
      </c>
      <c r="I54" s="447">
        <f t="shared" ca="1" si="18"/>
        <v>-39800.761213773163</v>
      </c>
      <c r="J54" s="447">
        <f t="shared" ca="1" si="18"/>
        <v>16481.298694953904</v>
      </c>
      <c r="K54" s="447">
        <f t="shared" ca="1" si="18"/>
        <v>69121.352340025536</v>
      </c>
      <c r="L54" s="447">
        <f t="shared" ca="1" si="18"/>
        <v>4485120.8572206078</v>
      </c>
      <c r="M54" s="447">
        <f t="shared" ca="1" si="18"/>
        <v>0</v>
      </c>
      <c r="N54" s="447">
        <f t="shared" ca="1" si="18"/>
        <v>0</v>
      </c>
      <c r="O54" s="447">
        <f t="shared" ca="1" si="18"/>
        <v>0</v>
      </c>
      <c r="P54" s="447">
        <f t="shared" ca="1" si="18"/>
        <v>0</v>
      </c>
      <c r="Q54" s="447" t="str">
        <f t="shared" si="18"/>
        <v/>
      </c>
      <c r="R54" s="447" t="str">
        <f t="shared" si="18"/>
        <v/>
      </c>
      <c r="S54" s="447" t="str">
        <f t="shared" si="18"/>
        <v/>
      </c>
      <c r="T54" s="447" t="str">
        <f t="shared" si="18"/>
        <v/>
      </c>
      <c r="U54" s="447" t="str">
        <f t="shared" si="18"/>
        <v/>
      </c>
    </row>
    <row r="55" spans="2:21" ht="15" x14ac:dyDescent="0.25">
      <c r="B55" s="368" t="s">
        <v>648</v>
      </c>
      <c r="C55" s="368"/>
      <c r="D55" s="368"/>
      <c r="E55" s="368"/>
      <c r="F55" s="447">
        <f>IF(F53="","",IF($D$4="Equity Multiple",E56*$C52-E56,F53*Preferred_Return))</f>
        <v>0</v>
      </c>
      <c r="G55" s="447">
        <f t="shared" ref="G55:U55" si="19">IF(G53="","",IF($D$4="Equity Multiple",F56*$C52-F56,G53*Preferred_Return))</f>
        <v>297654</v>
      </c>
      <c r="H55" s="447">
        <f t="shared" ca="1" si="19"/>
        <v>310928.62450693321</v>
      </c>
      <c r="I55" s="447">
        <f t="shared" ca="1" si="19"/>
        <v>317164.59229292703</v>
      </c>
      <c r="J55" s="447">
        <f t="shared" ca="1" si="19"/>
        <v>319950.64557789109</v>
      </c>
      <c r="K55" s="447">
        <f t="shared" ca="1" si="19"/>
        <v>318796.9546692443</v>
      </c>
      <c r="L55" s="447">
        <f t="shared" ca="1" si="19"/>
        <v>313958.46000544255</v>
      </c>
      <c r="M55" s="447">
        <f t="shared" ca="1" si="19"/>
        <v>0</v>
      </c>
      <c r="N55" s="447">
        <f t="shared" ca="1" si="19"/>
        <v>0</v>
      </c>
      <c r="O55" s="447">
        <f t="shared" ca="1" si="19"/>
        <v>0</v>
      </c>
      <c r="P55" s="447">
        <f t="shared" ca="1" si="19"/>
        <v>0</v>
      </c>
      <c r="Q55" s="447" t="str">
        <f t="shared" si="19"/>
        <v/>
      </c>
      <c r="R55" s="447" t="str">
        <f t="shared" si="19"/>
        <v/>
      </c>
      <c r="S55" s="447" t="str">
        <f t="shared" si="19"/>
        <v/>
      </c>
      <c r="T55" s="447" t="str">
        <f t="shared" si="19"/>
        <v/>
      </c>
      <c r="U55" s="447" t="str">
        <f t="shared" si="19"/>
        <v/>
      </c>
    </row>
    <row r="56" spans="2:21" ht="15" x14ac:dyDescent="0.25">
      <c r="B56" s="368" t="s">
        <v>649</v>
      </c>
      <c r="C56" s="368"/>
      <c r="D56" s="368"/>
      <c r="E56" s="368"/>
      <c r="F56" s="447">
        <f t="shared" ref="F56:U56" si="20">IF(F53="","",-MIN(0,F47*Equity_Share_LP))</f>
        <v>4252200</v>
      </c>
      <c r="G56" s="447">
        <f t="shared" ca="1" si="20"/>
        <v>0</v>
      </c>
      <c r="H56" s="447">
        <f t="shared" ca="1" si="20"/>
        <v>0</v>
      </c>
      <c r="I56" s="447">
        <f t="shared" ca="1" si="20"/>
        <v>0</v>
      </c>
      <c r="J56" s="447">
        <f t="shared" ca="1" si="20"/>
        <v>0</v>
      </c>
      <c r="K56" s="447">
        <f t="shared" ca="1" si="20"/>
        <v>0</v>
      </c>
      <c r="L56" s="447">
        <f t="shared" ca="1" si="20"/>
        <v>0</v>
      </c>
      <c r="M56" s="447">
        <f t="shared" ca="1" si="20"/>
        <v>0</v>
      </c>
      <c r="N56" s="447">
        <f t="shared" ca="1" si="20"/>
        <v>0</v>
      </c>
      <c r="O56" s="447">
        <f t="shared" ca="1" si="20"/>
        <v>0</v>
      </c>
      <c r="P56" s="447">
        <f t="shared" ca="1" si="20"/>
        <v>285037.40916583739</v>
      </c>
      <c r="Q56" s="447" t="str">
        <f t="shared" si="20"/>
        <v/>
      </c>
      <c r="R56" s="447" t="str">
        <f t="shared" si="20"/>
        <v/>
      </c>
      <c r="S56" s="447" t="str">
        <f t="shared" si="20"/>
        <v/>
      </c>
      <c r="T56" s="447" t="str">
        <f t="shared" si="20"/>
        <v/>
      </c>
      <c r="U56" s="447" t="str">
        <f t="shared" si="20"/>
        <v/>
      </c>
    </row>
    <row r="57" spans="2:21" ht="15" x14ac:dyDescent="0.25">
      <c r="B57" s="368" t="s">
        <v>650</v>
      </c>
      <c r="C57" s="368"/>
      <c r="D57" s="368"/>
      <c r="E57" s="368"/>
      <c r="F57" s="447">
        <f>MAX(F47,F55)</f>
        <v>0</v>
      </c>
      <c r="G57" s="375">
        <f t="shared" ref="G57:U57" ca="1" si="21">IF(G53="","",MIN(G53+G55,MAX(G47,0)*$I$14))</f>
        <v>108016.50704381183</v>
      </c>
      <c r="H57" s="375">
        <f t="shared" ca="1" si="21"/>
        <v>221843.37042130795</v>
      </c>
      <c r="I57" s="375">
        <f t="shared" ca="1" si="21"/>
        <v>277363.83107915387</v>
      </c>
      <c r="J57" s="375">
        <f t="shared" ca="1" si="21"/>
        <v>336431.94427284499</v>
      </c>
      <c r="K57" s="375">
        <f t="shared" ca="1" si="21"/>
        <v>387918.30700926983</v>
      </c>
      <c r="L57" s="375">
        <f t="shared" ca="1" si="21"/>
        <v>4799079.3172260504</v>
      </c>
      <c r="M57" s="375">
        <f t="shared" ca="1" si="21"/>
        <v>0</v>
      </c>
      <c r="N57" s="375">
        <f t="shared" ca="1" si="21"/>
        <v>0</v>
      </c>
      <c r="O57" s="375">
        <f t="shared" ca="1" si="21"/>
        <v>0</v>
      </c>
      <c r="P57" s="375">
        <f t="shared" ca="1" si="21"/>
        <v>0</v>
      </c>
      <c r="Q57" s="375" t="str">
        <f t="shared" si="21"/>
        <v/>
      </c>
      <c r="R57" s="375" t="str">
        <f t="shared" si="21"/>
        <v/>
      </c>
      <c r="S57" s="375" t="str">
        <f t="shared" si="21"/>
        <v/>
      </c>
      <c r="T57" s="375" t="str">
        <f t="shared" si="21"/>
        <v/>
      </c>
      <c r="U57" s="375" t="str">
        <f t="shared" si="21"/>
        <v/>
      </c>
    </row>
    <row r="58" spans="2:21" ht="15" x14ac:dyDescent="0.25">
      <c r="B58" s="368" t="s">
        <v>651</v>
      </c>
      <c r="C58" s="368"/>
      <c r="D58" s="368"/>
      <c r="E58" s="368"/>
      <c r="F58" s="447">
        <f>F53+F56-F57</f>
        <v>4252200</v>
      </c>
      <c r="G58" s="447">
        <f ca="1">IF(G53="","",G53+G55+G56-G57)</f>
        <v>4441837.4929561885</v>
      </c>
      <c r="H58" s="447">
        <f t="shared" ref="H58:U58" ca="1" si="22">IF(H53="","",H53+H55+H56-H57)</f>
        <v>4530922.747041814</v>
      </c>
      <c r="I58" s="447">
        <f t="shared" ca="1" si="22"/>
        <v>4570723.508255587</v>
      </c>
      <c r="J58" s="447">
        <f t="shared" ca="1" si="22"/>
        <v>4554242.2095606327</v>
      </c>
      <c r="K58" s="447">
        <f t="shared" ca="1" si="22"/>
        <v>4485120.8572206078</v>
      </c>
      <c r="L58" s="447">
        <f t="shared" ca="1" si="22"/>
        <v>0</v>
      </c>
      <c r="M58" s="447">
        <f t="shared" ca="1" si="22"/>
        <v>0</v>
      </c>
      <c r="N58" s="447">
        <f t="shared" ca="1" si="22"/>
        <v>0</v>
      </c>
      <c r="O58" s="447">
        <f t="shared" ca="1" si="22"/>
        <v>0</v>
      </c>
      <c r="P58" s="447">
        <f t="shared" ca="1" si="22"/>
        <v>285037.40916583739</v>
      </c>
      <c r="Q58" s="447" t="str">
        <f t="shared" si="22"/>
        <v/>
      </c>
      <c r="R58" s="447" t="str">
        <f t="shared" si="22"/>
        <v/>
      </c>
      <c r="S58" s="447" t="str">
        <f t="shared" si="22"/>
        <v/>
      </c>
      <c r="T58" s="447" t="str">
        <f t="shared" si="22"/>
        <v/>
      </c>
      <c r="U58" s="447" t="str">
        <f t="shared" si="22"/>
        <v/>
      </c>
    </row>
    <row r="59" spans="2:21" ht="15" x14ac:dyDescent="0.25">
      <c r="B59" s="449" t="str">
        <f>IF(D4="Equity Multiple", "LP EMx Check","LP IRR Check")</f>
        <v>LP IRR Check</v>
      </c>
      <c r="C59" s="368"/>
      <c r="D59" s="368"/>
      <c r="E59" s="450">
        <f ca="1">IF($D$4="IRR",IRR(F59:U59),SUMIF(F59:U59,"&gt;0")/-SUMIF(F59:U59,"&lt;0"))</f>
        <v>6.2879768618268939E-2</v>
      </c>
      <c r="F59" s="447">
        <f t="shared" ref="F59:U59" si="23">IF(F53="","",-F56+F57)</f>
        <v>-4252200</v>
      </c>
      <c r="G59" s="447">
        <f t="shared" ca="1" si="23"/>
        <v>108016.50704381183</v>
      </c>
      <c r="H59" s="447">
        <f t="shared" ca="1" si="23"/>
        <v>221843.37042130795</v>
      </c>
      <c r="I59" s="447">
        <f t="shared" ca="1" si="23"/>
        <v>277363.83107915387</v>
      </c>
      <c r="J59" s="447">
        <f t="shared" ca="1" si="23"/>
        <v>336431.94427284499</v>
      </c>
      <c r="K59" s="447">
        <f t="shared" ca="1" si="23"/>
        <v>387918.30700926983</v>
      </c>
      <c r="L59" s="447">
        <f t="shared" ca="1" si="23"/>
        <v>4799079.3172260504</v>
      </c>
      <c r="M59" s="447">
        <f t="shared" ca="1" si="23"/>
        <v>0</v>
      </c>
      <c r="N59" s="447">
        <f t="shared" ca="1" si="23"/>
        <v>0</v>
      </c>
      <c r="O59" s="447">
        <f t="shared" ca="1" si="23"/>
        <v>0</v>
      </c>
      <c r="P59" s="447">
        <f t="shared" ca="1" si="23"/>
        <v>-285037.40916583739</v>
      </c>
      <c r="Q59" s="447" t="str">
        <f t="shared" si="23"/>
        <v/>
      </c>
      <c r="R59" s="447" t="str">
        <f t="shared" si="23"/>
        <v/>
      </c>
      <c r="S59" s="447" t="str">
        <f t="shared" si="23"/>
        <v/>
      </c>
      <c r="T59" s="447" t="str">
        <f t="shared" si="23"/>
        <v/>
      </c>
      <c r="U59" s="447" t="str">
        <f t="shared" si="23"/>
        <v/>
      </c>
    </row>
    <row r="60" spans="2:21" ht="15" x14ac:dyDescent="0.25">
      <c r="B60" s="368" t="s">
        <v>652</v>
      </c>
      <c r="C60" s="368"/>
      <c r="D60" s="368"/>
      <c r="E60" s="368"/>
      <c r="F60" s="447">
        <f>MAX(F47,F55)</f>
        <v>0</v>
      </c>
      <c r="G60" s="447">
        <f ca="1">IF(G53="","",MIN(G53+G55,MAX(G47,0)*$I$14))</f>
        <v>108016.50704381183</v>
      </c>
      <c r="H60" s="447">
        <f t="shared" ref="H60:U60" ca="1" si="24">H57</f>
        <v>221843.37042130795</v>
      </c>
      <c r="I60" s="447">
        <f t="shared" ca="1" si="24"/>
        <v>277363.83107915387</v>
      </c>
      <c r="J60" s="447">
        <f t="shared" ca="1" si="24"/>
        <v>336431.94427284499</v>
      </c>
      <c r="K60" s="447">
        <f t="shared" ca="1" si="24"/>
        <v>387918.30700926983</v>
      </c>
      <c r="L60" s="447">
        <f t="shared" ca="1" si="24"/>
        <v>4799079.3172260504</v>
      </c>
      <c r="M60" s="447">
        <f t="shared" ca="1" si="24"/>
        <v>0</v>
      </c>
      <c r="N60" s="447">
        <f t="shared" ca="1" si="24"/>
        <v>0</v>
      </c>
      <c r="O60" s="447">
        <f t="shared" ca="1" si="24"/>
        <v>0</v>
      </c>
      <c r="P60" s="447">
        <f t="shared" ca="1" si="24"/>
        <v>0</v>
      </c>
      <c r="Q60" s="447" t="str">
        <f t="shared" si="24"/>
        <v/>
      </c>
      <c r="R60" s="447" t="str">
        <f t="shared" si="24"/>
        <v/>
      </c>
      <c r="S60" s="447" t="str">
        <f t="shared" si="24"/>
        <v/>
      </c>
      <c r="T60" s="447" t="str">
        <f t="shared" si="24"/>
        <v/>
      </c>
      <c r="U60" s="447" t="str">
        <f t="shared" si="24"/>
        <v/>
      </c>
    </row>
    <row r="61" spans="2:21" ht="5.0999999999999996" customHeight="1" x14ac:dyDescent="0.25">
      <c r="B61" s="368"/>
      <c r="C61" s="368"/>
      <c r="D61" s="368"/>
      <c r="E61" s="368"/>
      <c r="F61" s="447"/>
      <c r="G61" s="447"/>
      <c r="H61" s="447"/>
      <c r="I61" s="447"/>
      <c r="J61" s="447"/>
      <c r="K61" s="447"/>
      <c r="L61" s="447"/>
      <c r="M61" s="447"/>
      <c r="N61" s="447"/>
      <c r="O61" s="447"/>
      <c r="P61" s="447"/>
      <c r="Q61" s="447"/>
      <c r="R61" s="447"/>
      <c r="S61" s="447"/>
      <c r="T61" s="447"/>
      <c r="U61" s="447"/>
    </row>
    <row r="62" spans="2:21" ht="15" x14ac:dyDescent="0.25">
      <c r="B62" s="368" t="s">
        <v>653</v>
      </c>
      <c r="C62" s="368"/>
      <c r="D62" s="368"/>
      <c r="E62" s="368"/>
      <c r="F62" s="447">
        <f>IF(F37="","",E66)</f>
        <v>0</v>
      </c>
      <c r="G62" s="447">
        <f t="shared" ref="G62:U62" si="25">IF(G37="","",F66)</f>
        <v>223800</v>
      </c>
      <c r="H62" s="447">
        <f t="shared" ca="1" si="25"/>
        <v>233780.92068190465</v>
      </c>
      <c r="I62" s="447">
        <f t="shared" ca="1" si="25"/>
        <v>238469.61826535861</v>
      </c>
      <c r="J62" s="447">
        <f t="shared" ca="1" si="25"/>
        <v>240564.39517134667</v>
      </c>
      <c r="K62" s="447">
        <f t="shared" ca="1" si="25"/>
        <v>239696.95839792801</v>
      </c>
      <c r="L62" s="447">
        <f t="shared" ca="1" si="25"/>
        <v>236058.99248529508</v>
      </c>
      <c r="M62" s="447">
        <f t="shared" ca="1" si="25"/>
        <v>-1.1641532182693481E-10</v>
      </c>
      <c r="N62" s="447">
        <f t="shared" ca="1" si="25"/>
        <v>-1.2456439435482026E-10</v>
      </c>
      <c r="O62" s="447">
        <f t="shared" ca="1" si="25"/>
        <v>-1.3328390195965767E-10</v>
      </c>
      <c r="P62" s="447">
        <f t="shared" ca="1" si="25"/>
        <v>-1.4261377509683372E-10</v>
      </c>
      <c r="Q62" s="447" t="str">
        <f t="shared" si="25"/>
        <v/>
      </c>
      <c r="R62" s="447" t="str">
        <f t="shared" si="25"/>
        <v/>
      </c>
      <c r="S62" s="447" t="str">
        <f t="shared" si="25"/>
        <v/>
      </c>
      <c r="T62" s="447" t="str">
        <f t="shared" si="25"/>
        <v/>
      </c>
      <c r="U62" s="447" t="str">
        <f t="shared" si="25"/>
        <v/>
      </c>
    </row>
    <row r="63" spans="2:21" ht="15" x14ac:dyDescent="0.25">
      <c r="B63" s="368" t="s">
        <v>654</v>
      </c>
      <c r="C63" s="368"/>
      <c r="D63" s="368"/>
      <c r="E63" s="368"/>
      <c r="F63" s="447">
        <f t="shared" ref="F63:U63" si="26">IF(F62="","",IF($D$4="Equity Multiple",E64*$C52-E64,F62*Preferred_Return))</f>
        <v>0</v>
      </c>
      <c r="G63" s="447">
        <f t="shared" si="26"/>
        <v>15666.000000000002</v>
      </c>
      <c r="H63" s="447">
        <f t="shared" ca="1" si="26"/>
        <v>16364.664447733327</v>
      </c>
      <c r="I63" s="447">
        <f t="shared" ca="1" si="26"/>
        <v>16692.873278575105</v>
      </c>
      <c r="J63" s="447">
        <f t="shared" ca="1" si="26"/>
        <v>16839.507661994267</v>
      </c>
      <c r="K63" s="447">
        <f t="shared" ca="1" si="26"/>
        <v>16778.787087854962</v>
      </c>
      <c r="L63" s="447">
        <f t="shared" ca="1" si="26"/>
        <v>16524.129473970657</v>
      </c>
      <c r="M63" s="447">
        <f t="shared" ca="1" si="26"/>
        <v>-8.1490725278854378E-12</v>
      </c>
      <c r="N63" s="447">
        <f t="shared" ca="1" si="26"/>
        <v>-8.7195076048374186E-12</v>
      </c>
      <c r="O63" s="447">
        <f t="shared" ca="1" si="26"/>
        <v>-9.3298731371760375E-12</v>
      </c>
      <c r="P63" s="447">
        <f t="shared" ca="1" si="26"/>
        <v>-9.9829642567783616E-12</v>
      </c>
      <c r="Q63" s="447" t="str">
        <f t="shared" si="26"/>
        <v/>
      </c>
      <c r="R63" s="447" t="str">
        <f t="shared" si="26"/>
        <v/>
      </c>
      <c r="S63" s="447" t="str">
        <f t="shared" si="26"/>
        <v/>
      </c>
      <c r="T63" s="447" t="str">
        <f t="shared" si="26"/>
        <v/>
      </c>
      <c r="U63" s="447" t="str">
        <f t="shared" si="26"/>
        <v/>
      </c>
    </row>
    <row r="64" spans="2:21" ht="15" x14ac:dyDescent="0.25">
      <c r="B64" s="368" t="s">
        <v>655</v>
      </c>
      <c r="C64" s="368"/>
      <c r="D64" s="368"/>
      <c r="E64" s="368"/>
      <c r="F64" s="447">
        <f t="shared" ref="F64:U64" si="27">IF(F37="","",-MIN(0,F47*Equity_Share_Sponsor))</f>
        <v>223800</v>
      </c>
      <c r="G64" s="447">
        <f t="shared" ca="1" si="27"/>
        <v>0</v>
      </c>
      <c r="H64" s="447">
        <f t="shared" ca="1" si="27"/>
        <v>0</v>
      </c>
      <c r="I64" s="447">
        <f t="shared" ca="1" si="27"/>
        <v>0</v>
      </c>
      <c r="J64" s="447">
        <f t="shared" ca="1" si="27"/>
        <v>0</v>
      </c>
      <c r="K64" s="447">
        <f t="shared" ca="1" si="27"/>
        <v>0</v>
      </c>
      <c r="L64" s="447">
        <f t="shared" ca="1" si="27"/>
        <v>0</v>
      </c>
      <c r="M64" s="447">
        <f t="shared" ca="1" si="27"/>
        <v>0</v>
      </c>
      <c r="N64" s="447">
        <f t="shared" ca="1" si="27"/>
        <v>0</v>
      </c>
      <c r="O64" s="447">
        <f t="shared" ca="1" si="27"/>
        <v>0</v>
      </c>
      <c r="P64" s="447">
        <f t="shared" ca="1" si="27"/>
        <v>15001.968903465127</v>
      </c>
      <c r="Q64" s="447" t="str">
        <f t="shared" si="27"/>
        <v/>
      </c>
      <c r="R64" s="447" t="str">
        <f t="shared" si="27"/>
        <v/>
      </c>
      <c r="S64" s="447" t="str">
        <f t="shared" si="27"/>
        <v/>
      </c>
      <c r="T64" s="447" t="str">
        <f t="shared" si="27"/>
        <v/>
      </c>
      <c r="U64" s="447" t="str">
        <f t="shared" si="27"/>
        <v/>
      </c>
    </row>
    <row r="65" spans="2:21" ht="15" x14ac:dyDescent="0.25">
      <c r="B65" s="368" t="s">
        <v>656</v>
      </c>
      <c r="C65" s="368"/>
      <c r="D65" s="368"/>
      <c r="E65" s="368"/>
      <c r="F65" s="447">
        <f t="shared" ref="F65:U65" si="28">IF(F37="","",IF(CU?,MAX(MIN(F47-F60,F62+F63+F64),0),F57/$I$14*$H$14))</f>
        <v>0</v>
      </c>
      <c r="G65" s="375">
        <f t="shared" ca="1" si="28"/>
        <v>5685.0793180953597</v>
      </c>
      <c r="H65" s="375">
        <f t="shared" ca="1" si="28"/>
        <v>11675.966864279368</v>
      </c>
      <c r="I65" s="375">
        <f t="shared" ca="1" si="28"/>
        <v>14598.096372587048</v>
      </c>
      <c r="J65" s="375">
        <f t="shared" ca="1" si="28"/>
        <v>17706.944435412897</v>
      </c>
      <c r="K65" s="375">
        <f t="shared" ca="1" si="28"/>
        <v>20416.75300048789</v>
      </c>
      <c r="L65" s="375">
        <f t="shared" ca="1" si="28"/>
        <v>252583.12195926585</v>
      </c>
      <c r="M65" s="375">
        <f t="shared" ca="1" si="28"/>
        <v>0</v>
      </c>
      <c r="N65" s="375">
        <f t="shared" ca="1" si="28"/>
        <v>0</v>
      </c>
      <c r="O65" s="375">
        <f t="shared" ca="1" si="28"/>
        <v>0</v>
      </c>
      <c r="P65" s="375">
        <f t="shared" ca="1" si="28"/>
        <v>0</v>
      </c>
      <c r="Q65" s="375" t="str">
        <f t="shared" si="28"/>
        <v/>
      </c>
      <c r="R65" s="375" t="str">
        <f t="shared" si="28"/>
        <v/>
      </c>
      <c r="S65" s="375" t="str">
        <f t="shared" si="28"/>
        <v/>
      </c>
      <c r="T65" s="375" t="str">
        <f t="shared" si="28"/>
        <v/>
      </c>
      <c r="U65" s="375" t="str">
        <f t="shared" si="28"/>
        <v/>
      </c>
    </row>
    <row r="66" spans="2:21" ht="15" x14ac:dyDescent="0.25">
      <c r="B66" s="368" t="s">
        <v>657</v>
      </c>
      <c r="C66" s="368"/>
      <c r="D66" s="368"/>
      <c r="E66" s="368"/>
      <c r="F66" s="447">
        <f>IF(F37="","",F62+F63+F64-F65)</f>
        <v>223800</v>
      </c>
      <c r="G66" s="375">
        <f t="shared" ref="G66:U66" ca="1" si="29">IF(G37="","",G62+G63+G64-G65)</f>
        <v>233780.92068190465</v>
      </c>
      <c r="H66" s="375">
        <f t="shared" ca="1" si="29"/>
        <v>238469.61826535861</v>
      </c>
      <c r="I66" s="375">
        <f t="shared" ca="1" si="29"/>
        <v>240564.39517134667</v>
      </c>
      <c r="J66" s="375">
        <f t="shared" ca="1" si="29"/>
        <v>239696.95839792801</v>
      </c>
      <c r="K66" s="375">
        <f t="shared" ca="1" si="29"/>
        <v>236058.99248529508</v>
      </c>
      <c r="L66" s="375">
        <f t="shared" ca="1" si="29"/>
        <v>-1.1641532182693481E-10</v>
      </c>
      <c r="M66" s="375">
        <f t="shared" ca="1" si="29"/>
        <v>-1.2456439435482026E-10</v>
      </c>
      <c r="N66" s="375">
        <f t="shared" ca="1" si="29"/>
        <v>-1.3328390195965767E-10</v>
      </c>
      <c r="O66" s="375">
        <f t="shared" ca="1" si="29"/>
        <v>-1.4261377509683372E-10</v>
      </c>
      <c r="P66" s="375">
        <f t="shared" ca="1" si="29"/>
        <v>15001.968903464975</v>
      </c>
      <c r="Q66" s="375" t="str">
        <f t="shared" si="29"/>
        <v/>
      </c>
      <c r="R66" s="375" t="str">
        <f t="shared" si="29"/>
        <v/>
      </c>
      <c r="S66" s="375" t="str">
        <f t="shared" si="29"/>
        <v/>
      </c>
      <c r="T66" s="375" t="str">
        <f t="shared" si="29"/>
        <v/>
      </c>
      <c r="U66" s="375" t="str">
        <f t="shared" si="29"/>
        <v/>
      </c>
    </row>
    <row r="67" spans="2:21" ht="15" x14ac:dyDescent="0.25">
      <c r="B67" s="449" t="str">
        <f>IF(D4="Equity Multiple", "GP EMx Check","GP IRR Check")</f>
        <v>GP IRR Check</v>
      </c>
      <c r="C67" s="368"/>
      <c r="D67" s="368"/>
      <c r="E67" s="450">
        <f ca="1">IF($D$4="IRR",IFERROR(IRR(F67:U67),"NA"),SUMIF(F67:U67,"&gt;0")/-SUMIF(F67:U67,"&lt;0"))</f>
        <v>6.2879768618268939E-2</v>
      </c>
      <c r="F67" s="447">
        <f>IF(F37="","",-F64+F65)</f>
        <v>-223800</v>
      </c>
      <c r="G67" s="375">
        <f t="shared" ref="G67:U67" ca="1" si="30">IF(G37="","",-G64+G65)</f>
        <v>5685.0793180953597</v>
      </c>
      <c r="H67" s="375">
        <f t="shared" ca="1" si="30"/>
        <v>11675.966864279368</v>
      </c>
      <c r="I67" s="375">
        <f t="shared" ca="1" si="30"/>
        <v>14598.096372587048</v>
      </c>
      <c r="J67" s="375">
        <f t="shared" ca="1" si="30"/>
        <v>17706.944435412897</v>
      </c>
      <c r="K67" s="375">
        <f t="shared" ca="1" si="30"/>
        <v>20416.75300048789</v>
      </c>
      <c r="L67" s="375">
        <f t="shared" ca="1" si="30"/>
        <v>252583.12195926585</v>
      </c>
      <c r="M67" s="375">
        <f t="shared" ca="1" si="30"/>
        <v>0</v>
      </c>
      <c r="N67" s="375">
        <f t="shared" ca="1" si="30"/>
        <v>0</v>
      </c>
      <c r="O67" s="375">
        <f t="shared" ca="1" si="30"/>
        <v>0</v>
      </c>
      <c r="P67" s="375">
        <f t="shared" ca="1" si="30"/>
        <v>-15001.968903465127</v>
      </c>
      <c r="Q67" s="375" t="str">
        <f t="shared" si="30"/>
        <v/>
      </c>
      <c r="R67" s="375" t="str">
        <f t="shared" si="30"/>
        <v/>
      </c>
      <c r="S67" s="375" t="str">
        <f t="shared" si="30"/>
        <v/>
      </c>
      <c r="T67" s="375" t="str">
        <f t="shared" si="30"/>
        <v/>
      </c>
      <c r="U67" s="375" t="str">
        <f t="shared" si="30"/>
        <v/>
      </c>
    </row>
    <row r="68" spans="2:21" ht="5.0999999999999996" customHeight="1" x14ac:dyDescent="0.25">
      <c r="B68" s="368"/>
      <c r="C68" s="368"/>
      <c r="D68" s="368"/>
      <c r="E68" s="368"/>
      <c r="F68" s="447"/>
      <c r="G68" s="375"/>
      <c r="H68" s="375"/>
      <c r="I68" s="375"/>
      <c r="J68" s="375"/>
      <c r="K68" s="375"/>
      <c r="L68" s="375"/>
      <c r="M68" s="375"/>
      <c r="N68" s="375"/>
      <c r="O68" s="375"/>
      <c r="P68" s="375"/>
      <c r="Q68" s="375"/>
      <c r="R68" s="375"/>
      <c r="S68" s="375"/>
      <c r="T68" s="375"/>
      <c r="U68" s="375"/>
    </row>
    <row r="69" spans="2:21" ht="15" x14ac:dyDescent="0.25">
      <c r="B69" s="368" t="str">
        <f>"Total Distributions ("&amp;B51&amp;")"</f>
        <v>Total Distributions (Return of Capital &amp; Hurdle 1 (Preferred Return))</v>
      </c>
      <c r="C69" s="368"/>
      <c r="D69" s="368"/>
      <c r="E69" s="368"/>
      <c r="F69" s="447">
        <f t="shared" ref="F69:U69" si="31">IF(F53="","",F65+F60)</f>
        <v>0</v>
      </c>
      <c r="G69" s="447">
        <f t="shared" ca="1" si="31"/>
        <v>113701.58636190719</v>
      </c>
      <c r="H69" s="447">
        <f t="shared" ca="1" si="31"/>
        <v>233519.3372855873</v>
      </c>
      <c r="I69" s="447">
        <f t="shared" ca="1" si="31"/>
        <v>291961.92745174089</v>
      </c>
      <c r="J69" s="447">
        <f t="shared" ca="1" si="31"/>
        <v>354138.88870825787</v>
      </c>
      <c r="K69" s="447">
        <f t="shared" ca="1" si="31"/>
        <v>408335.0600097577</v>
      </c>
      <c r="L69" s="447">
        <f t="shared" ca="1" si="31"/>
        <v>5051662.4391853167</v>
      </c>
      <c r="M69" s="447">
        <f t="shared" ca="1" si="31"/>
        <v>0</v>
      </c>
      <c r="N69" s="447">
        <f t="shared" ca="1" si="31"/>
        <v>0</v>
      </c>
      <c r="O69" s="447">
        <f t="shared" ca="1" si="31"/>
        <v>0</v>
      </c>
      <c r="P69" s="447">
        <f t="shared" ca="1" si="31"/>
        <v>0</v>
      </c>
      <c r="Q69" s="447" t="str">
        <f t="shared" si="31"/>
        <v/>
      </c>
      <c r="R69" s="447" t="str">
        <f t="shared" si="31"/>
        <v/>
      </c>
      <c r="S69" s="447" t="str">
        <f t="shared" si="31"/>
        <v/>
      </c>
      <c r="T69" s="447" t="str">
        <f t="shared" si="31"/>
        <v/>
      </c>
      <c r="U69" s="447" t="str">
        <f t="shared" si="31"/>
        <v/>
      </c>
    </row>
    <row r="70" spans="2:21" ht="15" x14ac:dyDescent="0.25">
      <c r="B70" s="368" t="s">
        <v>658</v>
      </c>
      <c r="C70" s="368"/>
      <c r="D70" s="368"/>
      <c r="E70" s="368"/>
      <c r="F70" s="447">
        <f t="shared" ref="F70:U70" si="32">IF(F53="","",MAX(F47-F69,0))</f>
        <v>0</v>
      </c>
      <c r="G70" s="447">
        <f t="shared" ca="1" si="32"/>
        <v>0</v>
      </c>
      <c r="H70" s="447">
        <f t="shared" ca="1" si="32"/>
        <v>2.9103830456733704E-11</v>
      </c>
      <c r="I70" s="447">
        <f t="shared" ca="1" si="32"/>
        <v>5.8207660913467407E-11</v>
      </c>
      <c r="J70" s="447">
        <f t="shared" ca="1" si="32"/>
        <v>5.8207660913467407E-11</v>
      </c>
      <c r="K70" s="447">
        <f t="shared" ca="1" si="32"/>
        <v>5.8207660913467407E-11</v>
      </c>
      <c r="L70" s="447">
        <f t="shared" ca="1" si="32"/>
        <v>145121.2719026925</v>
      </c>
      <c r="M70" s="447">
        <f t="shared" ca="1" si="32"/>
        <v>162685.08156360069</v>
      </c>
      <c r="N70" s="447">
        <f t="shared" ca="1" si="32"/>
        <v>211130.79913880082</v>
      </c>
      <c r="O70" s="447">
        <f t="shared" ca="1" si="32"/>
        <v>261647.69760331756</v>
      </c>
      <c r="P70" s="447">
        <f t="shared" ca="1" si="32"/>
        <v>0</v>
      </c>
      <c r="Q70" s="447" t="str">
        <f t="shared" si="32"/>
        <v/>
      </c>
      <c r="R70" s="447" t="str">
        <f t="shared" si="32"/>
        <v/>
      </c>
      <c r="S70" s="447" t="str">
        <f t="shared" si="32"/>
        <v/>
      </c>
      <c r="T70" s="447" t="str">
        <f t="shared" si="32"/>
        <v/>
      </c>
      <c r="U70" s="447" t="str">
        <f t="shared" si="32"/>
        <v/>
      </c>
    </row>
    <row r="71" spans="2:21" ht="5.0999999999999996" customHeight="1" x14ac:dyDescent="0.25">
      <c r="B71" s="368"/>
      <c r="C71" s="368"/>
      <c r="D71" s="368"/>
      <c r="E71" s="368"/>
      <c r="F71" s="369"/>
      <c r="G71" s="369"/>
      <c r="H71" s="369"/>
      <c r="I71" s="369"/>
      <c r="J71" s="369"/>
      <c r="K71" s="369"/>
      <c r="L71" s="369"/>
      <c r="M71" s="369"/>
      <c r="N71" s="369"/>
      <c r="O71" s="369"/>
      <c r="P71" s="369"/>
      <c r="Q71" s="369"/>
      <c r="R71" s="369"/>
      <c r="S71" s="369"/>
      <c r="T71" s="369"/>
      <c r="U71" s="369"/>
    </row>
    <row r="72" spans="2:21" ht="15.75" x14ac:dyDescent="0.25">
      <c r="B72" s="371" t="s">
        <v>612</v>
      </c>
      <c r="C72" s="368"/>
      <c r="D72" s="368"/>
      <c r="E72" s="368"/>
      <c r="F72" s="369"/>
      <c r="G72" s="369"/>
      <c r="H72" s="369"/>
      <c r="I72" s="369"/>
      <c r="J72" s="369"/>
      <c r="K72" s="369"/>
      <c r="L72" s="369"/>
      <c r="M72" s="369"/>
      <c r="N72" s="369"/>
      <c r="O72" s="369"/>
      <c r="P72" s="369"/>
      <c r="Q72" s="369"/>
      <c r="R72" s="369"/>
      <c r="S72" s="369"/>
      <c r="T72" s="369"/>
      <c r="U72" s="369"/>
    </row>
    <row r="73" spans="2:21" ht="15" x14ac:dyDescent="0.25">
      <c r="B73" s="445" t="s">
        <v>645</v>
      </c>
      <c r="C73" s="446">
        <f>E15</f>
        <v>0.15</v>
      </c>
      <c r="D73" s="392"/>
      <c r="E73" s="392"/>
      <c r="F73" s="393"/>
      <c r="G73" s="393"/>
      <c r="H73" s="393"/>
      <c r="I73" s="393"/>
      <c r="J73" s="393"/>
      <c r="K73" s="393"/>
      <c r="L73" s="393"/>
      <c r="M73" s="393"/>
      <c r="N73" s="393"/>
      <c r="O73" s="393"/>
      <c r="P73" s="393"/>
      <c r="Q73" s="393"/>
      <c r="R73" s="393"/>
      <c r="S73" s="393"/>
      <c r="T73" s="393"/>
      <c r="U73" s="393"/>
    </row>
    <row r="74" spans="2:21" ht="15" x14ac:dyDescent="0.25">
      <c r="B74" s="368" t="s">
        <v>646</v>
      </c>
      <c r="C74" s="368"/>
      <c r="D74" s="368"/>
      <c r="E74" s="368"/>
      <c r="F74" s="447">
        <f t="shared" ref="F74:U74" si="33">IF(F37="","",E79)</f>
        <v>0</v>
      </c>
      <c r="G74" s="447">
        <f t="shared" si="33"/>
        <v>4252200</v>
      </c>
      <c r="H74" s="447">
        <f t="shared" ca="1" si="33"/>
        <v>4782013.4929561885</v>
      </c>
      <c r="I74" s="447">
        <f t="shared" ca="1" si="33"/>
        <v>5277472.1464783084</v>
      </c>
      <c r="J74" s="447">
        <f t="shared" ca="1" si="33"/>
        <v>5791729.1373709003</v>
      </c>
      <c r="K74" s="447">
        <f t="shared" ca="1" si="33"/>
        <v>6324056.5637036907</v>
      </c>
      <c r="L74" s="447">
        <f t="shared" ca="1" si="33"/>
        <v>6884746.7412499748</v>
      </c>
      <c r="M74" s="447">
        <f t="shared" ca="1" si="33"/>
        <v>3035660.3102268851</v>
      </c>
      <c r="N74" s="447">
        <f t="shared" ca="1" si="33"/>
        <v>3398278.8602696653</v>
      </c>
      <c r="O74" s="447">
        <f t="shared" ca="1" si="33"/>
        <v>3787676.1338009983</v>
      </c>
      <c r="P74" s="447">
        <f t="shared" ca="1" si="33"/>
        <v>4206688.3662372576</v>
      </c>
      <c r="Q74" s="447" t="str">
        <f t="shared" si="33"/>
        <v/>
      </c>
      <c r="R74" s="447" t="str">
        <f t="shared" si="33"/>
        <v/>
      </c>
      <c r="S74" s="447" t="str">
        <f t="shared" si="33"/>
        <v/>
      </c>
      <c r="T74" s="447" t="str">
        <f t="shared" si="33"/>
        <v/>
      </c>
      <c r="U74" s="447" t="str">
        <f t="shared" si="33"/>
        <v/>
      </c>
    </row>
    <row r="75" spans="2:21" ht="15" x14ac:dyDescent="0.25">
      <c r="B75" s="368" t="s">
        <v>659</v>
      </c>
      <c r="C75" s="368"/>
      <c r="D75" s="368"/>
      <c r="E75" s="368"/>
      <c r="F75" s="447">
        <f>IF(F74="","",IF($D$4="Equity Multiple",E76*$C73-E76,F74*$C73))</f>
        <v>0</v>
      </c>
      <c r="G75" s="447">
        <f t="shared" ref="G75:U75" si="34">IF(G74="","",IF($D$4="Equity Multiple",F76*$C73-F76,G74*$C73))</f>
        <v>637830</v>
      </c>
      <c r="H75" s="447">
        <f t="shared" ca="1" si="34"/>
        <v>717302.0239434283</v>
      </c>
      <c r="I75" s="447">
        <f t="shared" ca="1" si="34"/>
        <v>791620.82197174628</v>
      </c>
      <c r="J75" s="447">
        <f t="shared" ca="1" si="34"/>
        <v>868759.37060563499</v>
      </c>
      <c r="K75" s="447">
        <f t="shared" ca="1" si="34"/>
        <v>948608.48455555353</v>
      </c>
      <c r="L75" s="447">
        <f t="shared" ca="1" si="34"/>
        <v>1032712.0111874961</v>
      </c>
      <c r="M75" s="447">
        <f t="shared" ca="1" si="34"/>
        <v>455349.04653403274</v>
      </c>
      <c r="N75" s="447">
        <f t="shared" ca="1" si="34"/>
        <v>509741.82904044975</v>
      </c>
      <c r="O75" s="447">
        <f t="shared" ca="1" si="34"/>
        <v>568151.4200701497</v>
      </c>
      <c r="P75" s="447">
        <f t="shared" ca="1" si="34"/>
        <v>631003.25493558857</v>
      </c>
      <c r="Q75" s="447" t="str">
        <f t="shared" si="34"/>
        <v/>
      </c>
      <c r="R75" s="447" t="str">
        <f t="shared" si="34"/>
        <v/>
      </c>
      <c r="S75" s="447" t="str">
        <f t="shared" si="34"/>
        <v/>
      </c>
      <c r="T75" s="447" t="str">
        <f t="shared" si="34"/>
        <v/>
      </c>
      <c r="U75" s="447" t="str">
        <f t="shared" si="34"/>
        <v/>
      </c>
    </row>
    <row r="76" spans="2:21" ht="15" x14ac:dyDescent="0.25">
      <c r="B76" s="368" t="s">
        <v>649</v>
      </c>
      <c r="C76" s="368"/>
      <c r="D76" s="368"/>
      <c r="E76" s="368"/>
      <c r="F76" s="447">
        <f t="shared" ref="F76:U76" si="35">IF(F74="","",-MIN(0,F$47*Equity_Share_LP))</f>
        <v>4252200</v>
      </c>
      <c r="G76" s="447">
        <f t="shared" ca="1" si="35"/>
        <v>0</v>
      </c>
      <c r="H76" s="447">
        <f t="shared" ca="1" si="35"/>
        <v>0</v>
      </c>
      <c r="I76" s="447">
        <f t="shared" ca="1" si="35"/>
        <v>0</v>
      </c>
      <c r="J76" s="447">
        <f t="shared" ca="1" si="35"/>
        <v>0</v>
      </c>
      <c r="K76" s="447">
        <f t="shared" ca="1" si="35"/>
        <v>0</v>
      </c>
      <c r="L76" s="447">
        <f t="shared" ca="1" si="35"/>
        <v>0</v>
      </c>
      <c r="M76" s="447">
        <f t="shared" ca="1" si="35"/>
        <v>0</v>
      </c>
      <c r="N76" s="447">
        <f t="shared" ca="1" si="35"/>
        <v>0</v>
      </c>
      <c r="O76" s="447">
        <f t="shared" ca="1" si="35"/>
        <v>0</v>
      </c>
      <c r="P76" s="447">
        <f t="shared" ca="1" si="35"/>
        <v>285037.40916583739</v>
      </c>
      <c r="Q76" s="447" t="str">
        <f t="shared" si="35"/>
        <v/>
      </c>
      <c r="R76" s="447" t="str">
        <f t="shared" si="35"/>
        <v/>
      </c>
      <c r="S76" s="447" t="str">
        <f t="shared" si="35"/>
        <v/>
      </c>
      <c r="T76" s="447" t="str">
        <f t="shared" si="35"/>
        <v/>
      </c>
      <c r="U76" s="447" t="str">
        <f t="shared" si="35"/>
        <v/>
      </c>
    </row>
    <row r="77" spans="2:21" ht="15" x14ac:dyDescent="0.25">
      <c r="B77" s="368" t="s">
        <v>660</v>
      </c>
      <c r="C77" s="368"/>
      <c r="D77" s="368"/>
      <c r="E77" s="368"/>
      <c r="F77" s="447">
        <f t="shared" ref="F77:U77" si="36">F60</f>
        <v>0</v>
      </c>
      <c r="G77" s="447">
        <f t="shared" ca="1" si="36"/>
        <v>108016.50704381183</v>
      </c>
      <c r="H77" s="447">
        <f t="shared" ca="1" si="36"/>
        <v>221843.37042130795</v>
      </c>
      <c r="I77" s="447">
        <f t="shared" ca="1" si="36"/>
        <v>277363.83107915387</v>
      </c>
      <c r="J77" s="447">
        <f t="shared" ca="1" si="36"/>
        <v>336431.94427284499</v>
      </c>
      <c r="K77" s="447">
        <f t="shared" ca="1" si="36"/>
        <v>387918.30700926983</v>
      </c>
      <c r="L77" s="447">
        <f t="shared" ca="1" si="36"/>
        <v>4799079.3172260504</v>
      </c>
      <c r="M77" s="447">
        <f t="shared" ca="1" si="36"/>
        <v>0</v>
      </c>
      <c r="N77" s="447">
        <f t="shared" ca="1" si="36"/>
        <v>0</v>
      </c>
      <c r="O77" s="447">
        <f t="shared" ca="1" si="36"/>
        <v>0</v>
      </c>
      <c r="P77" s="447">
        <f t="shared" ca="1" si="36"/>
        <v>0</v>
      </c>
      <c r="Q77" s="447" t="str">
        <f t="shared" si="36"/>
        <v/>
      </c>
      <c r="R77" s="447" t="str">
        <f t="shared" si="36"/>
        <v/>
      </c>
      <c r="S77" s="447" t="str">
        <f t="shared" si="36"/>
        <v/>
      </c>
      <c r="T77" s="447" t="str">
        <f t="shared" si="36"/>
        <v/>
      </c>
      <c r="U77" s="447" t="str">
        <f t="shared" si="36"/>
        <v/>
      </c>
    </row>
    <row r="78" spans="2:21" ht="15" x14ac:dyDescent="0.25">
      <c r="B78" s="368" t="str">
        <f>"Distributions to LP "&amp;B72</f>
        <v>Distributions to LP Hurdle 2</v>
      </c>
      <c r="C78" s="368"/>
      <c r="D78" s="368"/>
      <c r="E78" s="368"/>
      <c r="F78" s="447">
        <f t="shared" ref="F78:U78" si="37">IF(F74="","",MIN(F74+F75-F77,F70*$I$15))</f>
        <v>0</v>
      </c>
      <c r="G78" s="447">
        <f t="shared" ca="1" si="37"/>
        <v>0</v>
      </c>
      <c r="H78" s="447">
        <f t="shared" ca="1" si="37"/>
        <v>1.658918336033821E-11</v>
      </c>
      <c r="I78" s="447">
        <f t="shared" ca="1" si="37"/>
        <v>3.3178366720676419E-11</v>
      </c>
      <c r="J78" s="447">
        <f t="shared" ca="1" si="37"/>
        <v>3.3178366720676419E-11</v>
      </c>
      <c r="K78" s="447">
        <f t="shared" ca="1" si="37"/>
        <v>3.3178366720676419E-11</v>
      </c>
      <c r="L78" s="447">
        <f t="shared" ca="1" si="37"/>
        <v>82719.124984534719</v>
      </c>
      <c r="M78" s="447">
        <f t="shared" ca="1" si="37"/>
        <v>92730.496491252386</v>
      </c>
      <c r="N78" s="447">
        <f t="shared" ca="1" si="37"/>
        <v>120344.55550911646</v>
      </c>
      <c r="O78" s="447">
        <f t="shared" ca="1" si="37"/>
        <v>149139.18763389101</v>
      </c>
      <c r="P78" s="447">
        <f t="shared" ca="1" si="37"/>
        <v>0</v>
      </c>
      <c r="Q78" s="447" t="str">
        <f t="shared" si="37"/>
        <v/>
      </c>
      <c r="R78" s="447" t="str">
        <f t="shared" si="37"/>
        <v/>
      </c>
      <c r="S78" s="447" t="str">
        <f t="shared" si="37"/>
        <v/>
      </c>
      <c r="T78" s="447" t="str">
        <f t="shared" si="37"/>
        <v/>
      </c>
      <c r="U78" s="447" t="str">
        <f t="shared" si="37"/>
        <v/>
      </c>
    </row>
    <row r="79" spans="2:21" ht="15" x14ac:dyDescent="0.25">
      <c r="B79" s="368" t="s">
        <v>651</v>
      </c>
      <c r="C79" s="368"/>
      <c r="D79" s="368"/>
      <c r="E79" s="368"/>
      <c r="F79" s="447">
        <f>F74+F76-F78</f>
        <v>4252200</v>
      </c>
      <c r="G79" s="447">
        <f t="shared" ref="G79:U79" ca="1" si="38">IF(G74="","",G74+G75+G76-G77-G78)</f>
        <v>4782013.4929561885</v>
      </c>
      <c r="H79" s="447">
        <f t="shared" ca="1" si="38"/>
        <v>5277472.1464783084</v>
      </c>
      <c r="I79" s="447">
        <f t="shared" ca="1" si="38"/>
        <v>5791729.1373709003</v>
      </c>
      <c r="J79" s="447">
        <f t="shared" ca="1" si="38"/>
        <v>6324056.5637036907</v>
      </c>
      <c r="K79" s="447">
        <f t="shared" ca="1" si="38"/>
        <v>6884746.7412499748</v>
      </c>
      <c r="L79" s="447">
        <f t="shared" ca="1" si="38"/>
        <v>3035660.3102268851</v>
      </c>
      <c r="M79" s="447">
        <f t="shared" ca="1" si="38"/>
        <v>3398278.8602696653</v>
      </c>
      <c r="N79" s="447">
        <f t="shared" ca="1" si="38"/>
        <v>3787676.1338009983</v>
      </c>
      <c r="O79" s="447">
        <f t="shared" ca="1" si="38"/>
        <v>4206688.3662372576</v>
      </c>
      <c r="P79" s="447">
        <f t="shared" ca="1" si="38"/>
        <v>5122729.0303386841</v>
      </c>
      <c r="Q79" s="447" t="str">
        <f t="shared" si="38"/>
        <v/>
      </c>
      <c r="R79" s="447" t="str">
        <f t="shared" si="38"/>
        <v/>
      </c>
      <c r="S79" s="447" t="str">
        <f t="shared" si="38"/>
        <v/>
      </c>
      <c r="T79" s="447" t="str">
        <f t="shared" si="38"/>
        <v/>
      </c>
      <c r="U79" s="447" t="str">
        <f t="shared" si="38"/>
        <v/>
      </c>
    </row>
    <row r="80" spans="2:21" ht="15" x14ac:dyDescent="0.25">
      <c r="B80" s="451">
        <f>C73</f>
        <v>0.15</v>
      </c>
      <c r="C80" s="368"/>
      <c r="D80" s="368"/>
      <c r="E80" s="450">
        <f ca="1">IF($D$4="IRR",IRR(F80:U80),SUMIF(F80:U80,"&gt;0")/-SUMIF(F80:U80,"&lt;0"))</f>
        <v>7.5555113103918048E-2</v>
      </c>
      <c r="F80" s="447">
        <f>IF(F74="","",-F76+F78)</f>
        <v>-4252200</v>
      </c>
      <c r="G80" s="447">
        <f t="shared" ref="G80:U80" ca="1" si="39">IF(G74="","",-G76+G77+G78)</f>
        <v>108016.50704381183</v>
      </c>
      <c r="H80" s="447">
        <f t="shared" ca="1" si="39"/>
        <v>221843.37042130798</v>
      </c>
      <c r="I80" s="447">
        <f t="shared" ca="1" si="39"/>
        <v>277363.83107915393</v>
      </c>
      <c r="J80" s="447">
        <f t="shared" ca="1" si="39"/>
        <v>336431.94427284505</v>
      </c>
      <c r="K80" s="447">
        <f t="shared" ca="1" si="39"/>
        <v>387918.30700926989</v>
      </c>
      <c r="L80" s="447">
        <f t="shared" ca="1" si="39"/>
        <v>4881798.4422105849</v>
      </c>
      <c r="M80" s="447">
        <f t="shared" ca="1" si="39"/>
        <v>92730.496491252386</v>
      </c>
      <c r="N80" s="447">
        <f t="shared" ca="1" si="39"/>
        <v>120344.55550911646</v>
      </c>
      <c r="O80" s="447">
        <f t="shared" ca="1" si="39"/>
        <v>149139.18763389101</v>
      </c>
      <c r="P80" s="447">
        <f t="shared" ca="1" si="39"/>
        <v>-285037.40916583739</v>
      </c>
      <c r="Q80" s="447" t="str">
        <f t="shared" si="39"/>
        <v/>
      </c>
      <c r="R80" s="447" t="str">
        <f t="shared" si="39"/>
        <v/>
      </c>
      <c r="S80" s="447" t="str">
        <f t="shared" si="39"/>
        <v/>
      </c>
      <c r="T80" s="447" t="str">
        <f t="shared" si="39"/>
        <v/>
      </c>
      <c r="U80" s="447" t="str">
        <f t="shared" si="39"/>
        <v/>
      </c>
    </row>
    <row r="81" spans="2:21" ht="5.0999999999999996" customHeight="1" x14ac:dyDescent="0.25">
      <c r="B81" s="356" t="s">
        <v>661</v>
      </c>
      <c r="C81" s="356" t="s">
        <v>661</v>
      </c>
      <c r="D81" s="356" t="s">
        <v>661</v>
      </c>
      <c r="E81" s="356" t="s">
        <v>661</v>
      </c>
      <c r="F81" s="452" t="str">
        <f t="shared" ref="F81:U81" si="40">IF(F74="","",".")</f>
        <v>.</v>
      </c>
      <c r="G81" s="452" t="str">
        <f t="shared" si="40"/>
        <v>.</v>
      </c>
      <c r="H81" s="452" t="str">
        <f t="shared" ca="1" si="40"/>
        <v>.</v>
      </c>
      <c r="I81" s="452" t="str">
        <f t="shared" ca="1" si="40"/>
        <v>.</v>
      </c>
      <c r="J81" s="452" t="str">
        <f t="shared" ca="1" si="40"/>
        <v>.</v>
      </c>
      <c r="K81" s="452" t="str">
        <f t="shared" ca="1" si="40"/>
        <v>.</v>
      </c>
      <c r="L81" s="452" t="str">
        <f t="shared" ca="1" si="40"/>
        <v>.</v>
      </c>
      <c r="M81" s="452" t="str">
        <f t="shared" ca="1" si="40"/>
        <v>.</v>
      </c>
      <c r="N81" s="452" t="str">
        <f t="shared" ca="1" si="40"/>
        <v>.</v>
      </c>
      <c r="O81" s="452" t="str">
        <f t="shared" ca="1" si="40"/>
        <v>.</v>
      </c>
      <c r="P81" s="452" t="str">
        <f t="shared" ca="1" si="40"/>
        <v>.</v>
      </c>
      <c r="Q81" s="452" t="str">
        <f t="shared" si="40"/>
        <v/>
      </c>
      <c r="R81" s="452" t="str">
        <f t="shared" si="40"/>
        <v/>
      </c>
      <c r="S81" s="452" t="str">
        <f t="shared" si="40"/>
        <v/>
      </c>
      <c r="T81" s="452" t="str">
        <f t="shared" si="40"/>
        <v/>
      </c>
      <c r="U81" s="452" t="str">
        <f t="shared" si="40"/>
        <v/>
      </c>
    </row>
    <row r="82" spans="2:21" ht="15" x14ac:dyDescent="0.25">
      <c r="B82" s="368" t="s">
        <v>652</v>
      </c>
      <c r="C82" s="368"/>
      <c r="D82" s="368"/>
      <c r="E82" s="368"/>
      <c r="F82" s="447">
        <f t="shared" ref="F82:U82" si="41">IF(F74="","",F78)</f>
        <v>0</v>
      </c>
      <c r="G82" s="447">
        <f t="shared" ca="1" si="41"/>
        <v>0</v>
      </c>
      <c r="H82" s="447">
        <f t="shared" ca="1" si="41"/>
        <v>1.658918336033821E-11</v>
      </c>
      <c r="I82" s="447">
        <f t="shared" ca="1" si="41"/>
        <v>3.3178366720676419E-11</v>
      </c>
      <c r="J82" s="447">
        <f t="shared" ca="1" si="41"/>
        <v>3.3178366720676419E-11</v>
      </c>
      <c r="K82" s="447">
        <f t="shared" ca="1" si="41"/>
        <v>3.3178366720676419E-11</v>
      </c>
      <c r="L82" s="447">
        <f t="shared" ca="1" si="41"/>
        <v>82719.124984534719</v>
      </c>
      <c r="M82" s="447">
        <f t="shared" ca="1" si="41"/>
        <v>92730.496491252386</v>
      </c>
      <c r="N82" s="447">
        <f t="shared" ca="1" si="41"/>
        <v>120344.55550911646</v>
      </c>
      <c r="O82" s="447">
        <f t="shared" ca="1" si="41"/>
        <v>149139.18763389101</v>
      </c>
      <c r="P82" s="447">
        <f t="shared" ca="1" si="41"/>
        <v>0</v>
      </c>
      <c r="Q82" s="447" t="str">
        <f t="shared" si="41"/>
        <v/>
      </c>
      <c r="R82" s="447" t="str">
        <f t="shared" si="41"/>
        <v/>
      </c>
      <c r="S82" s="447" t="str">
        <f t="shared" si="41"/>
        <v/>
      </c>
      <c r="T82" s="447" t="str">
        <f t="shared" si="41"/>
        <v/>
      </c>
      <c r="U82" s="447" t="str">
        <f t="shared" si="41"/>
        <v/>
      </c>
    </row>
    <row r="83" spans="2:21" ht="15" x14ac:dyDescent="0.25">
      <c r="B83" s="368" t="s">
        <v>656</v>
      </c>
      <c r="C83" s="368"/>
      <c r="D83" s="368"/>
      <c r="E83" s="368"/>
      <c r="F83" s="447">
        <f>IF(F74="","",F82/$I$15*$H$15)</f>
        <v>0</v>
      </c>
      <c r="G83" s="447">
        <f t="shared" ref="G83:U83" ca="1" si="42">IF(G74="","",G82/$I$15*$H$15)</f>
        <v>0</v>
      </c>
      <c r="H83" s="447">
        <f t="shared" ca="1" si="42"/>
        <v>1.2514647096395494E-11</v>
      </c>
      <c r="I83" s="447">
        <f t="shared" ca="1" si="42"/>
        <v>2.5029294192790988E-11</v>
      </c>
      <c r="J83" s="447">
        <f t="shared" ca="1" si="42"/>
        <v>2.5029294192790988E-11</v>
      </c>
      <c r="K83" s="447">
        <f t="shared" ca="1" si="42"/>
        <v>2.5029294192790988E-11</v>
      </c>
      <c r="L83" s="447">
        <f t="shared" ca="1" si="42"/>
        <v>62402.146918157785</v>
      </c>
      <c r="M83" s="447">
        <f t="shared" ca="1" si="42"/>
        <v>69954.585072348302</v>
      </c>
      <c r="N83" s="447">
        <f t="shared" ca="1" si="42"/>
        <v>90786.243629684366</v>
      </c>
      <c r="O83" s="447">
        <f t="shared" ca="1" si="42"/>
        <v>112508.50996942658</v>
      </c>
      <c r="P83" s="447">
        <f t="shared" ca="1" si="42"/>
        <v>0</v>
      </c>
      <c r="Q83" s="447" t="str">
        <f t="shared" si="42"/>
        <v/>
      </c>
      <c r="R83" s="447" t="str">
        <f t="shared" si="42"/>
        <v/>
      </c>
      <c r="S83" s="447" t="str">
        <f t="shared" si="42"/>
        <v/>
      </c>
      <c r="T83" s="447" t="str">
        <f t="shared" si="42"/>
        <v/>
      </c>
      <c r="U83" s="447" t="str">
        <f t="shared" si="42"/>
        <v/>
      </c>
    </row>
    <row r="84" spans="2:21" ht="15" x14ac:dyDescent="0.25">
      <c r="B84" s="368" t="str">
        <f>"Total Distributions ("&amp;B72&amp;")"</f>
        <v>Total Distributions (Hurdle 2)</v>
      </c>
      <c r="C84" s="368"/>
      <c r="D84" s="368"/>
      <c r="E84" s="368"/>
      <c r="F84" s="447">
        <f t="shared" ref="F84:U84" si="43">IF(F74="","",F82+F83)</f>
        <v>0</v>
      </c>
      <c r="G84" s="447">
        <f t="shared" ca="1" si="43"/>
        <v>0</v>
      </c>
      <c r="H84" s="447">
        <f t="shared" ca="1" si="43"/>
        <v>2.9103830456733704E-11</v>
      </c>
      <c r="I84" s="447">
        <f t="shared" ca="1" si="43"/>
        <v>5.8207660913467407E-11</v>
      </c>
      <c r="J84" s="447">
        <f t="shared" ca="1" si="43"/>
        <v>5.8207660913467407E-11</v>
      </c>
      <c r="K84" s="447">
        <f t="shared" ca="1" si="43"/>
        <v>5.8207660913467407E-11</v>
      </c>
      <c r="L84" s="447">
        <f t="shared" ca="1" si="43"/>
        <v>145121.2719026925</v>
      </c>
      <c r="M84" s="447">
        <f t="shared" ca="1" si="43"/>
        <v>162685.08156360069</v>
      </c>
      <c r="N84" s="447">
        <f t="shared" ca="1" si="43"/>
        <v>211130.79913880082</v>
      </c>
      <c r="O84" s="447">
        <f t="shared" ca="1" si="43"/>
        <v>261647.69760331759</v>
      </c>
      <c r="P84" s="447">
        <f t="shared" ca="1" si="43"/>
        <v>0</v>
      </c>
      <c r="Q84" s="447" t="str">
        <f t="shared" si="43"/>
        <v/>
      </c>
      <c r="R84" s="447" t="str">
        <f t="shared" si="43"/>
        <v/>
      </c>
      <c r="S84" s="447" t="str">
        <f t="shared" si="43"/>
        <v/>
      </c>
      <c r="T84" s="447" t="str">
        <f t="shared" si="43"/>
        <v/>
      </c>
      <c r="U84" s="447" t="str">
        <f t="shared" si="43"/>
        <v/>
      </c>
    </row>
    <row r="85" spans="2:21" ht="15" x14ac:dyDescent="0.25">
      <c r="B85" s="368" t="s">
        <v>658</v>
      </c>
      <c r="C85" s="368"/>
      <c r="D85" s="368"/>
      <c r="E85" s="368"/>
      <c r="F85" s="447">
        <f t="shared" ref="F85:U85" si="44">IF(F74="","",MAX(F$47-F69-F84,0))</f>
        <v>0</v>
      </c>
      <c r="G85" s="447">
        <f t="shared" ca="1" si="44"/>
        <v>0</v>
      </c>
      <c r="H85" s="447">
        <f t="shared" ca="1" si="44"/>
        <v>0</v>
      </c>
      <c r="I85" s="447">
        <f t="shared" ca="1" si="44"/>
        <v>0</v>
      </c>
      <c r="J85" s="447">
        <f t="shared" ca="1" si="44"/>
        <v>0</v>
      </c>
      <c r="K85" s="447">
        <f t="shared" ca="1" si="44"/>
        <v>0</v>
      </c>
      <c r="L85" s="447">
        <f t="shared" ca="1" si="44"/>
        <v>0</v>
      </c>
      <c r="M85" s="447">
        <f t="shared" ca="1" si="44"/>
        <v>0</v>
      </c>
      <c r="N85" s="447">
        <f t="shared" ca="1" si="44"/>
        <v>0</v>
      </c>
      <c r="O85" s="447">
        <f t="shared" ca="1" si="44"/>
        <v>0</v>
      </c>
      <c r="P85" s="447">
        <f t="shared" ca="1" si="44"/>
        <v>0</v>
      </c>
      <c r="Q85" s="447" t="str">
        <f t="shared" si="44"/>
        <v/>
      </c>
      <c r="R85" s="447" t="str">
        <f t="shared" si="44"/>
        <v/>
      </c>
      <c r="S85" s="447" t="str">
        <f t="shared" si="44"/>
        <v/>
      </c>
      <c r="T85" s="447" t="str">
        <f t="shared" si="44"/>
        <v/>
      </c>
      <c r="U85" s="447" t="str">
        <f t="shared" si="44"/>
        <v/>
      </c>
    </row>
    <row r="86" spans="2:21" ht="5.0999999999999996" customHeight="1" x14ac:dyDescent="0.25">
      <c r="B86" s="368"/>
      <c r="C86" s="368"/>
      <c r="D86" s="368"/>
      <c r="E86" s="368"/>
      <c r="F86" s="369"/>
      <c r="G86" s="369"/>
      <c r="H86" s="369"/>
      <c r="I86" s="369"/>
      <c r="J86" s="369"/>
      <c r="K86" s="369"/>
      <c r="L86" s="369"/>
      <c r="M86" s="369"/>
      <c r="N86" s="369"/>
      <c r="O86" s="369"/>
      <c r="P86" s="369"/>
      <c r="Q86" s="369"/>
      <c r="R86" s="369"/>
      <c r="S86" s="369"/>
      <c r="T86" s="369"/>
      <c r="U86" s="369"/>
    </row>
    <row r="87" spans="2:21" ht="15.75" x14ac:dyDescent="0.25">
      <c r="B87" s="371" t="s">
        <v>613</v>
      </c>
      <c r="C87" s="368"/>
      <c r="D87" s="368"/>
      <c r="E87" s="368"/>
      <c r="F87" s="369"/>
      <c r="G87" s="369"/>
      <c r="H87" s="369"/>
      <c r="I87" s="369"/>
      <c r="J87" s="369"/>
      <c r="K87" s="369"/>
      <c r="L87" s="369"/>
      <c r="M87" s="369"/>
      <c r="N87" s="369"/>
      <c r="O87" s="369"/>
      <c r="P87" s="369"/>
      <c r="Q87" s="369"/>
      <c r="R87" s="369"/>
      <c r="S87" s="369"/>
      <c r="T87" s="369"/>
      <c r="U87" s="369"/>
    </row>
    <row r="88" spans="2:21" ht="15" x14ac:dyDescent="0.25">
      <c r="B88" s="445" t="s">
        <v>645</v>
      </c>
      <c r="C88" s="446">
        <f>E16</f>
        <v>0.99</v>
      </c>
      <c r="D88" s="392"/>
      <c r="E88" s="392"/>
      <c r="F88" s="393"/>
      <c r="G88" s="393"/>
      <c r="H88" s="393"/>
      <c r="I88" s="393"/>
      <c r="J88" s="393"/>
      <c r="K88" s="393"/>
      <c r="L88" s="393"/>
      <c r="M88" s="393"/>
      <c r="N88" s="393"/>
      <c r="O88" s="393"/>
      <c r="P88" s="393"/>
      <c r="Q88" s="393"/>
      <c r="R88" s="393"/>
      <c r="S88" s="393"/>
      <c r="T88" s="393"/>
      <c r="U88" s="393"/>
    </row>
    <row r="89" spans="2:21" ht="15" x14ac:dyDescent="0.25">
      <c r="B89" s="368" t="s">
        <v>646</v>
      </c>
      <c r="C89" s="368"/>
      <c r="D89" s="368"/>
      <c r="E89" s="368"/>
      <c r="F89" s="447">
        <f t="shared" ref="F89:U89" si="45">IF(F65="","",E94)</f>
        <v>0</v>
      </c>
      <c r="G89" s="447">
        <f t="shared" ca="1" si="45"/>
        <v>4252200</v>
      </c>
      <c r="H89" s="447">
        <f t="shared" ca="1" si="45"/>
        <v>8353861.4929561885</v>
      </c>
      <c r="I89" s="447">
        <f t="shared" ca="1" si="45"/>
        <v>16402341.000561507</v>
      </c>
      <c r="J89" s="447">
        <f t="shared" ca="1" si="45"/>
        <v>32363294.760038242</v>
      </c>
      <c r="K89" s="447">
        <f t="shared" ca="1" si="45"/>
        <v>64066524.628203258</v>
      </c>
      <c r="L89" s="447">
        <f t="shared" ca="1" si="45"/>
        <v>127104465.70311521</v>
      </c>
      <c r="M89" s="447">
        <f t="shared" ca="1" si="45"/>
        <v>248056088.30698869</v>
      </c>
      <c r="N89" s="447">
        <f t="shared" ca="1" si="45"/>
        <v>493538885.23441619</v>
      </c>
      <c r="O89" s="447">
        <f t="shared" ca="1" si="45"/>
        <v>982022037.06097913</v>
      </c>
      <c r="P89" s="447">
        <f t="shared" ca="1" si="45"/>
        <v>1954074714.5637145</v>
      </c>
      <c r="Q89" s="447" t="str">
        <f t="shared" si="45"/>
        <v/>
      </c>
      <c r="R89" s="447" t="str">
        <f t="shared" si="45"/>
        <v/>
      </c>
      <c r="S89" s="447" t="str">
        <f t="shared" si="45"/>
        <v/>
      </c>
      <c r="T89" s="447" t="str">
        <f t="shared" si="45"/>
        <v/>
      </c>
      <c r="U89" s="447" t="str">
        <f t="shared" si="45"/>
        <v/>
      </c>
    </row>
    <row r="90" spans="2:21" ht="15" x14ac:dyDescent="0.25">
      <c r="B90" s="368" t="s">
        <v>662</v>
      </c>
      <c r="C90" s="368"/>
      <c r="D90" s="368"/>
      <c r="E90" s="368"/>
      <c r="F90" s="447">
        <f>IF(F89="","",IF($D$4="Equity Multiple",E91*$C88-E91,F89*$C88))</f>
        <v>0</v>
      </c>
      <c r="G90" s="447">
        <f t="shared" ref="G90:U90" ca="1" si="46">IF(G89="","",IF($D$4="Equity Multiple",F91*$C88-F91,G89*$C88))</f>
        <v>4209678</v>
      </c>
      <c r="H90" s="447">
        <f t="shared" ca="1" si="46"/>
        <v>8270322.878026627</v>
      </c>
      <c r="I90" s="447">
        <f t="shared" ca="1" si="46"/>
        <v>16238317.590555891</v>
      </c>
      <c r="J90" s="447">
        <f t="shared" ca="1" si="46"/>
        <v>32039661.812437858</v>
      </c>
      <c r="K90" s="447">
        <f t="shared" ca="1" si="46"/>
        <v>63425859.381921224</v>
      </c>
      <c r="L90" s="447">
        <f t="shared" ca="1" si="46"/>
        <v>125833421.04608406</v>
      </c>
      <c r="M90" s="447">
        <f t="shared" ca="1" si="46"/>
        <v>245575527.42391878</v>
      </c>
      <c r="N90" s="447">
        <f t="shared" ca="1" si="46"/>
        <v>488603496.38207203</v>
      </c>
      <c r="O90" s="447">
        <f t="shared" ca="1" si="46"/>
        <v>972201816.69036937</v>
      </c>
      <c r="P90" s="447">
        <f t="shared" ca="1" si="46"/>
        <v>1934533967.4180772</v>
      </c>
      <c r="Q90" s="447" t="str">
        <f t="shared" si="46"/>
        <v/>
      </c>
      <c r="R90" s="447" t="str">
        <f t="shared" si="46"/>
        <v/>
      </c>
      <c r="S90" s="447" t="str">
        <f t="shared" si="46"/>
        <v/>
      </c>
      <c r="T90" s="447" t="str">
        <f t="shared" si="46"/>
        <v/>
      </c>
      <c r="U90" s="447" t="str">
        <f t="shared" si="46"/>
        <v/>
      </c>
    </row>
    <row r="91" spans="2:21" ht="15" x14ac:dyDescent="0.25">
      <c r="B91" s="368" t="s">
        <v>649</v>
      </c>
      <c r="C91" s="368"/>
      <c r="D91" s="368"/>
      <c r="E91" s="368"/>
      <c r="F91" s="447">
        <f t="shared" ref="F91:U91" si="47">IF(F89="","",-MIN(0,F$47*Equity_Share_LP))</f>
        <v>4252200</v>
      </c>
      <c r="G91" s="447">
        <f t="shared" ca="1" si="47"/>
        <v>0</v>
      </c>
      <c r="H91" s="447">
        <f t="shared" ca="1" si="47"/>
        <v>0</v>
      </c>
      <c r="I91" s="447">
        <f t="shared" ca="1" si="47"/>
        <v>0</v>
      </c>
      <c r="J91" s="447">
        <f t="shared" ca="1" si="47"/>
        <v>0</v>
      </c>
      <c r="K91" s="447">
        <f t="shared" ca="1" si="47"/>
        <v>0</v>
      </c>
      <c r="L91" s="447">
        <f t="shared" ca="1" si="47"/>
        <v>0</v>
      </c>
      <c r="M91" s="447">
        <f t="shared" ca="1" si="47"/>
        <v>0</v>
      </c>
      <c r="N91" s="447">
        <f t="shared" ca="1" si="47"/>
        <v>0</v>
      </c>
      <c r="O91" s="447">
        <f t="shared" ca="1" si="47"/>
        <v>0</v>
      </c>
      <c r="P91" s="447">
        <f t="shared" ca="1" si="47"/>
        <v>285037.40916583739</v>
      </c>
      <c r="Q91" s="447" t="str">
        <f t="shared" si="47"/>
        <v/>
      </c>
      <c r="R91" s="447" t="str">
        <f t="shared" si="47"/>
        <v/>
      </c>
      <c r="S91" s="447" t="str">
        <f t="shared" si="47"/>
        <v/>
      </c>
      <c r="T91" s="447" t="str">
        <f t="shared" si="47"/>
        <v/>
      </c>
      <c r="U91" s="447" t="str">
        <f t="shared" si="47"/>
        <v/>
      </c>
    </row>
    <row r="92" spans="2:21" ht="15" x14ac:dyDescent="0.25">
      <c r="B92" s="368" t="s">
        <v>660</v>
      </c>
      <c r="C92" s="368"/>
      <c r="D92" s="368"/>
      <c r="E92" s="368"/>
      <c r="F92" s="447">
        <f t="shared" ref="F92:U92" si="48">IF(F89="","",F82+F60)</f>
        <v>0</v>
      </c>
      <c r="G92" s="447">
        <f t="shared" ca="1" si="48"/>
        <v>108016.50704381183</v>
      </c>
      <c r="H92" s="447">
        <f t="shared" ca="1" si="48"/>
        <v>221843.37042130798</v>
      </c>
      <c r="I92" s="447">
        <f t="shared" ca="1" si="48"/>
        <v>277363.83107915393</v>
      </c>
      <c r="J92" s="447">
        <f t="shared" ca="1" si="48"/>
        <v>336431.94427284505</v>
      </c>
      <c r="K92" s="447">
        <f t="shared" ca="1" si="48"/>
        <v>387918.30700926989</v>
      </c>
      <c r="L92" s="447">
        <f t="shared" ca="1" si="48"/>
        <v>4881798.4422105849</v>
      </c>
      <c r="M92" s="447">
        <f t="shared" ca="1" si="48"/>
        <v>92730.496491252386</v>
      </c>
      <c r="N92" s="447">
        <f t="shared" ca="1" si="48"/>
        <v>120344.55550911646</v>
      </c>
      <c r="O92" s="447">
        <f t="shared" ca="1" si="48"/>
        <v>149139.18763389101</v>
      </c>
      <c r="P92" s="447">
        <f t="shared" ca="1" si="48"/>
        <v>0</v>
      </c>
      <c r="Q92" s="447" t="str">
        <f t="shared" si="48"/>
        <v/>
      </c>
      <c r="R92" s="447" t="str">
        <f t="shared" si="48"/>
        <v/>
      </c>
      <c r="S92" s="447" t="str">
        <f t="shared" si="48"/>
        <v/>
      </c>
      <c r="T92" s="447" t="str">
        <f t="shared" si="48"/>
        <v/>
      </c>
      <c r="U92" s="447" t="str">
        <f t="shared" si="48"/>
        <v/>
      </c>
    </row>
    <row r="93" spans="2:21" ht="15" x14ac:dyDescent="0.25">
      <c r="B93" s="368" t="str">
        <f>"Distributions to LP "&amp;B87</f>
        <v>Distributions to LP Hurdle 3</v>
      </c>
      <c r="C93" s="368"/>
      <c r="D93" s="368"/>
      <c r="E93" s="368"/>
      <c r="F93" s="447">
        <f t="shared" ref="F93:U93" si="49">IF(F89="","",MIN(F89+F90-F92,F85*$I$16))</f>
        <v>0</v>
      </c>
      <c r="G93" s="447">
        <f t="shared" ca="1" si="49"/>
        <v>0</v>
      </c>
      <c r="H93" s="447">
        <f t="shared" ca="1" si="49"/>
        <v>0</v>
      </c>
      <c r="I93" s="447">
        <f t="shared" ca="1" si="49"/>
        <v>0</v>
      </c>
      <c r="J93" s="447">
        <f t="shared" ca="1" si="49"/>
        <v>0</v>
      </c>
      <c r="K93" s="447">
        <f t="shared" ca="1" si="49"/>
        <v>0</v>
      </c>
      <c r="L93" s="447">
        <f t="shared" ca="1" si="49"/>
        <v>0</v>
      </c>
      <c r="M93" s="447">
        <f t="shared" ca="1" si="49"/>
        <v>0</v>
      </c>
      <c r="N93" s="447">
        <f t="shared" ca="1" si="49"/>
        <v>0</v>
      </c>
      <c r="O93" s="447">
        <f t="shared" ca="1" si="49"/>
        <v>0</v>
      </c>
      <c r="P93" s="447">
        <f t="shared" ca="1" si="49"/>
        <v>0</v>
      </c>
      <c r="Q93" s="447" t="str">
        <f t="shared" si="49"/>
        <v/>
      </c>
      <c r="R93" s="447" t="str">
        <f t="shared" si="49"/>
        <v/>
      </c>
      <c r="S93" s="447" t="str">
        <f t="shared" si="49"/>
        <v/>
      </c>
      <c r="T93" s="447" t="str">
        <f t="shared" si="49"/>
        <v/>
      </c>
      <c r="U93" s="447" t="str">
        <f t="shared" si="49"/>
        <v/>
      </c>
    </row>
    <row r="94" spans="2:21" ht="15" x14ac:dyDescent="0.25">
      <c r="B94" s="368" t="s">
        <v>651</v>
      </c>
      <c r="C94" s="368"/>
      <c r="D94" s="368"/>
      <c r="E94" s="368"/>
      <c r="F94" s="447">
        <f>F89+F91-F93</f>
        <v>4252200</v>
      </c>
      <c r="G94" s="447">
        <f t="shared" ref="G94:U94" ca="1" si="50">IF(G89="","",G89+G90+G91-G92-G93)</f>
        <v>8353861.4929561885</v>
      </c>
      <c r="H94" s="447">
        <f t="shared" ca="1" si="50"/>
        <v>16402341.000561507</v>
      </c>
      <c r="I94" s="447">
        <f t="shared" ca="1" si="50"/>
        <v>32363294.760038242</v>
      </c>
      <c r="J94" s="447">
        <f t="shared" ca="1" si="50"/>
        <v>64066524.628203258</v>
      </c>
      <c r="K94" s="447">
        <f t="shared" ca="1" si="50"/>
        <v>127104465.70311521</v>
      </c>
      <c r="L94" s="447">
        <f t="shared" ca="1" si="50"/>
        <v>248056088.30698869</v>
      </c>
      <c r="M94" s="447">
        <f t="shared" ca="1" si="50"/>
        <v>493538885.23441619</v>
      </c>
      <c r="N94" s="447">
        <f t="shared" ca="1" si="50"/>
        <v>982022037.06097913</v>
      </c>
      <c r="O94" s="447">
        <f t="shared" ca="1" si="50"/>
        <v>1954074714.5637145</v>
      </c>
      <c r="P94" s="447">
        <f t="shared" ca="1" si="50"/>
        <v>3888893719.3909574</v>
      </c>
      <c r="Q94" s="447" t="str">
        <f t="shared" si="50"/>
        <v/>
      </c>
      <c r="R94" s="447" t="str">
        <f t="shared" si="50"/>
        <v/>
      </c>
      <c r="S94" s="447" t="str">
        <f t="shared" si="50"/>
        <v/>
      </c>
      <c r="T94" s="447" t="str">
        <f t="shared" si="50"/>
        <v/>
      </c>
      <c r="U94" s="447" t="str">
        <f t="shared" si="50"/>
        <v/>
      </c>
    </row>
    <row r="95" spans="2:21" ht="15" x14ac:dyDescent="0.25">
      <c r="B95" s="451">
        <f>C88</f>
        <v>0.99</v>
      </c>
      <c r="C95" s="368"/>
      <c r="D95" s="368"/>
      <c r="E95" s="450">
        <f ca="1">IF($D$4="IRR",IRR(F95:U95),SUMIF(F95:U95,"&gt;0")/-SUMIF(F95:U95,"&lt;0"))</f>
        <v>7.5555113103918048E-2</v>
      </c>
      <c r="F95" s="447">
        <f>IF(F89="","",-F91+F93)</f>
        <v>-4252200</v>
      </c>
      <c r="G95" s="447">
        <f t="shared" ref="G95:U95" ca="1" si="51">IF(G89="","",-G91+G92+G93)</f>
        <v>108016.50704381183</v>
      </c>
      <c r="H95" s="447">
        <f t="shared" ca="1" si="51"/>
        <v>221843.37042130798</v>
      </c>
      <c r="I95" s="447">
        <f t="shared" ca="1" si="51"/>
        <v>277363.83107915393</v>
      </c>
      <c r="J95" s="447">
        <f t="shared" ca="1" si="51"/>
        <v>336431.94427284505</v>
      </c>
      <c r="K95" s="447">
        <f t="shared" ca="1" si="51"/>
        <v>387918.30700926989</v>
      </c>
      <c r="L95" s="447">
        <f t="shared" ca="1" si="51"/>
        <v>4881798.4422105849</v>
      </c>
      <c r="M95" s="447">
        <f t="shared" ca="1" si="51"/>
        <v>92730.496491252386</v>
      </c>
      <c r="N95" s="447">
        <f t="shared" ca="1" si="51"/>
        <v>120344.55550911646</v>
      </c>
      <c r="O95" s="447">
        <f t="shared" ca="1" si="51"/>
        <v>149139.18763389101</v>
      </c>
      <c r="P95" s="447">
        <f t="shared" ca="1" si="51"/>
        <v>-285037.40916583739</v>
      </c>
      <c r="Q95" s="447" t="str">
        <f t="shared" si="51"/>
        <v/>
      </c>
      <c r="R95" s="447" t="str">
        <f t="shared" si="51"/>
        <v/>
      </c>
      <c r="S95" s="447" t="str">
        <f t="shared" si="51"/>
        <v/>
      </c>
      <c r="T95" s="447" t="str">
        <f t="shared" si="51"/>
        <v/>
      </c>
      <c r="U95" s="447" t="str">
        <f t="shared" si="51"/>
        <v/>
      </c>
    </row>
    <row r="96" spans="2:21" ht="5.0999999999999996" customHeight="1" x14ac:dyDescent="0.25">
      <c r="B96" s="356" t="s">
        <v>661</v>
      </c>
      <c r="C96" s="356" t="s">
        <v>661</v>
      </c>
      <c r="D96" s="356" t="s">
        <v>661</v>
      </c>
      <c r="E96" s="356" t="s">
        <v>661</v>
      </c>
      <c r="F96" s="452" t="str">
        <f t="shared" ref="F96:U96" si="52">IF(F89="","",".")</f>
        <v>.</v>
      </c>
      <c r="G96" s="452" t="str">
        <f t="shared" ca="1" si="52"/>
        <v>.</v>
      </c>
      <c r="H96" s="452" t="str">
        <f t="shared" ca="1" si="52"/>
        <v>.</v>
      </c>
      <c r="I96" s="452" t="str">
        <f t="shared" ca="1" si="52"/>
        <v>.</v>
      </c>
      <c r="J96" s="452" t="str">
        <f t="shared" ca="1" si="52"/>
        <v>.</v>
      </c>
      <c r="K96" s="452" t="str">
        <f t="shared" ca="1" si="52"/>
        <v>.</v>
      </c>
      <c r="L96" s="452" t="str">
        <f t="shared" ca="1" si="52"/>
        <v>.</v>
      </c>
      <c r="M96" s="452" t="str">
        <f t="shared" ca="1" si="52"/>
        <v>.</v>
      </c>
      <c r="N96" s="452" t="str">
        <f t="shared" ca="1" si="52"/>
        <v>.</v>
      </c>
      <c r="O96" s="452" t="str">
        <f t="shared" ca="1" si="52"/>
        <v>.</v>
      </c>
      <c r="P96" s="452" t="str">
        <f t="shared" ca="1" si="52"/>
        <v>.</v>
      </c>
      <c r="Q96" s="452" t="str">
        <f t="shared" si="52"/>
        <v/>
      </c>
      <c r="R96" s="452" t="str">
        <f t="shared" si="52"/>
        <v/>
      </c>
      <c r="S96" s="452" t="str">
        <f t="shared" si="52"/>
        <v/>
      </c>
      <c r="T96" s="452" t="str">
        <f t="shared" si="52"/>
        <v/>
      </c>
      <c r="U96" s="452" t="str">
        <f t="shared" si="52"/>
        <v/>
      </c>
    </row>
    <row r="97" spans="2:21" ht="15" x14ac:dyDescent="0.25">
      <c r="B97" s="368" t="s">
        <v>652</v>
      </c>
      <c r="C97" s="368"/>
      <c r="D97" s="368"/>
      <c r="E97" s="368"/>
      <c r="F97" s="447">
        <f t="shared" ref="F97:U97" si="53">IF(F89="","",F93)</f>
        <v>0</v>
      </c>
      <c r="G97" s="447">
        <f t="shared" ca="1" si="53"/>
        <v>0</v>
      </c>
      <c r="H97" s="447">
        <f t="shared" ca="1" si="53"/>
        <v>0</v>
      </c>
      <c r="I97" s="447">
        <f t="shared" ca="1" si="53"/>
        <v>0</v>
      </c>
      <c r="J97" s="447">
        <f t="shared" ca="1" si="53"/>
        <v>0</v>
      </c>
      <c r="K97" s="447">
        <f t="shared" ca="1" si="53"/>
        <v>0</v>
      </c>
      <c r="L97" s="447">
        <f t="shared" ca="1" si="53"/>
        <v>0</v>
      </c>
      <c r="M97" s="447">
        <f t="shared" ca="1" si="53"/>
        <v>0</v>
      </c>
      <c r="N97" s="447">
        <f t="shared" ca="1" si="53"/>
        <v>0</v>
      </c>
      <c r="O97" s="447">
        <f t="shared" ca="1" si="53"/>
        <v>0</v>
      </c>
      <c r="P97" s="447">
        <f t="shared" ca="1" si="53"/>
        <v>0</v>
      </c>
      <c r="Q97" s="447" t="str">
        <f t="shared" si="53"/>
        <v/>
      </c>
      <c r="R97" s="447" t="str">
        <f t="shared" si="53"/>
        <v/>
      </c>
      <c r="S97" s="447" t="str">
        <f t="shared" si="53"/>
        <v/>
      </c>
      <c r="T97" s="447" t="str">
        <f t="shared" si="53"/>
        <v/>
      </c>
      <c r="U97" s="447" t="str">
        <f t="shared" si="53"/>
        <v/>
      </c>
    </row>
    <row r="98" spans="2:21" ht="15" x14ac:dyDescent="0.25">
      <c r="B98" s="368" t="s">
        <v>656</v>
      </c>
      <c r="C98" s="368"/>
      <c r="D98" s="368"/>
      <c r="E98" s="368"/>
      <c r="F98" s="447">
        <f>IF(F89="","",F97/$I$16*$H$16)</f>
        <v>0</v>
      </c>
      <c r="G98" s="447">
        <f t="shared" ref="G98:U98" ca="1" si="54">IF(G89="","",G97/$I$16*$H$16)</f>
        <v>0</v>
      </c>
      <c r="H98" s="447">
        <f t="shared" ca="1" si="54"/>
        <v>0</v>
      </c>
      <c r="I98" s="447">
        <f t="shared" ca="1" si="54"/>
        <v>0</v>
      </c>
      <c r="J98" s="447">
        <f t="shared" ca="1" si="54"/>
        <v>0</v>
      </c>
      <c r="K98" s="447">
        <f t="shared" ca="1" si="54"/>
        <v>0</v>
      </c>
      <c r="L98" s="447">
        <f t="shared" ca="1" si="54"/>
        <v>0</v>
      </c>
      <c r="M98" s="447">
        <f t="shared" ca="1" si="54"/>
        <v>0</v>
      </c>
      <c r="N98" s="447">
        <f t="shared" ca="1" si="54"/>
        <v>0</v>
      </c>
      <c r="O98" s="447">
        <f t="shared" ca="1" si="54"/>
        <v>0</v>
      </c>
      <c r="P98" s="447">
        <f t="shared" ca="1" si="54"/>
        <v>0</v>
      </c>
      <c r="Q98" s="447" t="str">
        <f t="shared" si="54"/>
        <v/>
      </c>
      <c r="R98" s="447" t="str">
        <f t="shared" si="54"/>
        <v/>
      </c>
      <c r="S98" s="447" t="str">
        <f t="shared" si="54"/>
        <v/>
      </c>
      <c r="T98" s="447" t="str">
        <f t="shared" si="54"/>
        <v/>
      </c>
      <c r="U98" s="447" t="str">
        <f t="shared" si="54"/>
        <v/>
      </c>
    </row>
    <row r="99" spans="2:21" ht="15" x14ac:dyDescent="0.25">
      <c r="B99" s="368" t="str">
        <f>"Total Distributions ("&amp;B87&amp;")"</f>
        <v>Total Distributions (Hurdle 3)</v>
      </c>
      <c r="C99" s="368"/>
      <c r="D99" s="368"/>
      <c r="E99" s="368"/>
      <c r="F99" s="447">
        <f t="shared" ref="F99:U99" si="55">IF(F89="","",F97+F98)</f>
        <v>0</v>
      </c>
      <c r="G99" s="447">
        <f t="shared" ca="1" si="55"/>
        <v>0</v>
      </c>
      <c r="H99" s="447">
        <f t="shared" ca="1" si="55"/>
        <v>0</v>
      </c>
      <c r="I99" s="447">
        <f t="shared" ca="1" si="55"/>
        <v>0</v>
      </c>
      <c r="J99" s="447">
        <f t="shared" ca="1" si="55"/>
        <v>0</v>
      </c>
      <c r="K99" s="447">
        <f t="shared" ca="1" si="55"/>
        <v>0</v>
      </c>
      <c r="L99" s="447">
        <f t="shared" ca="1" si="55"/>
        <v>0</v>
      </c>
      <c r="M99" s="447">
        <f t="shared" ca="1" si="55"/>
        <v>0</v>
      </c>
      <c r="N99" s="447">
        <f t="shared" ca="1" si="55"/>
        <v>0</v>
      </c>
      <c r="O99" s="447">
        <f t="shared" ca="1" si="55"/>
        <v>0</v>
      </c>
      <c r="P99" s="447">
        <f t="shared" ca="1" si="55"/>
        <v>0</v>
      </c>
      <c r="Q99" s="447" t="str">
        <f t="shared" si="55"/>
        <v/>
      </c>
      <c r="R99" s="447" t="str">
        <f t="shared" si="55"/>
        <v/>
      </c>
      <c r="S99" s="447" t="str">
        <f t="shared" si="55"/>
        <v/>
      </c>
      <c r="T99" s="447" t="str">
        <f t="shared" si="55"/>
        <v/>
      </c>
      <c r="U99" s="447" t="str">
        <f t="shared" si="55"/>
        <v/>
      </c>
    </row>
    <row r="100" spans="2:21" ht="15" x14ac:dyDescent="0.25">
      <c r="B100" s="368" t="s">
        <v>658</v>
      </c>
      <c r="C100" s="368"/>
      <c r="D100" s="368"/>
      <c r="E100" s="368"/>
      <c r="F100" s="447">
        <f t="shared" ref="F100:U100" si="56">IF(F89="","",MAX(F$47-F69-F84-F99,0))</f>
        <v>0</v>
      </c>
      <c r="G100" s="447">
        <f t="shared" ca="1" si="56"/>
        <v>0</v>
      </c>
      <c r="H100" s="447">
        <f t="shared" ca="1" si="56"/>
        <v>0</v>
      </c>
      <c r="I100" s="447">
        <f t="shared" ca="1" si="56"/>
        <v>0</v>
      </c>
      <c r="J100" s="447">
        <f t="shared" ca="1" si="56"/>
        <v>0</v>
      </c>
      <c r="K100" s="447">
        <f t="shared" ca="1" si="56"/>
        <v>0</v>
      </c>
      <c r="L100" s="447">
        <f t="shared" ca="1" si="56"/>
        <v>0</v>
      </c>
      <c r="M100" s="447">
        <f t="shared" ca="1" si="56"/>
        <v>0</v>
      </c>
      <c r="N100" s="447">
        <f t="shared" ca="1" si="56"/>
        <v>0</v>
      </c>
      <c r="O100" s="447">
        <f t="shared" ca="1" si="56"/>
        <v>0</v>
      </c>
      <c r="P100" s="447">
        <f t="shared" ca="1" si="56"/>
        <v>0</v>
      </c>
      <c r="Q100" s="447" t="str">
        <f t="shared" si="56"/>
        <v/>
      </c>
      <c r="R100" s="447" t="str">
        <f t="shared" si="56"/>
        <v/>
      </c>
      <c r="S100" s="447" t="str">
        <f t="shared" si="56"/>
        <v/>
      </c>
      <c r="T100" s="447" t="str">
        <f t="shared" si="56"/>
        <v/>
      </c>
      <c r="U100" s="447" t="str">
        <f t="shared" si="56"/>
        <v/>
      </c>
    </row>
    <row r="101" spans="2:21" ht="5.0999999999999996" customHeight="1" x14ac:dyDescent="0.25">
      <c r="B101" s="368"/>
      <c r="C101" s="368"/>
      <c r="D101" s="368"/>
      <c r="E101" s="368"/>
      <c r="F101" s="369"/>
      <c r="G101" s="369"/>
      <c r="H101" s="369"/>
      <c r="I101" s="369"/>
      <c r="J101" s="369"/>
      <c r="K101" s="369"/>
      <c r="L101" s="369"/>
      <c r="M101" s="369"/>
      <c r="N101" s="369"/>
      <c r="O101" s="369"/>
      <c r="P101" s="369"/>
      <c r="Q101" s="369"/>
      <c r="R101" s="369"/>
      <c r="S101" s="369"/>
      <c r="T101" s="369"/>
      <c r="U101" s="369"/>
    </row>
    <row r="102" spans="2:21" ht="15.75" x14ac:dyDescent="0.25">
      <c r="B102" s="371" t="s">
        <v>614</v>
      </c>
      <c r="C102" s="368"/>
      <c r="D102" s="368"/>
      <c r="E102" s="368"/>
      <c r="F102" s="369"/>
      <c r="G102" s="369"/>
      <c r="H102" s="369"/>
      <c r="I102" s="369"/>
      <c r="J102" s="369"/>
      <c r="K102" s="369"/>
      <c r="L102" s="369"/>
      <c r="M102" s="369"/>
      <c r="N102" s="369"/>
      <c r="O102" s="369"/>
      <c r="P102" s="369"/>
      <c r="Q102" s="369"/>
      <c r="R102" s="369"/>
      <c r="S102" s="369"/>
      <c r="T102" s="369"/>
      <c r="U102" s="369"/>
    </row>
    <row r="103" spans="2:21" ht="15" x14ac:dyDescent="0.25">
      <c r="B103" s="445" t="s">
        <v>663</v>
      </c>
      <c r="C103" s="446">
        <f>C88</f>
        <v>0.99</v>
      </c>
      <c r="D103" s="392"/>
      <c r="E103" s="392"/>
      <c r="F103" s="393"/>
      <c r="G103" s="393"/>
      <c r="H103" s="393"/>
      <c r="I103" s="393"/>
      <c r="J103" s="393"/>
      <c r="K103" s="393"/>
      <c r="L103" s="393"/>
      <c r="M103" s="393"/>
      <c r="N103" s="393"/>
      <c r="O103" s="393"/>
      <c r="P103" s="393"/>
      <c r="Q103" s="393"/>
      <c r="R103" s="393"/>
      <c r="S103" s="393"/>
      <c r="T103" s="393"/>
      <c r="U103" s="393"/>
    </row>
    <row r="104" spans="2:21" ht="15" x14ac:dyDescent="0.25">
      <c r="B104" s="368" t="s">
        <v>652</v>
      </c>
      <c r="C104" s="368"/>
      <c r="D104" s="368"/>
      <c r="E104" s="368"/>
      <c r="F104" s="447">
        <f t="shared" ref="F104:U104" si="57">IF(F89="","",F100*$I$17)</f>
        <v>0</v>
      </c>
      <c r="G104" s="447">
        <f t="shared" ca="1" si="57"/>
        <v>0</v>
      </c>
      <c r="H104" s="447">
        <f t="shared" ca="1" si="57"/>
        <v>0</v>
      </c>
      <c r="I104" s="447">
        <f t="shared" ca="1" si="57"/>
        <v>0</v>
      </c>
      <c r="J104" s="447">
        <f t="shared" ca="1" si="57"/>
        <v>0</v>
      </c>
      <c r="K104" s="447">
        <f t="shared" ca="1" si="57"/>
        <v>0</v>
      </c>
      <c r="L104" s="447">
        <f t="shared" ca="1" si="57"/>
        <v>0</v>
      </c>
      <c r="M104" s="447">
        <f t="shared" ca="1" si="57"/>
        <v>0</v>
      </c>
      <c r="N104" s="447">
        <f t="shared" ca="1" si="57"/>
        <v>0</v>
      </c>
      <c r="O104" s="447">
        <f t="shared" ca="1" si="57"/>
        <v>0</v>
      </c>
      <c r="P104" s="447">
        <f t="shared" ca="1" si="57"/>
        <v>0</v>
      </c>
      <c r="Q104" s="447" t="str">
        <f t="shared" si="57"/>
        <v/>
      </c>
      <c r="R104" s="447" t="str">
        <f t="shared" si="57"/>
        <v/>
      </c>
      <c r="S104" s="447" t="str">
        <f t="shared" si="57"/>
        <v/>
      </c>
      <c r="T104" s="447" t="str">
        <f t="shared" si="57"/>
        <v/>
      </c>
      <c r="U104" s="447" t="str">
        <f t="shared" si="57"/>
        <v/>
      </c>
    </row>
    <row r="105" spans="2:21" ht="15" x14ac:dyDescent="0.25">
      <c r="B105" s="368" t="s">
        <v>656</v>
      </c>
      <c r="C105" s="368"/>
      <c r="D105" s="368"/>
      <c r="E105" s="368"/>
      <c r="F105" s="447">
        <f t="shared" ref="F105:U105" si="58">IF(F104="","",F100-F104)</f>
        <v>0</v>
      </c>
      <c r="G105" s="447">
        <f t="shared" ca="1" si="58"/>
        <v>0</v>
      </c>
      <c r="H105" s="447">
        <f t="shared" ca="1" si="58"/>
        <v>0</v>
      </c>
      <c r="I105" s="447">
        <f t="shared" ca="1" si="58"/>
        <v>0</v>
      </c>
      <c r="J105" s="447">
        <f t="shared" ca="1" si="58"/>
        <v>0</v>
      </c>
      <c r="K105" s="447">
        <f t="shared" ca="1" si="58"/>
        <v>0</v>
      </c>
      <c r="L105" s="447">
        <f t="shared" ca="1" si="58"/>
        <v>0</v>
      </c>
      <c r="M105" s="447">
        <f t="shared" ca="1" si="58"/>
        <v>0</v>
      </c>
      <c r="N105" s="447">
        <f t="shared" ca="1" si="58"/>
        <v>0</v>
      </c>
      <c r="O105" s="447">
        <f t="shared" ca="1" si="58"/>
        <v>0</v>
      </c>
      <c r="P105" s="447">
        <f t="shared" ca="1" si="58"/>
        <v>0</v>
      </c>
      <c r="Q105" s="447" t="str">
        <f t="shared" si="58"/>
        <v/>
      </c>
      <c r="R105" s="447" t="str">
        <f t="shared" si="58"/>
        <v/>
      </c>
      <c r="S105" s="447" t="str">
        <f t="shared" si="58"/>
        <v/>
      </c>
      <c r="T105" s="447" t="str">
        <f t="shared" si="58"/>
        <v/>
      </c>
      <c r="U105" s="447" t="str">
        <f t="shared" si="58"/>
        <v/>
      </c>
    </row>
    <row r="106" spans="2:21" ht="15" x14ac:dyDescent="0.25">
      <c r="B106" s="368" t="str">
        <f>"Total Distributions ("&amp;B102&amp;")"</f>
        <v>Total Distributions (Hurdle 4)</v>
      </c>
      <c r="C106" s="368"/>
      <c r="D106" s="368"/>
      <c r="E106" s="368"/>
      <c r="F106" s="447">
        <f t="shared" ref="F106:U106" si="59">IF(F104="","",F104+F105)</f>
        <v>0</v>
      </c>
      <c r="G106" s="447">
        <f t="shared" ca="1" si="59"/>
        <v>0</v>
      </c>
      <c r="H106" s="447">
        <f t="shared" ca="1" si="59"/>
        <v>0</v>
      </c>
      <c r="I106" s="447">
        <f t="shared" ca="1" si="59"/>
        <v>0</v>
      </c>
      <c r="J106" s="447">
        <f t="shared" ca="1" si="59"/>
        <v>0</v>
      </c>
      <c r="K106" s="447">
        <f t="shared" ca="1" si="59"/>
        <v>0</v>
      </c>
      <c r="L106" s="447">
        <f t="shared" ca="1" si="59"/>
        <v>0</v>
      </c>
      <c r="M106" s="447">
        <f t="shared" ca="1" si="59"/>
        <v>0</v>
      </c>
      <c r="N106" s="447">
        <f t="shared" ca="1" si="59"/>
        <v>0</v>
      </c>
      <c r="O106" s="447">
        <f t="shared" ca="1" si="59"/>
        <v>0</v>
      </c>
      <c r="P106" s="447">
        <f t="shared" ca="1" si="59"/>
        <v>0</v>
      </c>
      <c r="Q106" s="447" t="str">
        <f t="shared" si="59"/>
        <v/>
      </c>
      <c r="R106" s="447" t="str">
        <f t="shared" si="59"/>
        <v/>
      </c>
      <c r="S106" s="447" t="str">
        <f t="shared" si="59"/>
        <v/>
      </c>
      <c r="T106" s="447" t="str">
        <f t="shared" si="59"/>
        <v/>
      </c>
      <c r="U106" s="447" t="str">
        <f t="shared" si="59"/>
        <v/>
      </c>
    </row>
    <row r="107" spans="2:21" ht="15" x14ac:dyDescent="0.25">
      <c r="B107" s="368" t="s">
        <v>658</v>
      </c>
      <c r="C107" s="368"/>
      <c r="D107" s="368"/>
      <c r="E107" s="368"/>
      <c r="F107" s="447">
        <f t="shared" ref="F107:U107" si="60">IF(F104="","",F100-F106)</f>
        <v>0</v>
      </c>
      <c r="G107" s="447">
        <f t="shared" ca="1" si="60"/>
        <v>0</v>
      </c>
      <c r="H107" s="447">
        <f t="shared" ca="1" si="60"/>
        <v>0</v>
      </c>
      <c r="I107" s="447">
        <f t="shared" ca="1" si="60"/>
        <v>0</v>
      </c>
      <c r="J107" s="447">
        <f t="shared" ca="1" si="60"/>
        <v>0</v>
      </c>
      <c r="K107" s="447">
        <f t="shared" ca="1" si="60"/>
        <v>0</v>
      </c>
      <c r="L107" s="447">
        <f t="shared" ca="1" si="60"/>
        <v>0</v>
      </c>
      <c r="M107" s="447">
        <f t="shared" ca="1" si="60"/>
        <v>0</v>
      </c>
      <c r="N107" s="447">
        <f t="shared" ca="1" si="60"/>
        <v>0</v>
      </c>
      <c r="O107" s="447">
        <f t="shared" ca="1" si="60"/>
        <v>0</v>
      </c>
      <c r="P107" s="447">
        <f t="shared" ca="1" si="60"/>
        <v>0</v>
      </c>
      <c r="Q107" s="447" t="str">
        <f t="shared" si="60"/>
        <v/>
      </c>
      <c r="R107" s="447" t="str">
        <f t="shared" si="60"/>
        <v/>
      </c>
      <c r="S107" s="447" t="str">
        <f t="shared" si="60"/>
        <v/>
      </c>
      <c r="T107" s="447" t="str">
        <f t="shared" si="60"/>
        <v/>
      </c>
      <c r="U107" s="447" t="str">
        <f t="shared" si="60"/>
        <v/>
      </c>
    </row>
    <row r="108" spans="2:21" ht="9.9499999999999993" customHeight="1" x14ac:dyDescent="0.25"/>
    <row r="109" spans="2:21" ht="15" hidden="1" x14ac:dyDescent="0.25"/>
    <row r="110" spans="2:21" ht="15" hidden="1" x14ac:dyDescent="0.25"/>
    <row r="111" spans="2:21" ht="15" hidden="1" x14ac:dyDescent="0.25"/>
    <row r="112" spans="2:21" ht="15" hidden="1" x14ac:dyDescent="0.25"/>
  </sheetData>
  <sheetProtection algorithmName="SHA-512" hashValue="3LINWHPW64uB0DHm55JWIB/FIxq2T3hBpDM6vd8UjaDb2o3kdkYfZ9aCz+zG51OYJVXEWBicwqNKNmxm1nDDbQ==" saltValue="hw9o9LsQPeGRgjzXF6Qc0Q==" spinCount="100000" sheet="1" objects="1" scenarios="1"/>
  <mergeCells count="8">
    <mergeCell ref="J16:N16"/>
    <mergeCell ref="J17:N17"/>
    <mergeCell ref="O4:S4"/>
    <mergeCell ref="O5:S5"/>
    <mergeCell ref="F12:G13"/>
    <mergeCell ref="H12:I12"/>
    <mergeCell ref="J14:N14"/>
    <mergeCell ref="J15:N15"/>
  </mergeCells>
  <conditionalFormatting sqref="B59">
    <cfRule type="expression" dxfId="19" priority="15">
      <formula>$C$4="Equity Multiple"</formula>
    </cfRule>
  </conditionalFormatting>
  <conditionalFormatting sqref="B67">
    <cfRule type="expression" dxfId="18" priority="5">
      <formula>$C$4="Equity Multiple"</formula>
    </cfRule>
  </conditionalFormatting>
  <conditionalFormatting sqref="B80">
    <cfRule type="expression" dxfId="17" priority="13">
      <formula>$C$4="Equity Multiple"</formula>
    </cfRule>
  </conditionalFormatting>
  <conditionalFormatting sqref="B95">
    <cfRule type="expression" dxfId="16" priority="12">
      <formula>$C$4="Equity Multiple"</formula>
    </cfRule>
  </conditionalFormatting>
  <conditionalFormatting sqref="C14:C17">
    <cfRule type="expression" dxfId="15" priority="16">
      <formula>$D$4&lt;&gt;"Equity Multiple"</formula>
    </cfRule>
  </conditionalFormatting>
  <conditionalFormatting sqref="C52">
    <cfRule type="expression" dxfId="14" priority="11">
      <formula>$C$4="Equity Multiple"</formula>
    </cfRule>
  </conditionalFormatting>
  <conditionalFormatting sqref="C73">
    <cfRule type="expression" dxfId="13" priority="10">
      <formula>$C$4="Equity Multiple"</formula>
    </cfRule>
  </conditionalFormatting>
  <conditionalFormatting sqref="C88">
    <cfRule type="expression" dxfId="12" priority="9">
      <formula>$C$4="Equity Multiple"</formula>
    </cfRule>
  </conditionalFormatting>
  <conditionalFormatting sqref="C103">
    <cfRule type="expression" dxfId="11" priority="8">
      <formula>$C$4="Equity Multiple"</formula>
    </cfRule>
  </conditionalFormatting>
  <conditionalFormatting sqref="D14:D17">
    <cfRule type="expression" dxfId="10" priority="18">
      <formula>$D$4="Equity Multiple"</formula>
    </cfRule>
  </conditionalFormatting>
  <conditionalFormatting sqref="E5">
    <cfRule type="expression" dxfId="9" priority="2">
      <formula>$H$14&gt;=$C$8</formula>
    </cfRule>
  </conditionalFormatting>
  <conditionalFormatting sqref="E14:E16">
    <cfRule type="expression" dxfId="8" priority="17">
      <formula>$D$4="Equity Multiple"</formula>
    </cfRule>
  </conditionalFormatting>
  <conditionalFormatting sqref="E59 E67 E80 E95">
    <cfRule type="expression" dxfId="7" priority="3">
      <formula>$D$4="Equity Multiple"</formula>
    </cfRule>
  </conditionalFormatting>
  <conditionalFormatting sqref="E59">
    <cfRule type="expression" dxfId="6" priority="14">
      <formula>$C$4="Equity Multiple"</formula>
    </cfRule>
  </conditionalFormatting>
  <conditionalFormatting sqref="E67">
    <cfRule type="expression" dxfId="5" priority="4">
      <formula>$C$4="Equity Multiple"</formula>
    </cfRule>
  </conditionalFormatting>
  <conditionalFormatting sqref="E80">
    <cfRule type="expression" dxfId="4" priority="7">
      <formula>$C$4="Equity Multiple"</formula>
    </cfRule>
  </conditionalFormatting>
  <conditionalFormatting sqref="E95">
    <cfRule type="expression" dxfId="3" priority="6">
      <formula>$C$4="Equity Multiple"</formula>
    </cfRule>
  </conditionalFormatting>
  <conditionalFormatting sqref="F5">
    <cfRule type="cellIs" dxfId="2" priority="1" operator="lessThanOrEqual">
      <formula>$G$4</formula>
    </cfRule>
  </conditionalFormatting>
  <conditionalFormatting sqref="G5 F7">
    <cfRule type="cellIs" dxfId="1" priority="20" operator="equal">
      <formula>$G$4</formula>
    </cfRule>
  </conditionalFormatting>
  <conditionalFormatting sqref="L8">
    <cfRule type="expression" dxfId="0" priority="19">
      <formula>$L$8="OK"</formula>
    </cfRule>
  </conditionalFormatting>
  <dataValidations count="3">
    <dataValidation type="list" allowBlank="1" showInputMessage="1" showErrorMessage="1" sqref="D4" xr:uid="{97B2987B-36D6-45DF-8008-DBCEEF3CD357}">
      <formula1>"IRR, Equity Multiple"</formula1>
    </dataValidation>
    <dataValidation type="list" allowBlank="1" showInputMessage="1" showErrorMessage="1" sqref="D5" xr:uid="{4B74B5B6-CD7F-453F-A982-93E01FCA88D1}">
      <formula1>"Pari Passu"</formula1>
    </dataValidation>
    <dataValidation type="list" allowBlank="1" showInputMessage="1" showErrorMessage="1" sqref="E5" xr:uid="{00927A2A-E9D2-4ABA-876A-9FB9D3E88A1B}">
      <formula1>"Yes, No"</formula1>
    </dataValidation>
  </dataValidations>
  <pageMargins left="0.7" right="0.7" top="0.75" bottom="0.75" header="0.3" footer="0.3"/>
  <pageSetup scale="35" orientation="portrait" horizontalDpi="4294967294"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sheetPr>
  <dimension ref="A1:J27"/>
  <sheetViews>
    <sheetView workbookViewId="0"/>
  </sheetViews>
  <sheetFormatPr defaultColWidth="9.140625" defaultRowHeight="12.75" x14ac:dyDescent="0.2"/>
  <cols>
    <col min="1" max="1" width="25" style="7" customWidth="1"/>
    <col min="2" max="2" width="18.42578125" style="7" customWidth="1"/>
    <col min="3" max="3" width="10.140625" style="7" customWidth="1"/>
    <col min="4" max="4" width="35.42578125" style="7" bestFit="1" customWidth="1"/>
    <col min="5" max="10" width="12.28515625" style="7" bestFit="1" customWidth="1"/>
    <col min="11" max="16384" width="9.140625" style="7"/>
  </cols>
  <sheetData>
    <row r="1" spans="1:10" ht="8.4499999999999993" customHeight="1" x14ac:dyDescent="0.2">
      <c r="A1" s="510"/>
      <c r="B1" s="510"/>
      <c r="C1" s="510"/>
      <c r="D1" s="510"/>
      <c r="E1" s="510"/>
      <c r="F1" s="510"/>
      <c r="G1" s="510"/>
      <c r="H1" s="510"/>
      <c r="I1" s="510"/>
      <c r="J1" s="510"/>
    </row>
    <row r="2" spans="1:10" x14ac:dyDescent="0.2">
      <c r="A2" s="8" t="str">
        <f>Proforma!C1</f>
        <v>Shady Glen - 450 Gladycon Rd, Colfax CA 95713</v>
      </c>
      <c r="B2" s="510"/>
      <c r="C2" s="510"/>
      <c r="D2" s="510"/>
      <c r="E2" s="510"/>
      <c r="F2" s="510"/>
      <c r="G2" s="510"/>
      <c r="H2" s="510"/>
      <c r="I2" s="510"/>
      <c r="J2" s="510"/>
    </row>
    <row r="3" spans="1:10" x14ac:dyDescent="0.2">
      <c r="A3" s="42" t="s">
        <v>43</v>
      </c>
      <c r="B3" s="42"/>
      <c r="C3" s="511"/>
      <c r="D3" s="42" t="s">
        <v>44</v>
      </c>
      <c r="E3" s="43" t="s">
        <v>28</v>
      </c>
      <c r="F3" s="43" t="s">
        <v>29</v>
      </c>
      <c r="G3" s="43" t="s">
        <v>30</v>
      </c>
      <c r="H3" s="43" t="s">
        <v>31</v>
      </c>
      <c r="I3" s="43" t="s">
        <v>45</v>
      </c>
      <c r="J3" s="43" t="s">
        <v>46</v>
      </c>
    </row>
    <row r="4" spans="1:10" x14ac:dyDescent="0.2">
      <c r="A4" s="45" t="s">
        <v>47</v>
      </c>
      <c r="B4" s="46" t="s">
        <v>48</v>
      </c>
      <c r="C4" s="511"/>
      <c r="D4" s="29" t="s">
        <v>49</v>
      </c>
      <c r="E4" s="512">
        <f>Proforma!F54*12</f>
        <v>1439215.3903999999</v>
      </c>
      <c r="F4" s="512">
        <f>Proforma!G54*12</f>
        <v>1545110.0182079999</v>
      </c>
      <c r="G4" s="512">
        <f>Proforma!H54*12</f>
        <v>1620735.54297216</v>
      </c>
      <c r="H4" s="512">
        <f>Proforma!I54*12</f>
        <v>1700545.9941556035</v>
      </c>
      <c r="I4" s="512">
        <f>Proforma!J54*12</f>
        <v>1772343.9781333955</v>
      </c>
      <c r="J4" s="512">
        <f>Proforma!K54*12</f>
        <v>1834397.0570807776</v>
      </c>
    </row>
    <row r="5" spans="1:10" x14ac:dyDescent="0.2">
      <c r="A5" s="29" t="s">
        <v>43</v>
      </c>
      <c r="B5" s="47">
        <f>Proforma!D4</f>
        <v>10230000</v>
      </c>
      <c r="C5" s="48"/>
      <c r="D5" s="29" t="s">
        <v>50</v>
      </c>
      <c r="E5" s="513">
        <f ca="1">Proforma!F81*12</f>
        <v>783623.20421600004</v>
      </c>
      <c r="F5" s="513">
        <f ca="1">Proforma!G81*12</f>
        <v>769700.08110031998</v>
      </c>
      <c r="G5" s="513">
        <f ca="1">Proforma!H81*12</f>
        <v>786883.01569832652</v>
      </c>
      <c r="H5" s="513">
        <f ca="1">Proforma!I81*12</f>
        <v>804516.50562525284</v>
      </c>
      <c r="I5" s="513">
        <f ca="1">Proforma!J81*12</f>
        <v>822118.31830154511</v>
      </c>
      <c r="J5" s="513">
        <f ca="1">Proforma!K81*12</f>
        <v>839624.93264296488</v>
      </c>
    </row>
    <row r="6" spans="1:10" ht="13.5" thickBot="1" x14ac:dyDescent="0.25">
      <c r="A6" s="514" t="s">
        <v>51</v>
      </c>
      <c r="B6" s="515">
        <f>Proforma!D5</f>
        <v>630000</v>
      </c>
      <c r="C6" s="516"/>
      <c r="D6" s="572" t="s">
        <v>52</v>
      </c>
      <c r="E6" s="573">
        <f t="shared" ref="E6:J6" ca="1" si="0">E4-E5</f>
        <v>655592.18618399987</v>
      </c>
      <c r="F6" s="573">
        <f t="shared" ca="1" si="0"/>
        <v>775409.9371076799</v>
      </c>
      <c r="G6" s="573">
        <f t="shared" ca="1" si="0"/>
        <v>833852.52727383352</v>
      </c>
      <c r="H6" s="573">
        <f t="shared" ca="1" si="0"/>
        <v>896029.48853035062</v>
      </c>
      <c r="I6" s="573">
        <f t="shared" ca="1" si="0"/>
        <v>950225.65983185044</v>
      </c>
      <c r="J6" s="573">
        <f t="shared" ca="1" si="0"/>
        <v>994772.12443781272</v>
      </c>
    </row>
    <row r="7" spans="1:10" ht="13.5" thickTop="1" x14ac:dyDescent="0.2">
      <c r="A7" s="49" t="s">
        <v>53</v>
      </c>
      <c r="B7" s="700">
        <f>SUM(B5:B6)</f>
        <v>10860000</v>
      </c>
      <c r="C7" s="517"/>
      <c r="D7" s="1" t="s">
        <v>54</v>
      </c>
      <c r="E7" s="38">
        <f t="shared" ref="E7:J7" ca="1" si="1">E6/E4</f>
        <v>0.45552054998646985</v>
      </c>
      <c r="F7" s="38">
        <f t="shared" ca="1" si="1"/>
        <v>0.50184771826603713</v>
      </c>
      <c r="G7" s="38">
        <f t="shared" ca="1" si="1"/>
        <v>0.51449018372527722</v>
      </c>
      <c r="H7" s="38">
        <f t="shared" ca="1" si="1"/>
        <v>0.52690694142340389</v>
      </c>
      <c r="I7" s="38">
        <f t="shared" ca="1" si="1"/>
        <v>0.53614065415936529</v>
      </c>
      <c r="J7" s="38">
        <f t="shared" ca="1" si="1"/>
        <v>0.54228833425020484</v>
      </c>
    </row>
    <row r="8" spans="1:10" x14ac:dyDescent="0.2">
      <c r="A8" s="52" t="s">
        <v>55</v>
      </c>
      <c r="B8" s="53">
        <f ca="1">Proforma!D8</f>
        <v>6.0367604620994463E-2</v>
      </c>
      <c r="C8" s="510"/>
      <c r="D8" s="510"/>
      <c r="E8" s="510"/>
      <c r="F8" s="510"/>
      <c r="G8" s="510"/>
      <c r="H8" s="510"/>
      <c r="I8" s="510"/>
      <c r="J8" s="510"/>
    </row>
    <row r="9" spans="1:10" x14ac:dyDescent="0.2">
      <c r="A9" s="510"/>
      <c r="B9" s="510"/>
      <c r="C9" s="510"/>
      <c r="D9" s="54" t="s">
        <v>56</v>
      </c>
      <c r="E9" s="19">
        <f>-Proforma!F95</f>
        <v>-494590.59982209268</v>
      </c>
      <c r="F9" s="19">
        <f>-Proforma!G95</f>
        <v>-494590.59982209268</v>
      </c>
      <c r="G9" s="19">
        <f>-Proforma!H95</f>
        <v>-494590.59982209268</v>
      </c>
      <c r="H9" s="19">
        <f>-Proforma!I95</f>
        <v>-494590.59982209268</v>
      </c>
      <c r="I9" s="19">
        <f>-Proforma!J95</f>
        <v>-494590.59982209268</v>
      </c>
      <c r="J9" s="19">
        <f>-Proforma!K95</f>
        <v>-494590.59982209268</v>
      </c>
    </row>
    <row r="10" spans="1:10" x14ac:dyDescent="0.2">
      <c r="A10" s="29" t="s">
        <v>57</v>
      </c>
      <c r="B10" s="512">
        <f>B5-B11</f>
        <v>3600000</v>
      </c>
      <c r="C10" s="55">
        <f>B11/B12</f>
        <v>0.64809384164222872</v>
      </c>
      <c r="D10" s="510"/>
      <c r="E10" s="510"/>
      <c r="F10" s="510"/>
      <c r="G10" s="510"/>
      <c r="H10" s="510"/>
      <c r="I10" s="510"/>
      <c r="J10" s="510"/>
    </row>
    <row r="11" spans="1:10" x14ac:dyDescent="0.2">
      <c r="A11" s="29" t="s">
        <v>58</v>
      </c>
      <c r="B11" s="47">
        <f>Proforma!F93</f>
        <v>6630000</v>
      </c>
      <c r="C11" s="510"/>
      <c r="D11" s="514" t="s">
        <v>59</v>
      </c>
      <c r="E11" s="512">
        <f t="shared" ref="E11:J11" ca="1" si="2">E6+E9</f>
        <v>161001.58636190719</v>
      </c>
      <c r="F11" s="512">
        <f t="shared" ca="1" si="2"/>
        <v>280819.33728558721</v>
      </c>
      <c r="G11" s="512">
        <f t="shared" ca="1" si="2"/>
        <v>339261.92745174083</v>
      </c>
      <c r="H11" s="512">
        <f t="shared" ca="1" si="2"/>
        <v>401438.88870825793</v>
      </c>
      <c r="I11" s="512">
        <f t="shared" ca="1" si="2"/>
        <v>455635.06000975776</v>
      </c>
      <c r="J11" s="512">
        <f t="shared" ca="1" si="2"/>
        <v>500181.52461572003</v>
      </c>
    </row>
    <row r="12" spans="1:10" ht="13.5" thickBot="1" x14ac:dyDescent="0.25">
      <c r="A12" s="49" t="s">
        <v>48</v>
      </c>
      <c r="B12" s="574">
        <f>SUM(B10:B11)</f>
        <v>10230000</v>
      </c>
      <c r="C12" s="517"/>
      <c r="D12" s="514" t="s">
        <v>60</v>
      </c>
      <c r="E12" s="12">
        <f>Proforma!F106</f>
        <v>0</v>
      </c>
      <c r="F12" s="12">
        <f>Proforma!G106</f>
        <v>0</v>
      </c>
      <c r="G12" s="12">
        <f>Proforma!H106</f>
        <v>0</v>
      </c>
      <c r="H12" s="12">
        <f>Proforma!I106</f>
        <v>0</v>
      </c>
      <c r="I12" s="12">
        <f>Proforma!J106</f>
        <v>0</v>
      </c>
      <c r="J12" s="12">
        <f>Proforma!K106</f>
        <v>0</v>
      </c>
    </row>
    <row r="13" spans="1:10" ht="13.5" thickTop="1" x14ac:dyDescent="0.2">
      <c r="A13" s="510"/>
      <c r="B13" s="510"/>
      <c r="C13" s="517"/>
      <c r="D13" s="514" t="s">
        <v>61</v>
      </c>
      <c r="E13" s="12">
        <f>Proforma!F114</f>
        <v>0</v>
      </c>
      <c r="F13" s="12">
        <f>Proforma!G114</f>
        <v>0</v>
      </c>
      <c r="G13" s="12">
        <f>Proforma!H114</f>
        <v>0</v>
      </c>
      <c r="H13" s="12">
        <f>Proforma!I114</f>
        <v>0</v>
      </c>
      <c r="I13" s="12">
        <f>Proforma!J114</f>
        <v>0</v>
      </c>
      <c r="J13" s="12">
        <f ca="1">Proforma!K114</f>
        <v>4743902.1864722893</v>
      </c>
    </row>
    <row r="14" spans="1:10" ht="13.5" thickBot="1" x14ac:dyDescent="0.25">
      <c r="A14" s="514" t="s">
        <v>51</v>
      </c>
      <c r="B14" s="515">
        <f>B6</f>
        <v>630000</v>
      </c>
      <c r="C14" s="517"/>
      <c r="D14" s="575" t="s">
        <v>62</v>
      </c>
      <c r="E14" s="576">
        <f ca="1">SUM(E11:E13)</f>
        <v>161001.58636190719</v>
      </c>
      <c r="F14" s="576">
        <f t="shared" ref="F14:I14" ca="1" si="3">SUM(F11:F13)</f>
        <v>280819.33728558721</v>
      </c>
      <c r="G14" s="576">
        <f t="shared" ca="1" si="3"/>
        <v>339261.92745174083</v>
      </c>
      <c r="H14" s="576">
        <f t="shared" ca="1" si="3"/>
        <v>401438.88870825793</v>
      </c>
      <c r="I14" s="576">
        <f t="shared" ca="1" si="3"/>
        <v>455635.06000975776</v>
      </c>
      <c r="J14" s="576">
        <f t="shared" ref="J14" ca="1" si="4">SUM(J11:J13)</f>
        <v>5244083.7110880092</v>
      </c>
    </row>
    <row r="15" spans="1:10" ht="14.25" thickTop="1" thickBot="1" x14ac:dyDescent="0.25">
      <c r="A15" s="49" t="s">
        <v>63</v>
      </c>
      <c r="B15" s="574">
        <f>B10+B14</f>
        <v>4230000</v>
      </c>
      <c r="C15" s="517"/>
      <c r="D15" s="510"/>
      <c r="E15" s="510"/>
      <c r="F15" s="510"/>
      <c r="G15" s="510"/>
      <c r="H15" s="510"/>
      <c r="I15" s="510"/>
      <c r="J15" s="510"/>
    </row>
    <row r="16" spans="1:10" ht="13.5" thickTop="1" x14ac:dyDescent="0.2">
      <c r="A16" s="44"/>
      <c r="B16" s="44"/>
      <c r="C16" s="517"/>
      <c r="D16" s="22" t="s">
        <v>64</v>
      </c>
      <c r="E16" s="58">
        <f ca="1">Proforma!F131</f>
        <v>161001.58636190719</v>
      </c>
      <c r="F16" s="58">
        <f ca="1">Proforma!G131</f>
        <v>280819.33728558733</v>
      </c>
      <c r="G16" s="58">
        <f ca="1">Proforma!H131</f>
        <v>339261.92745174095</v>
      </c>
      <c r="H16" s="58">
        <f ca="1">Proforma!I131</f>
        <v>401438.88870825793</v>
      </c>
      <c r="I16" s="58">
        <f ca="1">Proforma!J131</f>
        <v>455635.06000975776</v>
      </c>
      <c r="J16" s="58">
        <f ca="1">Proforma!K131</f>
        <v>4526062.9892779477</v>
      </c>
    </row>
    <row r="17" spans="1:10" x14ac:dyDescent="0.2">
      <c r="A17" s="510" t="s">
        <v>65</v>
      </c>
      <c r="B17" s="513">
        <f>Proforma!D15</f>
        <v>118</v>
      </c>
      <c r="C17" s="517"/>
      <c r="D17" s="56" t="s">
        <v>66</v>
      </c>
      <c r="E17" s="57">
        <f ca="1">E16/$B$15</f>
        <v>3.8061840747495787E-2</v>
      </c>
      <c r="F17" s="57">
        <f t="shared" ref="F17:I17" ca="1" si="5">F16/$B$15</f>
        <v>6.6387550185718042E-2</v>
      </c>
      <c r="G17" s="57">
        <f t="shared" ca="1" si="5"/>
        <v>8.0203765355021495E-2</v>
      </c>
      <c r="H17" s="57">
        <f t="shared" ca="1" si="5"/>
        <v>9.4902810569328117E-2</v>
      </c>
      <c r="I17" s="57">
        <f t="shared" ca="1" si="5"/>
        <v>0.10771514421034463</v>
      </c>
      <c r="J17" s="57">
        <f t="shared" ref="J17" ca="1" si="6">J16/$B$15</f>
        <v>1.0699912504203186</v>
      </c>
    </row>
    <row r="18" spans="1:10" x14ac:dyDescent="0.2">
      <c r="A18" s="510" t="s">
        <v>67</v>
      </c>
      <c r="B18" s="518">
        <f>B5/B17</f>
        <v>86694.91525423729</v>
      </c>
      <c r="C18" s="517"/>
      <c r="D18" s="510"/>
      <c r="E18" s="510"/>
      <c r="F18" s="510"/>
      <c r="G18" s="510"/>
      <c r="H18" s="510"/>
      <c r="I18" s="510"/>
      <c r="J18" s="510"/>
    </row>
    <row r="19" spans="1:10" x14ac:dyDescent="0.2">
      <c r="A19" s="510"/>
      <c r="B19" s="510"/>
      <c r="C19" s="517"/>
      <c r="D19" s="510"/>
      <c r="E19" s="510"/>
      <c r="F19" s="510"/>
      <c r="G19" s="510"/>
      <c r="H19" s="510"/>
      <c r="I19" s="510"/>
      <c r="J19" s="510"/>
    </row>
    <row r="20" spans="1:10" x14ac:dyDescent="0.2">
      <c r="A20" s="42" t="s">
        <v>68</v>
      </c>
      <c r="B20" s="42"/>
      <c r="C20" s="517"/>
      <c r="D20" s="510"/>
      <c r="E20" s="510"/>
      <c r="F20" s="510"/>
      <c r="G20" s="510"/>
      <c r="H20" s="510"/>
      <c r="I20" s="510"/>
      <c r="J20" s="510"/>
    </row>
    <row r="21" spans="1:10" x14ac:dyDescent="0.2">
      <c r="A21" s="44" t="s">
        <v>69</v>
      </c>
      <c r="B21" s="50">
        <f ca="1">Proforma!D135</f>
        <v>0.14666612540249613</v>
      </c>
      <c r="C21" s="517"/>
      <c r="D21" s="510"/>
      <c r="E21" s="510"/>
      <c r="F21" s="510"/>
      <c r="G21" s="510"/>
      <c r="H21" s="510"/>
      <c r="I21" s="510"/>
      <c r="J21" s="510"/>
    </row>
    <row r="22" spans="1:10" x14ac:dyDescent="0.2">
      <c r="A22" s="44" t="s">
        <v>70</v>
      </c>
      <c r="B22" s="51">
        <f ca="1">SUM(Proforma!F131:J131)/-Proforma!E131</f>
        <v>0.38727111106790812</v>
      </c>
      <c r="C22" s="517"/>
      <c r="D22" s="510"/>
      <c r="E22" s="510"/>
      <c r="F22" s="510"/>
      <c r="G22" s="510"/>
      <c r="H22" s="510"/>
      <c r="I22" s="510"/>
      <c r="J22" s="510"/>
    </row>
    <row r="23" spans="1:10" x14ac:dyDescent="0.2">
      <c r="A23" s="510" t="s">
        <v>71</v>
      </c>
      <c r="B23" s="512">
        <f ca="1">SUM(E16:I16)</f>
        <v>1638156.7998172513</v>
      </c>
      <c r="C23" s="517"/>
      <c r="D23" s="510"/>
      <c r="E23" s="510"/>
      <c r="F23" s="510"/>
      <c r="G23" s="510"/>
      <c r="H23" s="510"/>
      <c r="I23" s="510"/>
      <c r="J23" s="510"/>
    </row>
    <row r="24" spans="1:10" x14ac:dyDescent="0.2">
      <c r="A24" s="510"/>
      <c r="B24" s="510"/>
      <c r="C24" s="511"/>
      <c r="D24" s="510"/>
      <c r="E24" s="510"/>
      <c r="F24" s="510"/>
      <c r="G24" s="510"/>
      <c r="H24" s="510"/>
      <c r="I24" s="510"/>
      <c r="J24" s="510"/>
    </row>
    <row r="25" spans="1:10" x14ac:dyDescent="0.2">
      <c r="A25" s="510"/>
      <c r="B25" s="510"/>
      <c r="C25" s="517"/>
      <c r="D25" s="510"/>
      <c r="E25" s="510"/>
      <c r="F25" s="510"/>
      <c r="G25" s="510"/>
      <c r="H25" s="510"/>
      <c r="I25" s="510"/>
      <c r="J25" s="510"/>
    </row>
    <row r="26" spans="1:10" x14ac:dyDescent="0.2">
      <c r="A26" s="510"/>
      <c r="B26" s="510"/>
      <c r="C26" s="517"/>
      <c r="D26" s="510"/>
      <c r="E26" s="510"/>
      <c r="F26" s="510"/>
      <c r="G26" s="510"/>
      <c r="H26" s="510"/>
      <c r="I26" s="510"/>
      <c r="J26" s="510"/>
    </row>
    <row r="27" spans="1:10" x14ac:dyDescent="0.2">
      <c r="A27" s="510"/>
      <c r="B27" s="510"/>
      <c r="C27" s="517"/>
      <c r="D27" s="510"/>
      <c r="E27" s="510"/>
      <c r="F27" s="510"/>
      <c r="G27" s="510"/>
      <c r="H27" s="510"/>
      <c r="I27" s="510"/>
      <c r="J27" s="510"/>
    </row>
  </sheetData>
  <sheetProtection algorithmName="SHA-512" hashValue="6FznsVOr3+OwiTCkhUuu6aUwFrhvH9qjb76EhhRBfpnGrLSCuBnoDqDWRh1ufEdkB81fU0CErfB1as3v70yBQw==" saltValue="CTVyhfaEGmHVslDnGqD85Q==" spinCount="100000" sheet="1" objects="1" scenarios="1"/>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2060"/>
  </sheetPr>
  <dimension ref="A1"/>
  <sheetViews>
    <sheetView zoomScale="140" zoomScaleNormal="140" workbookViewId="0"/>
  </sheetViews>
  <sheetFormatPr defaultColWidth="8.85546875" defaultRowHeight="12.75" x14ac:dyDescent="0.2"/>
  <cols>
    <col min="1" max="16384" width="8.85546875" style="75"/>
  </cols>
  <sheetData>
    <row r="1" spans="1:1" s="77" customFormat="1" ht="23.1" customHeight="1" x14ac:dyDescent="0.2">
      <c r="A1" s="76" t="str">
        <f>Proforma!C1</f>
        <v>Shady Glen - 450 Gladycon Rd, Colfax CA 95713</v>
      </c>
    </row>
  </sheetData>
  <sheetProtection algorithmName="SHA-512" hashValue="DOtMJycRXW2KObYjz52mCSxLG5Tdv548hOu+Elpd3+Gg1L4Osmi1LusbvzCFuRazz3dugCEiHs/L+832GgWhjQ==" saltValue="AJEWlCJ3424thkJ1RdVXrw=="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2060"/>
    <pageSetUpPr fitToPage="1"/>
  </sheetPr>
  <dimension ref="A1:BZ373"/>
  <sheetViews>
    <sheetView topLeftCell="C1" zoomScaleNormal="100" workbookViewId="0">
      <selection activeCell="C1" sqref="C1"/>
    </sheetView>
  </sheetViews>
  <sheetFormatPr defaultColWidth="12.28515625" defaultRowHeight="12.75" x14ac:dyDescent="0.2"/>
  <cols>
    <col min="1" max="1" width="15.85546875" style="10" hidden="1" customWidth="1"/>
    <col min="2" max="2" width="13" style="453" hidden="1" customWidth="1"/>
    <col min="3" max="3" width="58" style="10" bestFit="1" customWidth="1"/>
    <col min="4" max="4" width="14.42578125" style="9" customWidth="1"/>
    <col min="5" max="5" width="16.42578125" style="10" bestFit="1" customWidth="1"/>
    <col min="6" max="6" width="12.28515625" style="10" customWidth="1"/>
    <col min="7" max="7" width="15.28515625" style="10" customWidth="1"/>
    <col min="8" max="8" width="12.28515625" style="10" customWidth="1"/>
    <col min="9" max="9" width="14" style="10" customWidth="1"/>
    <col min="10" max="10" width="14.85546875" style="10" customWidth="1"/>
    <col min="11" max="12" width="14.42578125" style="10" customWidth="1"/>
    <col min="13" max="13" width="13.85546875" style="10" customWidth="1"/>
    <col min="14" max="14" width="15.140625" style="10" customWidth="1"/>
    <col min="15" max="17" width="13.28515625" style="10" customWidth="1"/>
    <col min="18" max="18" width="12.28515625" style="10" customWidth="1"/>
    <col min="19" max="23" width="12.85546875" style="10" customWidth="1"/>
    <col min="24" max="24" width="14" style="10" customWidth="1"/>
    <col min="25" max="35" width="12.85546875" style="10" customWidth="1"/>
    <col min="36" max="36" width="16.140625" style="10" bestFit="1" customWidth="1"/>
    <col min="37" max="16384" width="12.28515625" style="10"/>
  </cols>
  <sheetData>
    <row r="1" spans="3:25" ht="15" x14ac:dyDescent="0.25">
      <c r="C1" s="11" t="s">
        <v>72</v>
      </c>
      <c r="D1" s="854" t="str">
        <f>HYPERLINK("https://www.google.com/maps/place/450+Gladycon+Rd,+Colfax,+CA+95713/@39.1173596,-120.9555274,16.5z/data=!4m6!3m5!1s0x809b0b31e4817f59:0x40b4964c9fdf65ca!8m2!3d39.1178997!4d-120.9535933!16s%2Fg%2F11ffw6n4pc?entry=ttu"&amp;T1,"View on Google Map")</f>
        <v>View on Google Map</v>
      </c>
      <c r="E1" s="854"/>
      <c r="F1" s="500"/>
      <c r="G1" s="500"/>
      <c r="H1" s="881"/>
      <c r="I1" s="882"/>
      <c r="J1" s="881"/>
      <c r="K1" s="883"/>
      <c r="L1" s="500"/>
      <c r="M1" s="500"/>
      <c r="N1" s="500"/>
      <c r="O1" s="500"/>
      <c r="P1" s="500"/>
      <c r="Q1" s="500"/>
      <c r="R1" s="500"/>
      <c r="S1" s="500"/>
      <c r="T1" s="334" t="str">
        <f>RIGHT(C1,LEN(C1)-SEARCH("-",C1))</f>
        <v xml:space="preserve"> 450 Gladycon Rd, Colfax CA 95713</v>
      </c>
      <c r="U1" s="334" t="str">
        <f>LEFT(C1,FIND("-",C1)-1)</f>
        <v xml:space="preserve">Shady Glen </v>
      </c>
      <c r="V1" s="335" t="s">
        <v>73</v>
      </c>
      <c r="W1" s="334"/>
      <c r="X1" s="334"/>
      <c r="Y1" s="500"/>
    </row>
    <row r="2" spans="3:25" x14ac:dyDescent="0.2">
      <c r="C2" s="500"/>
      <c r="D2" s="17"/>
      <c r="E2" s="500"/>
      <c r="F2" s="500"/>
      <c r="G2" s="500"/>
      <c r="H2" s="500"/>
      <c r="I2" s="500"/>
      <c r="J2" s="500"/>
      <c r="K2" s="500"/>
      <c r="L2" s="500"/>
      <c r="M2" s="500"/>
      <c r="N2" s="500"/>
      <c r="O2" s="500"/>
      <c r="P2" s="500"/>
      <c r="Q2" s="500"/>
      <c r="R2" s="500"/>
      <c r="S2" s="500"/>
      <c r="T2" s="334"/>
      <c r="U2" s="334"/>
      <c r="V2" s="334"/>
      <c r="W2" s="334"/>
      <c r="X2" s="334"/>
      <c r="Y2" s="500"/>
    </row>
    <row r="3" spans="3:25" x14ac:dyDescent="0.2">
      <c r="C3" s="6" t="s">
        <v>74</v>
      </c>
      <c r="D3" s="6"/>
      <c r="E3" s="30" t="s">
        <v>75</v>
      </c>
      <c r="F3" s="500"/>
      <c r="G3" s="500"/>
      <c r="H3" s="6" t="s">
        <v>76</v>
      </c>
      <c r="I3" s="6"/>
      <c r="J3" s="6"/>
      <c r="K3" s="6"/>
      <c r="L3" s="6"/>
      <c r="M3" s="6"/>
      <c r="N3" s="6"/>
      <c r="O3" s="212"/>
      <c r="P3" s="11"/>
      <c r="Q3" s="500"/>
      <c r="R3" s="500"/>
      <c r="S3" s="500"/>
      <c r="T3" s="334"/>
      <c r="U3" s="334"/>
      <c r="V3" s="334"/>
      <c r="W3" s="334"/>
      <c r="X3" s="334"/>
      <c r="Y3" s="500"/>
    </row>
    <row r="4" spans="3:25" x14ac:dyDescent="0.2">
      <c r="C4" s="514" t="s">
        <v>43</v>
      </c>
      <c r="D4" s="144">
        <v>10230000</v>
      </c>
      <c r="E4" s="519">
        <f>D4/$D$15</f>
        <v>86694.91525423729</v>
      </c>
      <c r="F4" s="500"/>
      <c r="G4" s="500"/>
      <c r="H4" s="500" t="s">
        <v>77</v>
      </c>
      <c r="I4" s="520"/>
      <c r="J4" s="143">
        <v>0.02</v>
      </c>
      <c r="K4" s="500"/>
      <c r="L4" s="520" t="s">
        <v>78</v>
      </c>
      <c r="M4" s="500"/>
      <c r="N4" s="464">
        <v>2024</v>
      </c>
      <c r="O4" s="212"/>
      <c r="P4" s="500"/>
      <c r="Q4" s="500"/>
      <c r="R4" s="500"/>
      <c r="S4" s="500"/>
      <c r="T4" s="334">
        <v>0</v>
      </c>
      <c r="U4" s="336">
        <v>2017</v>
      </c>
      <c r="V4" s="334">
        <v>0</v>
      </c>
      <c r="W4" s="334">
        <v>1</v>
      </c>
      <c r="X4" s="334">
        <v>2</v>
      </c>
      <c r="Y4" s="500">
        <v>4</v>
      </c>
    </row>
    <row r="5" spans="3:25" x14ac:dyDescent="0.2">
      <c r="C5" s="503" t="s">
        <v>79</v>
      </c>
      <c r="D5" s="18">
        <f>+Notes!C30</f>
        <v>630000</v>
      </c>
      <c r="E5" s="521">
        <f t="shared" ref="E5:E6" si="0">D5/$D$15</f>
        <v>5338.9830508474579</v>
      </c>
      <c r="F5" s="539"/>
      <c r="G5" s="500"/>
      <c r="H5" s="500" t="s">
        <v>80</v>
      </c>
      <c r="I5" s="520"/>
      <c r="J5" s="143">
        <v>0.04</v>
      </c>
      <c r="K5" s="500"/>
      <c r="L5" s="500" t="s">
        <v>81</v>
      </c>
      <c r="M5" s="500"/>
      <c r="N5" s="330" t="s">
        <v>82</v>
      </c>
      <c r="O5" s="500"/>
      <c r="P5" s="500"/>
      <c r="Q5" s="500"/>
      <c r="R5" s="500"/>
      <c r="S5" s="500"/>
      <c r="T5" s="334">
        <v>1</v>
      </c>
      <c r="U5" s="336" t="s">
        <v>83</v>
      </c>
      <c r="V5" s="334"/>
      <c r="W5" s="334"/>
      <c r="X5" s="334"/>
      <c r="Y5" s="500"/>
    </row>
    <row r="6" spans="3:25" ht="13.5" thickBot="1" x14ac:dyDescent="0.25">
      <c r="C6" s="572" t="s">
        <v>84</v>
      </c>
      <c r="D6" s="577">
        <f>SUM(D4:D5)</f>
        <v>10860000</v>
      </c>
      <c r="E6" s="578">
        <f t="shared" si="0"/>
        <v>92033.898305084746</v>
      </c>
      <c r="F6" s="500"/>
      <c r="G6" s="522"/>
      <c r="H6" s="500" t="s">
        <v>85</v>
      </c>
      <c r="I6" s="520"/>
      <c r="J6" s="145">
        <v>2000</v>
      </c>
      <c r="K6" s="500"/>
      <c r="L6" s="500" t="s">
        <v>86</v>
      </c>
      <c r="M6" s="501"/>
      <c r="N6" s="502">
        <v>0</v>
      </c>
      <c r="O6" s="500"/>
      <c r="P6" s="500"/>
      <c r="Q6" s="500"/>
      <c r="R6" s="500"/>
      <c r="S6" s="500"/>
      <c r="T6" s="334">
        <v>2</v>
      </c>
      <c r="U6" s="336" t="s">
        <v>87</v>
      </c>
      <c r="V6" s="334"/>
      <c r="W6" s="334"/>
      <c r="X6" s="334"/>
      <c r="Y6" s="500"/>
    </row>
    <row r="7" spans="3:25" ht="13.5" thickTop="1" x14ac:dyDescent="0.2">
      <c r="C7" s="510" t="s">
        <v>88</v>
      </c>
      <c r="D7" s="27">
        <f ca="1">+F86/D4</f>
        <v>6.408525769149559E-2</v>
      </c>
      <c r="E7" s="19"/>
      <c r="F7" s="500"/>
      <c r="G7" s="500"/>
      <c r="H7" s="500" t="s">
        <v>89</v>
      </c>
      <c r="I7" s="500"/>
      <c r="J7" s="224">
        <v>5</v>
      </c>
      <c r="K7" s="500"/>
      <c r="L7" s="500" t="s">
        <v>90</v>
      </c>
      <c r="M7" s="500"/>
      <c r="N7" s="502">
        <v>0</v>
      </c>
      <c r="O7" s="500"/>
      <c r="P7" s="500"/>
      <c r="Q7" s="500"/>
      <c r="R7" s="500"/>
      <c r="S7" s="500"/>
      <c r="T7" s="334">
        <v>4</v>
      </c>
      <c r="U7" s="336" t="s">
        <v>91</v>
      </c>
      <c r="V7" s="334"/>
      <c r="W7" s="334"/>
      <c r="X7" s="334"/>
      <c r="Y7" s="500"/>
    </row>
    <row r="8" spans="3:25" x14ac:dyDescent="0.2">
      <c r="C8" s="500" t="s">
        <v>92</v>
      </c>
      <c r="D8" s="27">
        <f ca="1">F86/(D4+D5)</f>
        <v>6.0367604620994463E-2</v>
      </c>
      <c r="E8" s="500"/>
      <c r="F8" s="500"/>
      <c r="G8" s="500"/>
      <c r="H8" s="500" t="s">
        <v>93</v>
      </c>
      <c r="I8" s="500"/>
      <c r="J8" s="145">
        <v>250</v>
      </c>
      <c r="K8" s="523" t="s">
        <v>94</v>
      </c>
      <c r="L8" s="500" t="s">
        <v>95</v>
      </c>
      <c r="M8" s="500"/>
      <c r="N8" s="502">
        <v>0</v>
      </c>
      <c r="O8" s="500"/>
      <c r="P8" s="500"/>
      <c r="Q8" s="500"/>
      <c r="R8" s="500"/>
      <c r="S8" s="500"/>
      <c r="T8" s="500"/>
      <c r="U8" s="500"/>
      <c r="V8" s="500"/>
      <c r="W8" s="500"/>
      <c r="X8" s="500"/>
      <c r="Y8" s="500"/>
    </row>
    <row r="9" spans="3:25" x14ac:dyDescent="0.2">
      <c r="C9" s="500" t="s">
        <v>96</v>
      </c>
      <c r="D9" s="27">
        <f>E103</f>
        <v>5.5E-2</v>
      </c>
      <c r="E9" s="500"/>
      <c r="F9" s="500"/>
      <c r="G9" s="500"/>
      <c r="H9" s="500" t="s">
        <v>97</v>
      </c>
      <c r="I9" s="500"/>
      <c r="J9" s="145">
        <v>70</v>
      </c>
      <c r="K9" s="500"/>
      <c r="L9" s="500" t="s">
        <v>98</v>
      </c>
      <c r="M9" s="500"/>
      <c r="N9" s="502">
        <v>0</v>
      </c>
      <c r="O9" s="500"/>
      <c r="P9" s="500"/>
      <c r="Q9" s="500"/>
      <c r="R9" s="500"/>
      <c r="S9" s="500"/>
      <c r="T9" s="500"/>
      <c r="U9" s="500"/>
      <c r="V9" s="500"/>
      <c r="W9" s="500"/>
      <c r="X9" s="500"/>
      <c r="Y9" s="500"/>
    </row>
    <row r="10" spans="3:25" x14ac:dyDescent="0.2">
      <c r="C10" s="500" t="s">
        <v>99</v>
      </c>
      <c r="D10" s="496">
        <f>+E4/F29/100</f>
        <v>1.1186440677966103</v>
      </c>
      <c r="E10" s="500"/>
      <c r="F10" s="500"/>
      <c r="G10" s="500"/>
      <c r="H10" s="500"/>
      <c r="I10" s="500"/>
      <c r="J10" s="500"/>
      <c r="K10" s="500"/>
      <c r="L10" s="500"/>
      <c r="M10" s="500"/>
      <c r="N10" s="500"/>
      <c r="O10" s="500"/>
      <c r="P10" s="500"/>
      <c r="Q10" s="500"/>
      <c r="R10" s="500"/>
      <c r="S10" s="500"/>
      <c r="T10" s="500"/>
      <c r="U10" s="500"/>
      <c r="V10" s="500"/>
      <c r="W10" s="500"/>
      <c r="X10" s="500"/>
      <c r="Y10" s="500"/>
    </row>
    <row r="11" spans="3:25" x14ac:dyDescent="0.2">
      <c r="C11" s="61" t="s">
        <v>65</v>
      </c>
      <c r="D11" s="62" t="s">
        <v>48</v>
      </c>
      <c r="E11" s="62" t="s">
        <v>100</v>
      </c>
      <c r="F11" s="62" t="s">
        <v>101</v>
      </c>
      <c r="G11" s="62" t="s">
        <v>102</v>
      </c>
      <c r="H11" s="500"/>
      <c r="I11" s="62" t="s">
        <v>103</v>
      </c>
      <c r="J11" s="62" t="s">
        <v>104</v>
      </c>
      <c r="K11" s="62" t="s">
        <v>105</v>
      </c>
      <c r="L11" s="62" t="s">
        <v>106</v>
      </c>
      <c r="M11" s="500"/>
      <c r="N11" s="500"/>
      <c r="O11" s="500"/>
      <c r="P11" s="500"/>
      <c r="Q11" s="500"/>
      <c r="R11" s="500"/>
      <c r="S11" s="500"/>
      <c r="T11" s="500"/>
      <c r="U11" s="500"/>
      <c r="V11" s="500"/>
      <c r="W11" s="500"/>
      <c r="X11" s="500"/>
      <c r="Y11" s="500"/>
    </row>
    <row r="12" spans="3:25" ht="15" x14ac:dyDescent="0.25">
      <c r="C12" s="514" t="s">
        <v>107</v>
      </c>
      <c r="D12" s="835">
        <v>83</v>
      </c>
      <c r="E12" s="330">
        <v>80</v>
      </c>
      <c r="F12" s="524">
        <f>D12-E12</f>
        <v>3</v>
      </c>
      <c r="G12" s="525">
        <f>F12/D12</f>
        <v>3.614457831325301E-2</v>
      </c>
      <c r="H12" s="500"/>
      <c r="I12" s="11" t="s">
        <v>665</v>
      </c>
      <c r="J12" s="500" t="s">
        <v>108</v>
      </c>
      <c r="K12" s="500"/>
      <c r="L12" s="500"/>
      <c r="M12" s="500"/>
      <c r="N12" s="500"/>
      <c r="O12" s="500"/>
      <c r="P12" s="500"/>
      <c r="Q12" s="500"/>
      <c r="R12" s="500"/>
      <c r="S12" s="500"/>
      <c r="T12" s="500"/>
      <c r="U12" s="500"/>
      <c r="V12" s="500"/>
      <c r="W12" s="500"/>
      <c r="X12" s="500"/>
      <c r="Y12" s="500"/>
    </row>
    <row r="13" spans="3:25" x14ac:dyDescent="0.2">
      <c r="C13" s="514" t="s">
        <v>109</v>
      </c>
      <c r="D13" s="330">
        <v>34</v>
      </c>
      <c r="E13" s="330">
        <v>30</v>
      </c>
      <c r="F13" s="524">
        <f>D13-E13</f>
        <v>4</v>
      </c>
      <c r="G13" s="525">
        <f>IF(ISERROR((F13/D13)),"-",(F13/D13))</f>
        <v>0.11764705882352941</v>
      </c>
      <c r="H13" s="500"/>
      <c r="I13" s="500" t="s">
        <v>1013</v>
      </c>
      <c r="J13" s="500"/>
      <c r="K13" s="500"/>
      <c r="L13" s="500"/>
      <c r="M13" s="500"/>
      <c r="N13" s="500"/>
      <c r="O13" s="500"/>
      <c r="P13" s="500"/>
      <c r="Q13" s="500"/>
      <c r="R13" s="500"/>
      <c r="S13" s="500"/>
      <c r="T13" s="500"/>
      <c r="U13" s="500"/>
      <c r="V13" s="500"/>
      <c r="W13" s="500"/>
      <c r="X13" s="500"/>
      <c r="Y13" s="500"/>
    </row>
    <row r="14" spans="3:25" x14ac:dyDescent="0.2">
      <c r="C14" s="514" t="s">
        <v>110</v>
      </c>
      <c r="D14" s="330">
        <v>1</v>
      </c>
      <c r="E14" s="330">
        <v>1</v>
      </c>
      <c r="F14" s="524">
        <f>D14-E14</f>
        <v>0</v>
      </c>
      <c r="G14" s="525">
        <f>IF(ISERROR((F14/D14)),"-",(F14/D14))</f>
        <v>0</v>
      </c>
      <c r="H14" s="500"/>
      <c r="I14" s="500" t="s">
        <v>1012</v>
      </c>
      <c r="J14" s="500"/>
      <c r="K14" s="500"/>
      <c r="L14" s="500"/>
      <c r="M14" s="500"/>
      <c r="N14" s="500"/>
      <c r="O14" s="500"/>
      <c r="P14" s="500"/>
      <c r="Q14" s="500"/>
      <c r="R14" s="500"/>
      <c r="S14" s="500"/>
      <c r="T14" s="500"/>
      <c r="U14" s="500"/>
      <c r="V14" s="500"/>
      <c r="W14" s="500"/>
      <c r="X14" s="500"/>
      <c r="Y14" s="500"/>
    </row>
    <row r="15" spans="3:25" x14ac:dyDescent="0.2">
      <c r="C15" s="61" t="s">
        <v>48</v>
      </c>
      <c r="D15" s="62">
        <f>SUM(D12:D14)</f>
        <v>118</v>
      </c>
      <c r="E15" s="62">
        <f>SUM(E12:E14)</f>
        <v>111</v>
      </c>
      <c r="F15" s="526">
        <f t="shared" ref="F15" si="1">D15-E15</f>
        <v>7</v>
      </c>
      <c r="G15" s="68">
        <f>F15/D15</f>
        <v>5.9322033898305086E-2</v>
      </c>
      <c r="H15" s="500"/>
      <c r="I15" s="500"/>
      <c r="J15" s="500"/>
      <c r="K15" s="500"/>
      <c r="L15" s="500"/>
      <c r="M15" s="500"/>
      <c r="N15" s="500"/>
      <c r="O15" s="500"/>
      <c r="P15" s="500"/>
      <c r="Q15" s="500"/>
      <c r="R15" s="500"/>
      <c r="S15" s="500"/>
      <c r="T15" s="500"/>
      <c r="U15" s="500"/>
      <c r="V15" s="500"/>
      <c r="W15" s="500"/>
      <c r="X15" s="500"/>
      <c r="Y15" s="500"/>
    </row>
    <row r="16" spans="3:25" x14ac:dyDescent="0.2">
      <c r="C16" s="514"/>
      <c r="D16" s="63"/>
      <c r="E16" s="63"/>
      <c r="F16" s="524"/>
      <c r="G16" s="500"/>
      <c r="H16" s="500"/>
      <c r="I16" s="500"/>
      <c r="J16" s="500"/>
      <c r="K16" s="500"/>
      <c r="L16" s="500"/>
      <c r="M16" s="500"/>
      <c r="N16" s="500"/>
      <c r="O16" s="500"/>
      <c r="P16" s="500"/>
      <c r="Q16" s="500"/>
      <c r="R16" s="500"/>
      <c r="S16" s="500"/>
      <c r="T16" s="500"/>
      <c r="U16" s="500"/>
      <c r="V16" s="500"/>
      <c r="W16" s="500"/>
      <c r="X16" s="500"/>
      <c r="Y16" s="500"/>
    </row>
    <row r="17" spans="1:36" ht="13.5" thickBot="1" x14ac:dyDescent="0.25">
      <c r="A17" s="500"/>
      <c r="C17" s="514" t="s">
        <v>111</v>
      </c>
      <c r="D17" s="330">
        <v>0</v>
      </c>
      <c r="E17" s="330">
        <v>0</v>
      </c>
      <c r="F17" s="524">
        <f>D17-E17</f>
        <v>0</v>
      </c>
      <c r="G17" s="579">
        <v>0</v>
      </c>
      <c r="H17" s="580" t="s">
        <v>112</v>
      </c>
      <c r="I17" s="581"/>
      <c r="J17" s="500"/>
      <c r="K17" s="500"/>
      <c r="L17" s="500"/>
      <c r="M17" s="851" t="s">
        <v>113</v>
      </c>
      <c r="N17" s="851"/>
      <c r="O17" s="851"/>
      <c r="P17" s="851"/>
      <c r="Q17" s="500"/>
      <c r="R17" s="851" t="s">
        <v>114</v>
      </c>
      <c r="S17" s="851"/>
      <c r="T17" s="851"/>
      <c r="U17" s="851"/>
      <c r="V17" s="500"/>
      <c r="W17" s="500"/>
      <c r="X17" s="500"/>
      <c r="Y17" s="500"/>
      <c r="Z17" s="500"/>
      <c r="AA17" s="500"/>
      <c r="AB17" s="500"/>
      <c r="AC17" s="500"/>
      <c r="AD17" s="500"/>
      <c r="AE17" s="500"/>
      <c r="AF17" s="500"/>
      <c r="AG17" s="500"/>
      <c r="AH17" s="500"/>
      <c r="AI17" s="500"/>
      <c r="AJ17" s="500"/>
    </row>
    <row r="18" spans="1:36" ht="13.5" thickBot="1" x14ac:dyDescent="0.25">
      <c r="A18" s="500"/>
      <c r="C18" s="514"/>
      <c r="D18" s="63"/>
      <c r="E18" s="63"/>
      <c r="F18" s="63"/>
      <c r="G18" s="500"/>
      <c r="H18" s="500"/>
      <c r="I18" s="500"/>
      <c r="J18" s="500"/>
      <c r="K18" s="500"/>
      <c r="L18" s="500"/>
      <c r="M18" s="663" t="s">
        <v>115</v>
      </c>
      <c r="N18" s="500"/>
      <c r="O18" s="148" t="s">
        <v>116</v>
      </c>
      <c r="P18" s="148" t="s">
        <v>117</v>
      </c>
      <c r="Q18" s="500"/>
      <c r="R18" s="500" t="s">
        <v>118</v>
      </c>
      <c r="S18" s="307">
        <v>35000</v>
      </c>
      <c r="T18" s="500" t="s">
        <v>119</v>
      </c>
      <c r="U18" s="666">
        <v>15</v>
      </c>
      <c r="V18" s="500"/>
      <c r="W18" s="500"/>
      <c r="X18" s="500"/>
      <c r="Y18" s="500"/>
      <c r="Z18" s="500"/>
      <c r="AA18" s="500"/>
      <c r="AB18" s="500"/>
      <c r="AC18" s="500"/>
      <c r="AD18" s="500"/>
      <c r="AE18" s="500"/>
      <c r="AF18" s="500"/>
      <c r="AG18" s="500"/>
      <c r="AH18" s="500"/>
      <c r="AI18" s="500"/>
      <c r="AJ18" s="500"/>
    </row>
    <row r="19" spans="1:36" ht="13.5" thickBot="1" x14ac:dyDescent="0.25">
      <c r="A19" s="500"/>
      <c r="C19" s="462" t="s">
        <v>120</v>
      </c>
      <c r="D19" s="465"/>
      <c r="E19" s="466" t="s">
        <v>121</v>
      </c>
      <c r="F19" s="466" t="s">
        <v>122</v>
      </c>
      <c r="G19" s="467" t="s">
        <v>123</v>
      </c>
      <c r="H19" s="500"/>
      <c r="I19" s="40" t="s">
        <v>124</v>
      </c>
      <c r="J19" s="40"/>
      <c r="K19" s="40"/>
      <c r="L19" s="500"/>
      <c r="M19" s="665">
        <v>0</v>
      </c>
      <c r="N19" s="524" t="s">
        <v>125</v>
      </c>
      <c r="O19" s="661">
        <f>M19*E17*12</f>
        <v>0</v>
      </c>
      <c r="P19" s="661">
        <f>M19</f>
        <v>0</v>
      </c>
      <c r="Q19" s="500"/>
      <c r="R19" s="500" t="s">
        <v>126</v>
      </c>
      <c r="S19" s="667">
        <v>1</v>
      </c>
      <c r="T19" s="500" t="s">
        <v>127</v>
      </c>
      <c r="U19" s="666">
        <f>U18*12</f>
        <v>180</v>
      </c>
      <c r="V19" s="500"/>
      <c r="W19" s="500"/>
      <c r="X19" s="500"/>
      <c r="Y19" s="500"/>
      <c r="Z19" s="500"/>
      <c r="AA19" s="500"/>
      <c r="AB19" s="500"/>
      <c r="AC19" s="500"/>
      <c r="AD19" s="500"/>
      <c r="AE19" s="500"/>
      <c r="AF19" s="500"/>
      <c r="AG19" s="500"/>
      <c r="AH19" s="500"/>
      <c r="AI19" s="500"/>
      <c r="AJ19" s="500"/>
    </row>
    <row r="20" spans="1:36" ht="13.5" thickBot="1" x14ac:dyDescent="0.25">
      <c r="A20" s="500"/>
      <c r="C20" s="527" t="str">
        <f ca="1">"30 Year Lev IRR -   "&amp;TEXT(D118,"0.0%")</f>
        <v>30 Year Lev IRR -   18.0%</v>
      </c>
      <c r="D20" s="468" t="s">
        <v>128</v>
      </c>
      <c r="E20" s="469">
        <f t="shared" ref="E20:G25" ca="1" si="2">D170</f>
        <v>0.16884323827011061</v>
      </c>
      <c r="F20" s="469">
        <f t="shared" ca="1" si="2"/>
        <v>0.15378764671296441</v>
      </c>
      <c r="G20" s="470">
        <f t="shared" ca="1" si="2"/>
        <v>0.13303838887720731</v>
      </c>
      <c r="H20" s="500"/>
      <c r="I20" s="520" t="s">
        <v>129</v>
      </c>
      <c r="J20" s="528"/>
      <c r="K20" s="143">
        <v>0.5</v>
      </c>
      <c r="L20" s="500"/>
      <c r="M20" s="500"/>
      <c r="N20" s="524" t="s">
        <v>130</v>
      </c>
      <c r="O20" s="522">
        <f>P20*E17*12</f>
        <v>0</v>
      </c>
      <c r="P20" s="307">
        <v>75</v>
      </c>
      <c r="Q20" s="500"/>
      <c r="R20" s="500" t="s">
        <v>131</v>
      </c>
      <c r="S20" s="307">
        <f>S18*S19</f>
        <v>35000</v>
      </c>
      <c r="T20" s="524" t="s">
        <v>132</v>
      </c>
      <c r="U20" s="340">
        <v>8.5000000000000006E-2</v>
      </c>
      <c r="V20" s="500"/>
      <c r="W20" s="500"/>
      <c r="X20" s="500"/>
      <c r="Y20" s="500"/>
      <c r="Z20" s="500"/>
      <c r="AA20" s="500"/>
      <c r="AB20" s="500"/>
      <c r="AC20" s="500"/>
      <c r="AD20" s="500"/>
      <c r="AE20" s="500"/>
      <c r="AF20" s="500"/>
      <c r="AG20" s="500"/>
      <c r="AH20" s="500"/>
      <c r="AI20" s="500"/>
      <c r="AJ20" s="500"/>
    </row>
    <row r="21" spans="1:36" ht="13.5" thickBot="1" x14ac:dyDescent="0.25">
      <c r="A21" s="500"/>
      <c r="C21" s="527" t="str">
        <f ca="1">"30 Year Investor IRR -   "&amp;TEXT(D135,"0.0%")</f>
        <v>30 Year Investor IRR -   14.7%</v>
      </c>
      <c r="D21" s="468" t="s">
        <v>133</v>
      </c>
      <c r="E21" s="469">
        <f t="shared" ca="1" si="2"/>
        <v>0.29981500190501942</v>
      </c>
      <c r="F21" s="469">
        <f t="shared" ca="1" si="2"/>
        <v>0.25145303651958573</v>
      </c>
      <c r="G21" s="470">
        <f t="shared" ca="1" si="2"/>
        <v>0.21529546460852544</v>
      </c>
      <c r="H21" s="538"/>
      <c r="I21" s="520" t="s">
        <v>134</v>
      </c>
      <c r="J21" s="528"/>
      <c r="K21" s="529">
        <f>1-K20</f>
        <v>0.5</v>
      </c>
      <c r="L21" s="530"/>
      <c r="M21" s="662" t="s">
        <v>135</v>
      </c>
      <c r="N21" s="524" t="s">
        <v>136</v>
      </c>
      <c r="O21" s="522">
        <f>P21*E17*12</f>
        <v>0</v>
      </c>
      <c r="P21" s="307">
        <v>50</v>
      </c>
      <c r="Q21" s="500"/>
      <c r="R21" s="500"/>
      <c r="S21" s="500"/>
      <c r="T21" s="500"/>
      <c r="U21" s="500"/>
      <c r="V21" s="500"/>
      <c r="W21" s="500"/>
      <c r="X21" s="500"/>
      <c r="Y21" s="500"/>
      <c r="Z21" s="500"/>
      <c r="AA21" s="500"/>
      <c r="AB21" s="500"/>
      <c r="AC21" s="500"/>
      <c r="AD21" s="500"/>
      <c r="AE21" s="500"/>
      <c r="AF21" s="500"/>
      <c r="AG21" s="500"/>
      <c r="AH21" s="500"/>
      <c r="AI21" s="500"/>
      <c r="AJ21" s="500"/>
    </row>
    <row r="22" spans="1:36" ht="13.5" thickBot="1" x14ac:dyDescent="0.25">
      <c r="A22" s="500"/>
      <c r="C22" s="527"/>
      <c r="D22" s="468" t="s">
        <v>137</v>
      </c>
      <c r="E22" s="469">
        <f t="shared" ca="1" si="2"/>
        <v>0.18839713580659345</v>
      </c>
      <c r="F22" s="469">
        <f t="shared" ca="1" si="2"/>
        <v>0.1687627398026561</v>
      </c>
      <c r="G22" s="470">
        <f t="shared" ca="1" si="2"/>
        <v>0.1600677684087024</v>
      </c>
      <c r="H22" s="500"/>
      <c r="I22" s="520" t="s">
        <v>138</v>
      </c>
      <c r="J22" s="528"/>
      <c r="K22" s="143">
        <v>0.05</v>
      </c>
      <c r="L22" s="500"/>
      <c r="M22" s="664" t="e">
        <f>SUM(O20:O21)/O19</f>
        <v>#DIV/0!</v>
      </c>
      <c r="N22" s="524" t="s">
        <v>139</v>
      </c>
      <c r="O22" s="531">
        <f>P22*E17*12</f>
        <v>0</v>
      </c>
      <c r="P22" s="307">
        <f>ROUND(T22,0)</f>
        <v>345</v>
      </c>
      <c r="Q22" s="500"/>
      <c r="R22" s="850" t="s">
        <v>140</v>
      </c>
      <c r="S22" s="850"/>
      <c r="T22" s="668">
        <f>-PMT(U20/12,U19,S20)</f>
        <v>344.65884527395764</v>
      </c>
      <c r="U22" s="500"/>
      <c r="V22" s="500"/>
      <c r="W22" s="500"/>
      <c r="X22" s="500"/>
      <c r="Y22" s="500"/>
      <c r="Z22" s="500"/>
      <c r="AA22" s="500"/>
      <c r="AB22" s="500"/>
      <c r="AC22" s="500"/>
      <c r="AD22" s="500"/>
      <c r="AE22" s="500"/>
      <c r="AF22" s="500"/>
      <c r="AG22" s="500"/>
      <c r="AH22" s="500"/>
      <c r="AI22" s="500"/>
      <c r="AJ22" s="500"/>
    </row>
    <row r="23" spans="1:36" ht="13.5" thickBot="1" x14ac:dyDescent="0.25">
      <c r="A23" s="500"/>
      <c r="C23" s="527" t="str">
        <f ca="1">"Year 5 Return On Cost -   "&amp;TEXT(J88,"0.0%")</f>
        <v>Year 5 Return On Cost -   8.7%</v>
      </c>
      <c r="D23" s="468" t="s">
        <v>141</v>
      </c>
      <c r="E23" s="471" t="str">
        <f t="shared" ca="1" si="2"/>
        <v>1.7x</v>
      </c>
      <c r="F23" s="471" t="str">
        <f t="shared" ca="1" si="2"/>
        <v>2.1x</v>
      </c>
      <c r="G23" s="472" t="str">
        <f t="shared" ca="1" si="2"/>
        <v>2.9x</v>
      </c>
      <c r="H23" s="500"/>
      <c r="I23" s="520" t="s">
        <v>142</v>
      </c>
      <c r="J23" s="528"/>
      <c r="K23" s="143">
        <v>0.05</v>
      </c>
      <c r="L23" s="500"/>
      <c r="M23"/>
      <c r="N23" s="524" t="s">
        <v>143</v>
      </c>
      <c r="O23" s="582">
        <f>O19-SUM(O20:O22)</f>
        <v>0</v>
      </c>
      <c r="P23" s="582">
        <f>P19-SUM(P20:P22)</f>
        <v>-470</v>
      </c>
      <c r="Q23" s="500"/>
      <c r="R23" s="500"/>
      <c r="S23" s="500"/>
      <c r="T23" s="500"/>
      <c r="U23" s="500"/>
      <c r="V23" s="500"/>
      <c r="W23" s="500"/>
      <c r="X23" s="500"/>
      <c r="Y23" s="500"/>
      <c r="Z23" s="500"/>
      <c r="AA23" s="500"/>
      <c r="AB23" s="500"/>
      <c r="AC23" s="500"/>
      <c r="AD23" s="500"/>
      <c r="AE23" s="500"/>
      <c r="AF23" s="500"/>
      <c r="AG23" s="500"/>
      <c r="AH23" s="500"/>
      <c r="AI23" s="500"/>
      <c r="AJ23" s="500"/>
    </row>
    <row r="24" spans="1:36" ht="13.5" thickBot="1" x14ac:dyDescent="0.25">
      <c r="A24" s="500"/>
      <c r="C24" s="527" t="str">
        <f ca="1">"Pct Equity Returned Over 5 Years "&amp;TEXT(J135,"0.0%")</f>
        <v>Pct Equity Returned Over 5 Years Cumm.= 38.7%</v>
      </c>
      <c r="D24" s="468" t="s">
        <v>144</v>
      </c>
      <c r="E24" s="473">
        <f t="shared" ca="1" si="2"/>
        <v>6980000</v>
      </c>
      <c r="F24" s="473">
        <f t="shared" ca="1" si="2"/>
        <v>8726000</v>
      </c>
      <c r="G24" s="474">
        <f t="shared" ca="1" si="2"/>
        <v>12082000</v>
      </c>
      <c r="H24" s="500"/>
      <c r="I24" s="500"/>
      <c r="J24" s="500"/>
      <c r="K24" s="500"/>
      <c r="L24" s="500"/>
      <c r="M24" s="663" t="s">
        <v>145</v>
      </c>
      <c r="N24" s="500"/>
      <c r="O24" s="507" t="s">
        <v>146</v>
      </c>
      <c r="P24" s="507" t="s">
        <v>147</v>
      </c>
      <c r="Q24" s="500"/>
      <c r="R24" s="500"/>
      <c r="S24" s="500"/>
      <c r="T24" s="500"/>
      <c r="U24" s="500"/>
      <c r="V24" s="500"/>
      <c r="W24" s="500"/>
      <c r="X24" s="500"/>
      <c r="Y24" s="500"/>
      <c r="Z24" s="500"/>
      <c r="AA24" s="500"/>
      <c r="AB24" s="500"/>
      <c r="AC24" s="500"/>
      <c r="AD24" s="500"/>
      <c r="AE24" s="500"/>
      <c r="AF24" s="500"/>
      <c r="AG24" s="500"/>
      <c r="AH24" s="500"/>
      <c r="AI24" s="500"/>
      <c r="AJ24" s="500"/>
    </row>
    <row r="25" spans="1:36" x14ac:dyDescent="0.2">
      <c r="A25" s="500"/>
      <c r="C25" s="527" t="str">
        <f ca="1">"Year 1 Leveraged Cash-On-Cash -   "&amp;TEXT(F117,"0.0%")</f>
        <v>Year 1 Leveraged Cash-On-Cash -   3.8%</v>
      </c>
      <c r="D25" s="468" t="s">
        <v>148</v>
      </c>
      <c r="E25" s="473">
        <f t="shared" ca="1" si="2"/>
        <v>2114000</v>
      </c>
      <c r="F25" s="473">
        <f t="shared" ca="1" si="2"/>
        <v>3461000</v>
      </c>
      <c r="G25" s="474">
        <f t="shared" ca="1" si="2"/>
        <v>6635000</v>
      </c>
      <c r="H25" s="497" t="s">
        <v>149</v>
      </c>
      <c r="I25" s="498" t="s">
        <v>150</v>
      </c>
      <c r="J25" s="524"/>
      <c r="K25" s="538">
        <f>+G29-F29</f>
        <v>46.5</v>
      </c>
      <c r="L25" s="500"/>
      <c r="M25" s="532">
        <v>0.12</v>
      </c>
      <c r="N25" s="500"/>
      <c r="O25" s="651">
        <f>(O19+SUM(O20:O21)/M25)</f>
        <v>0</v>
      </c>
      <c r="P25" s="651" t="e">
        <f>O25/E17</f>
        <v>#DIV/0!</v>
      </c>
      <c r="Q25" s="500"/>
      <c r="R25" s="500"/>
      <c r="S25" s="500"/>
      <c r="T25" s="500"/>
      <c r="U25" s="500"/>
      <c r="V25" s="500"/>
      <c r="W25" s="500"/>
      <c r="X25" s="500"/>
      <c r="Y25" s="500"/>
      <c r="Z25" s="500"/>
      <c r="AA25" s="500"/>
      <c r="AB25" s="500"/>
      <c r="AC25" s="500"/>
      <c r="AD25" s="500"/>
      <c r="AE25" s="500"/>
      <c r="AF25" s="500"/>
      <c r="AG25" s="500"/>
      <c r="AH25" s="500"/>
      <c r="AI25" s="500"/>
      <c r="AJ25" s="500"/>
    </row>
    <row r="26" spans="1:36" x14ac:dyDescent="0.2">
      <c r="A26" s="500"/>
      <c r="C26" s="533"/>
      <c r="D26" s="468" t="s">
        <v>151</v>
      </c>
      <c r="E26" s="473" t="str">
        <f ca="1">+H104</f>
        <v>$/Sp=$128,500</v>
      </c>
      <c r="F26" s="475" t="str">
        <f ca="1">+J104</f>
        <v>$/Sp=$146,400</v>
      </c>
      <c r="G26" s="476" t="str">
        <f ca="1">+O104</f>
        <v>$/Sp=$183,800</v>
      </c>
      <c r="H26" s="473">
        <f ca="1">ROUND(O103,-3)</f>
        <v>21688000</v>
      </c>
      <c r="I26" s="474">
        <f ca="1">ROUND(H26/NoOfSpaces,-2)</f>
        <v>183800</v>
      </c>
      <c r="J26" s="524"/>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row>
    <row r="27" spans="1:36" x14ac:dyDescent="0.2">
      <c r="A27" s="524" t="s">
        <v>152</v>
      </c>
      <c r="B27" s="463" t="s">
        <v>153</v>
      </c>
      <c r="C27" s="20" t="s">
        <v>154</v>
      </c>
      <c r="D27" s="21" t="s">
        <v>155</v>
      </c>
      <c r="E27" s="701" t="s">
        <v>156</v>
      </c>
      <c r="F27" s="24">
        <v>1</v>
      </c>
      <c r="G27" s="24">
        <f>F27+1</f>
        <v>2</v>
      </c>
      <c r="H27" s="24">
        <f t="shared" ref="H27:AH27" si="3">G27+1</f>
        <v>3</v>
      </c>
      <c r="I27" s="24">
        <f t="shared" si="3"/>
        <v>4</v>
      </c>
      <c r="J27" s="24">
        <f t="shared" si="3"/>
        <v>5</v>
      </c>
      <c r="K27" s="24">
        <f t="shared" si="3"/>
        <v>6</v>
      </c>
      <c r="L27" s="24">
        <f t="shared" si="3"/>
        <v>7</v>
      </c>
      <c r="M27" s="24">
        <f t="shared" si="3"/>
        <v>8</v>
      </c>
      <c r="N27" s="24">
        <f t="shared" si="3"/>
        <v>9</v>
      </c>
      <c r="O27" s="24">
        <f t="shared" si="3"/>
        <v>10</v>
      </c>
      <c r="P27" s="24">
        <f t="shared" si="3"/>
        <v>11</v>
      </c>
      <c r="Q27" s="24">
        <f t="shared" si="3"/>
        <v>12</v>
      </c>
      <c r="R27" s="24">
        <f t="shared" si="3"/>
        <v>13</v>
      </c>
      <c r="S27" s="24">
        <f t="shared" si="3"/>
        <v>14</v>
      </c>
      <c r="T27" s="24">
        <f t="shared" si="3"/>
        <v>15</v>
      </c>
      <c r="U27" s="24">
        <f t="shared" si="3"/>
        <v>16</v>
      </c>
      <c r="V27" s="24">
        <f t="shared" si="3"/>
        <v>17</v>
      </c>
      <c r="W27" s="24">
        <f t="shared" si="3"/>
        <v>18</v>
      </c>
      <c r="X27" s="24">
        <f t="shared" si="3"/>
        <v>19</v>
      </c>
      <c r="Y27" s="24">
        <f t="shared" si="3"/>
        <v>20</v>
      </c>
      <c r="Z27" s="24">
        <f t="shared" si="3"/>
        <v>21</v>
      </c>
      <c r="AA27" s="24">
        <f t="shared" si="3"/>
        <v>22</v>
      </c>
      <c r="AB27" s="24">
        <f t="shared" si="3"/>
        <v>23</v>
      </c>
      <c r="AC27" s="24">
        <f t="shared" si="3"/>
        <v>24</v>
      </c>
      <c r="AD27" s="24">
        <f t="shared" si="3"/>
        <v>25</v>
      </c>
      <c r="AE27" s="24">
        <f t="shared" si="3"/>
        <v>26</v>
      </c>
      <c r="AF27" s="24">
        <f t="shared" si="3"/>
        <v>27</v>
      </c>
      <c r="AG27" s="24">
        <f t="shared" si="3"/>
        <v>28</v>
      </c>
      <c r="AH27" s="24">
        <f t="shared" si="3"/>
        <v>29</v>
      </c>
      <c r="AI27" s="24">
        <f t="shared" ref="AI27" si="4">AH27+1</f>
        <v>30</v>
      </c>
      <c r="AJ27" s="24">
        <f t="shared" ref="AJ27" si="5">AI27+1</f>
        <v>31</v>
      </c>
    </row>
    <row r="28" spans="1:36" x14ac:dyDescent="0.2">
      <c r="A28" s="500"/>
      <c r="C28" s="11" t="s">
        <v>157</v>
      </c>
      <c r="D28" s="133"/>
      <c r="E28" s="534"/>
      <c r="F28" s="265"/>
      <c r="G28" s="697" t="str">
        <f>"YOY = "&amp;TEXT(((G29-F29)/F29),"0.0%")</f>
        <v>YOY = 6.0%</v>
      </c>
      <c r="H28" s="697" t="str">
        <f>"YOY = "&amp;TEXT(((H29-G29)/G29),"0.0%")</f>
        <v>YOY = 6.0%</v>
      </c>
      <c r="I28" s="697" t="str">
        <f t="shared" ref="I28:AH28" si="6">"YOY = "&amp;TEXT(((I29-H29)/H29),"0.0%")</f>
        <v>YOY = 6.0%</v>
      </c>
      <c r="J28" s="697" t="str">
        <f t="shared" si="6"/>
        <v>YOY = 5.0%</v>
      </c>
      <c r="K28" s="213" t="str">
        <f t="shared" si="6"/>
        <v>YOY = 4.0%</v>
      </c>
      <c r="L28" s="213" t="str">
        <f t="shared" si="6"/>
        <v>YOY = 4.0%</v>
      </c>
      <c r="M28" s="213" t="str">
        <f t="shared" si="6"/>
        <v>YOY = 4.0%</v>
      </c>
      <c r="N28" s="213" t="str">
        <f t="shared" si="6"/>
        <v>YOY = 4.0%</v>
      </c>
      <c r="O28" s="213" t="str">
        <f t="shared" si="6"/>
        <v>YOY = 4.0%</v>
      </c>
      <c r="P28" s="213" t="str">
        <f t="shared" si="6"/>
        <v>YOY = 4.0%</v>
      </c>
      <c r="Q28" s="213" t="str">
        <f t="shared" si="6"/>
        <v>YOY = 4.0%</v>
      </c>
      <c r="R28" s="213" t="str">
        <f t="shared" si="6"/>
        <v>YOY = 4.0%</v>
      </c>
      <c r="S28" s="213" t="str">
        <f t="shared" si="6"/>
        <v>YOY = 4.0%</v>
      </c>
      <c r="T28" s="213" t="str">
        <f t="shared" si="6"/>
        <v>YOY = 4.0%</v>
      </c>
      <c r="U28" s="213" t="str">
        <f t="shared" si="6"/>
        <v>YOY = 4.0%</v>
      </c>
      <c r="V28" s="213" t="str">
        <f t="shared" si="6"/>
        <v>YOY = 4.0%</v>
      </c>
      <c r="W28" s="213" t="str">
        <f t="shared" si="6"/>
        <v>YOY = 4.0%</v>
      </c>
      <c r="X28" s="213" t="str">
        <f t="shared" si="6"/>
        <v>YOY = 4.0%</v>
      </c>
      <c r="Y28" s="213" t="str">
        <f t="shared" si="6"/>
        <v>YOY = 4.0%</v>
      </c>
      <c r="Z28" s="213" t="str">
        <f t="shared" si="6"/>
        <v>YOY = 4.0%</v>
      </c>
      <c r="AA28" s="213" t="str">
        <f t="shared" si="6"/>
        <v>YOY = 4.0%</v>
      </c>
      <c r="AB28" s="213" t="str">
        <f t="shared" si="6"/>
        <v>YOY = 4.0%</v>
      </c>
      <c r="AC28" s="213" t="str">
        <f t="shared" si="6"/>
        <v>YOY = 4.0%</v>
      </c>
      <c r="AD28" s="213" t="str">
        <f t="shared" si="6"/>
        <v>YOY = 4.0%</v>
      </c>
      <c r="AE28" s="213" t="str">
        <f t="shared" si="6"/>
        <v>YOY = 4.0%</v>
      </c>
      <c r="AF28" s="213" t="str">
        <f t="shared" si="6"/>
        <v>YOY = 4.0%</v>
      </c>
      <c r="AG28" s="213" t="str">
        <f t="shared" si="6"/>
        <v>YOY = 4.0%</v>
      </c>
      <c r="AH28" s="213" t="str">
        <f t="shared" si="6"/>
        <v>YOY = 4.0%</v>
      </c>
      <c r="AI28" s="213" t="str">
        <f t="shared" ref="AI28" si="7">"YOY = "&amp;TEXT(((AI29-AH29)/AH29),"0.0%")</f>
        <v>YOY = 4.0%</v>
      </c>
      <c r="AJ28" s="213" t="str">
        <f t="shared" ref="AJ28" si="8">"YOY = "&amp;TEXT(((AJ29-AI29)/AI29),"0.0%")</f>
        <v>YOY = 4.0%</v>
      </c>
    </row>
    <row r="29" spans="1:36" ht="15" x14ac:dyDescent="0.25">
      <c r="A29" s="500"/>
      <c r="C29" s="503" t="str">
        <f>C12</f>
        <v>MH - Original Section</v>
      </c>
      <c r="D29" s="134">
        <v>687.83</v>
      </c>
      <c r="E29" s="266">
        <v>0.04</v>
      </c>
      <c r="F29" s="836">
        <v>775</v>
      </c>
      <c r="G29" s="265">
        <f>+F29*1.06</f>
        <v>821.5</v>
      </c>
      <c r="H29" s="265">
        <f t="shared" ref="H29:I29" si="9">+G29*1.06</f>
        <v>870.79000000000008</v>
      </c>
      <c r="I29" s="265">
        <f t="shared" si="9"/>
        <v>923.03740000000016</v>
      </c>
      <c r="J29" s="265">
        <f t="shared" ref="J29" si="10">+I29*1.05</f>
        <v>969.18927000000019</v>
      </c>
      <c r="K29" s="265">
        <f t="shared" ref="K29" si="11">J29*(1+$E$29)</f>
        <v>1007.9568408000002</v>
      </c>
      <c r="L29" s="265">
        <f t="shared" ref="L29:AH29" si="12">K29*(1+$E$29)</f>
        <v>1048.2751144320002</v>
      </c>
      <c r="M29" s="265">
        <f t="shared" si="12"/>
        <v>1090.2061190092802</v>
      </c>
      <c r="N29" s="265">
        <f t="shared" si="12"/>
        <v>1133.8143637696514</v>
      </c>
      <c r="O29" s="265">
        <f t="shared" si="12"/>
        <v>1179.1669383204376</v>
      </c>
      <c r="P29" s="265">
        <f t="shared" si="12"/>
        <v>1226.3336158532552</v>
      </c>
      <c r="Q29" s="265">
        <f t="shared" si="12"/>
        <v>1275.3869604873855</v>
      </c>
      <c r="R29" s="265">
        <f t="shared" si="12"/>
        <v>1326.4024389068809</v>
      </c>
      <c r="S29" s="265">
        <f t="shared" si="12"/>
        <v>1379.4585364631562</v>
      </c>
      <c r="T29" s="265">
        <f t="shared" si="12"/>
        <v>1434.6368779216825</v>
      </c>
      <c r="U29" s="265">
        <f t="shared" si="12"/>
        <v>1492.0223530385499</v>
      </c>
      <c r="V29" s="265">
        <f t="shared" si="12"/>
        <v>1551.7032471600919</v>
      </c>
      <c r="W29" s="265">
        <f t="shared" si="12"/>
        <v>1613.7713770464957</v>
      </c>
      <c r="X29" s="265">
        <f t="shared" si="12"/>
        <v>1678.3222321283556</v>
      </c>
      <c r="Y29" s="265">
        <f t="shared" si="12"/>
        <v>1745.4551214134899</v>
      </c>
      <c r="Z29" s="265">
        <f t="shared" si="12"/>
        <v>1815.2733262700297</v>
      </c>
      <c r="AA29" s="265">
        <f t="shared" si="12"/>
        <v>1887.884259320831</v>
      </c>
      <c r="AB29" s="265">
        <f t="shared" si="12"/>
        <v>1963.3996296936643</v>
      </c>
      <c r="AC29" s="265">
        <f t="shared" si="12"/>
        <v>2041.9356148814111</v>
      </c>
      <c r="AD29" s="265">
        <f t="shared" si="12"/>
        <v>2123.6130394766674</v>
      </c>
      <c r="AE29" s="265">
        <f t="shared" si="12"/>
        <v>2208.5575610557344</v>
      </c>
      <c r="AF29" s="265">
        <f t="shared" si="12"/>
        <v>2296.8998634979639</v>
      </c>
      <c r="AG29" s="265">
        <f t="shared" si="12"/>
        <v>2388.7758580378827</v>
      </c>
      <c r="AH29" s="265">
        <f t="shared" si="12"/>
        <v>2484.3268923593982</v>
      </c>
      <c r="AI29" s="265">
        <f t="shared" ref="AI29" si="13">AH29*(1+$E$29)</f>
        <v>2583.6999680537742</v>
      </c>
      <c r="AJ29" s="265">
        <f t="shared" ref="AJ29" si="14">AI29*(1+$E$29)</f>
        <v>2687.0479667759255</v>
      </c>
    </row>
    <row r="30" spans="1:36" ht="15" x14ac:dyDescent="0.25">
      <c r="A30" s="500"/>
      <c r="C30" s="503" t="str">
        <f>C13</f>
        <v>MH - Expanded Section</v>
      </c>
      <c r="D30" s="134">
        <v>687.83</v>
      </c>
      <c r="E30" s="266">
        <v>0.04</v>
      </c>
      <c r="F30" s="836">
        <v>775</v>
      </c>
      <c r="G30" s="265">
        <f>+F30*1.06</f>
        <v>821.5</v>
      </c>
      <c r="H30" s="265">
        <f t="shared" ref="H30" si="15">+G30*1.06</f>
        <v>870.79000000000008</v>
      </c>
      <c r="I30" s="265">
        <f t="shared" ref="I30" si="16">+H30*1.06</f>
        <v>923.03740000000016</v>
      </c>
      <c r="J30" s="265">
        <f t="shared" ref="J30" si="17">+I30*1.05</f>
        <v>969.18927000000019</v>
      </c>
      <c r="K30" s="265">
        <f t="shared" ref="K30:AH30" si="18">J30*(1+$E$30)</f>
        <v>1007.9568408000002</v>
      </c>
      <c r="L30" s="265">
        <f t="shared" si="18"/>
        <v>1048.2751144320002</v>
      </c>
      <c r="M30" s="265">
        <f t="shared" si="18"/>
        <v>1090.2061190092802</v>
      </c>
      <c r="N30" s="265">
        <f t="shared" si="18"/>
        <v>1133.8143637696514</v>
      </c>
      <c r="O30" s="265">
        <f t="shared" si="18"/>
        <v>1179.1669383204376</v>
      </c>
      <c r="P30" s="265">
        <f t="shared" si="18"/>
        <v>1226.3336158532552</v>
      </c>
      <c r="Q30" s="265">
        <f t="shared" si="18"/>
        <v>1275.3869604873855</v>
      </c>
      <c r="R30" s="265">
        <f t="shared" si="18"/>
        <v>1326.4024389068809</v>
      </c>
      <c r="S30" s="265">
        <f t="shared" si="18"/>
        <v>1379.4585364631562</v>
      </c>
      <c r="T30" s="265">
        <f t="shared" si="18"/>
        <v>1434.6368779216825</v>
      </c>
      <c r="U30" s="265">
        <f t="shared" si="18"/>
        <v>1492.0223530385499</v>
      </c>
      <c r="V30" s="265">
        <f t="shared" si="18"/>
        <v>1551.7032471600919</v>
      </c>
      <c r="W30" s="265">
        <f t="shared" si="18"/>
        <v>1613.7713770464957</v>
      </c>
      <c r="X30" s="265">
        <f t="shared" si="18"/>
        <v>1678.3222321283556</v>
      </c>
      <c r="Y30" s="265">
        <f t="shared" si="18"/>
        <v>1745.4551214134899</v>
      </c>
      <c r="Z30" s="265">
        <f t="shared" si="18"/>
        <v>1815.2733262700297</v>
      </c>
      <c r="AA30" s="265">
        <f t="shared" si="18"/>
        <v>1887.884259320831</v>
      </c>
      <c r="AB30" s="265">
        <f t="shared" si="18"/>
        <v>1963.3996296936643</v>
      </c>
      <c r="AC30" s="265">
        <f t="shared" si="18"/>
        <v>2041.9356148814111</v>
      </c>
      <c r="AD30" s="265">
        <f t="shared" si="18"/>
        <v>2123.6130394766674</v>
      </c>
      <c r="AE30" s="265">
        <f t="shared" si="18"/>
        <v>2208.5575610557344</v>
      </c>
      <c r="AF30" s="265">
        <f t="shared" si="18"/>
        <v>2296.8998634979639</v>
      </c>
      <c r="AG30" s="265">
        <f t="shared" si="18"/>
        <v>2388.7758580378827</v>
      </c>
      <c r="AH30" s="265">
        <f t="shared" si="18"/>
        <v>2484.3268923593982</v>
      </c>
      <c r="AI30" s="265">
        <f t="shared" ref="AI30" si="19">AH30*(1+$E$30)</f>
        <v>2583.6999680537742</v>
      </c>
      <c r="AJ30" s="265">
        <f t="shared" ref="AJ30" si="20">AI30*(1+$E$30)</f>
        <v>2687.0479667759255</v>
      </c>
    </row>
    <row r="31" spans="1:36" x14ac:dyDescent="0.2">
      <c r="A31" s="500"/>
      <c r="C31" s="503" t="str">
        <f>C14</f>
        <v>Commercial building</v>
      </c>
      <c r="D31" s="689">
        <v>850</v>
      </c>
      <c r="E31" s="266">
        <v>0.04</v>
      </c>
      <c r="F31" s="265">
        <f>D31</f>
        <v>850</v>
      </c>
      <c r="G31" s="265">
        <f t="shared" ref="G31" si="21">F31*(1+$E$31)</f>
        <v>884</v>
      </c>
      <c r="H31" s="265">
        <f t="shared" ref="H31" si="22">G31*(1+$E$31)</f>
        <v>919.36</v>
      </c>
      <c r="I31" s="265">
        <f t="shared" ref="I31" si="23">H31*(1+$E$31)</f>
        <v>956.13440000000003</v>
      </c>
      <c r="J31" s="265">
        <f t="shared" ref="J31" si="24">I31*(1+$E$31)</f>
        <v>994.37977600000011</v>
      </c>
      <c r="K31" s="265">
        <f t="shared" ref="K31:AH31" si="25">J31*(1+$E$31)</f>
        <v>1034.1549670400002</v>
      </c>
      <c r="L31" s="265">
        <f t="shared" si="25"/>
        <v>1075.5211657216003</v>
      </c>
      <c r="M31" s="265">
        <f t="shared" si="25"/>
        <v>1118.5420123504643</v>
      </c>
      <c r="N31" s="265">
        <f t="shared" si="25"/>
        <v>1163.2836928444829</v>
      </c>
      <c r="O31" s="265">
        <f t="shared" si="25"/>
        <v>1209.8150405582621</v>
      </c>
      <c r="P31" s="265">
        <f t="shared" si="25"/>
        <v>1258.2076421805928</v>
      </c>
      <c r="Q31" s="265">
        <f t="shared" si="25"/>
        <v>1308.5359478678165</v>
      </c>
      <c r="R31" s="265">
        <f t="shared" si="25"/>
        <v>1360.8773857825292</v>
      </c>
      <c r="S31" s="265">
        <f t="shared" si="25"/>
        <v>1415.3124812138306</v>
      </c>
      <c r="T31" s="265">
        <f t="shared" si="25"/>
        <v>1471.9249804623839</v>
      </c>
      <c r="U31" s="265">
        <f t="shared" si="25"/>
        <v>1530.8019796808794</v>
      </c>
      <c r="V31" s="265">
        <f t="shared" si="25"/>
        <v>1592.0340588681147</v>
      </c>
      <c r="W31" s="265">
        <f t="shared" si="25"/>
        <v>1655.7154212228393</v>
      </c>
      <c r="X31" s="265">
        <f t="shared" si="25"/>
        <v>1721.9440380717529</v>
      </c>
      <c r="Y31" s="265">
        <f t="shared" si="25"/>
        <v>1790.8217995946231</v>
      </c>
      <c r="Z31" s="265">
        <f t="shared" si="25"/>
        <v>1862.4546715784081</v>
      </c>
      <c r="AA31" s="265">
        <f t="shared" si="25"/>
        <v>1936.9528584415445</v>
      </c>
      <c r="AB31" s="265">
        <f t="shared" si="25"/>
        <v>2014.4309727792065</v>
      </c>
      <c r="AC31" s="265">
        <f t="shared" si="25"/>
        <v>2095.008211690375</v>
      </c>
      <c r="AD31" s="265">
        <f t="shared" si="25"/>
        <v>2178.8085401579901</v>
      </c>
      <c r="AE31" s="265">
        <f t="shared" si="25"/>
        <v>2265.9608817643098</v>
      </c>
      <c r="AF31" s="265">
        <f t="shared" si="25"/>
        <v>2356.599317034882</v>
      </c>
      <c r="AG31" s="265">
        <f t="shared" si="25"/>
        <v>2450.8632897162774</v>
      </c>
      <c r="AH31" s="265">
        <f t="shared" si="25"/>
        <v>2548.8978213049286</v>
      </c>
      <c r="AI31" s="265">
        <f t="shared" ref="AI31" si="26">AH31*(1+$E$31)</f>
        <v>2650.8537341571259</v>
      </c>
      <c r="AJ31" s="265">
        <f t="shared" ref="AJ31" si="27">AI31*(1+$E$31)</f>
        <v>2756.8878835234109</v>
      </c>
    </row>
    <row r="32" spans="1:36" x14ac:dyDescent="0.2">
      <c r="A32" s="500"/>
      <c r="C32" s="500"/>
      <c r="D32" s="133"/>
      <c r="E32" s="534"/>
      <c r="F32" s="702"/>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row>
    <row r="33" spans="1:36" ht="15" x14ac:dyDescent="0.35">
      <c r="A33" s="500"/>
      <c r="C33" s="11" t="s">
        <v>158</v>
      </c>
      <c r="D33" s="135"/>
      <c r="E33" s="318" t="s">
        <v>159</v>
      </c>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row>
    <row r="34" spans="1:36" x14ac:dyDescent="0.2">
      <c r="A34" s="500"/>
      <c r="B34" s="454">
        <f>(F34*12)</f>
        <v>771900</v>
      </c>
      <c r="C34" s="503" t="str">
        <f>C29</f>
        <v>MH - Original Section</v>
      </c>
      <c r="D34" s="133">
        <f>D29*D12*12</f>
        <v>685078.68</v>
      </c>
      <c r="E34" s="319">
        <f>D12</f>
        <v>83</v>
      </c>
      <c r="F34" s="265">
        <f>F29*$E$34</f>
        <v>64325</v>
      </c>
      <c r="G34" s="265">
        <f t="shared" ref="G34:AH34" si="28">G29*$E34</f>
        <v>68184.5</v>
      </c>
      <c r="H34" s="265">
        <f t="shared" si="28"/>
        <v>72275.570000000007</v>
      </c>
      <c r="I34" s="265">
        <f t="shared" si="28"/>
        <v>76612.104200000016</v>
      </c>
      <c r="J34" s="265">
        <f t="shared" si="28"/>
        <v>80442.70941000001</v>
      </c>
      <c r="K34" s="265">
        <f t="shared" si="28"/>
        <v>83660.417786400023</v>
      </c>
      <c r="L34" s="265">
        <f t="shared" si="28"/>
        <v>87006.83449785602</v>
      </c>
      <c r="M34" s="265">
        <f t="shared" si="28"/>
        <v>90487.10787777025</v>
      </c>
      <c r="N34" s="265">
        <f t="shared" si="28"/>
        <v>94106.592192881071</v>
      </c>
      <c r="O34" s="265">
        <f t="shared" si="28"/>
        <v>97870.855880596311</v>
      </c>
      <c r="P34" s="265">
        <f t="shared" si="28"/>
        <v>101785.69011582018</v>
      </c>
      <c r="Q34" s="265">
        <f t="shared" si="28"/>
        <v>105857.117720453</v>
      </c>
      <c r="R34" s="265">
        <f t="shared" si="28"/>
        <v>110091.40242927111</v>
      </c>
      <c r="S34" s="265">
        <f t="shared" si="28"/>
        <v>114495.05852644196</v>
      </c>
      <c r="T34" s="265">
        <f t="shared" si="28"/>
        <v>119074.86086749965</v>
      </c>
      <c r="U34" s="265">
        <f t="shared" si="28"/>
        <v>123837.85530219965</v>
      </c>
      <c r="V34" s="265">
        <f t="shared" si="28"/>
        <v>128791.36951428762</v>
      </c>
      <c r="W34" s="265">
        <f t="shared" si="28"/>
        <v>133943.02429485915</v>
      </c>
      <c r="X34" s="265">
        <f t="shared" si="28"/>
        <v>139300.74526665351</v>
      </c>
      <c r="Y34" s="265">
        <f t="shared" si="28"/>
        <v>144872.77507731967</v>
      </c>
      <c r="Z34" s="265">
        <f t="shared" si="28"/>
        <v>150667.68608041247</v>
      </c>
      <c r="AA34" s="265">
        <f t="shared" si="28"/>
        <v>156694.39352362897</v>
      </c>
      <c r="AB34" s="265">
        <f t="shared" si="28"/>
        <v>162962.16926457413</v>
      </c>
      <c r="AC34" s="265">
        <f t="shared" si="28"/>
        <v>169480.65603515712</v>
      </c>
      <c r="AD34" s="265">
        <f t="shared" si="28"/>
        <v>176259.88227656338</v>
      </c>
      <c r="AE34" s="265">
        <f t="shared" si="28"/>
        <v>183310.27756762595</v>
      </c>
      <c r="AF34" s="265">
        <f t="shared" si="28"/>
        <v>190642.688670331</v>
      </c>
      <c r="AG34" s="265">
        <f t="shared" si="28"/>
        <v>198268.39621714427</v>
      </c>
      <c r="AH34" s="265">
        <f t="shared" si="28"/>
        <v>206199.13206583005</v>
      </c>
      <c r="AI34" s="265">
        <f t="shared" ref="AI34:AJ34" si="29">AI29*$E34</f>
        <v>214447.09734846326</v>
      </c>
      <c r="AJ34" s="265">
        <f t="shared" si="29"/>
        <v>223024.98124240182</v>
      </c>
    </row>
    <row r="35" spans="1:36" x14ac:dyDescent="0.2">
      <c r="A35" s="500"/>
      <c r="B35" s="454">
        <f>(F35*12)</f>
        <v>316200</v>
      </c>
      <c r="C35" s="503" t="str">
        <f>C30</f>
        <v>MH - Expanded Section</v>
      </c>
      <c r="D35" s="133">
        <f>D30*D13*12</f>
        <v>280634.64</v>
      </c>
      <c r="E35" s="319">
        <f>D13</f>
        <v>34</v>
      </c>
      <c r="F35" s="265">
        <f t="shared" ref="F35:AH35" si="30">F30*$E$35</f>
        <v>26350</v>
      </c>
      <c r="G35" s="265">
        <f t="shared" si="30"/>
        <v>27931</v>
      </c>
      <c r="H35" s="265">
        <f t="shared" si="30"/>
        <v>29606.860000000004</v>
      </c>
      <c r="I35" s="265">
        <f t="shared" si="30"/>
        <v>31383.271600000007</v>
      </c>
      <c r="J35" s="265">
        <f t="shared" si="30"/>
        <v>32952.435180000008</v>
      </c>
      <c r="K35" s="265">
        <f t="shared" si="30"/>
        <v>34270.53258720001</v>
      </c>
      <c r="L35" s="265">
        <f t="shared" si="30"/>
        <v>35641.353890688006</v>
      </c>
      <c r="M35" s="265">
        <f t="shared" si="30"/>
        <v>37067.008046315525</v>
      </c>
      <c r="N35" s="265">
        <f t="shared" si="30"/>
        <v>38549.68836816815</v>
      </c>
      <c r="O35" s="265">
        <f t="shared" si="30"/>
        <v>40091.67590289488</v>
      </c>
      <c r="P35" s="265">
        <f t="shared" si="30"/>
        <v>41695.342939010676</v>
      </c>
      <c r="Q35" s="265">
        <f t="shared" si="30"/>
        <v>43363.156656571111</v>
      </c>
      <c r="R35" s="265">
        <f t="shared" si="30"/>
        <v>45097.682922833948</v>
      </c>
      <c r="S35" s="265">
        <f t="shared" si="30"/>
        <v>46901.590239747311</v>
      </c>
      <c r="T35" s="265">
        <f t="shared" si="30"/>
        <v>48777.653849337206</v>
      </c>
      <c r="U35" s="265">
        <f t="shared" si="30"/>
        <v>50728.760003310694</v>
      </c>
      <c r="V35" s="265">
        <f t="shared" si="30"/>
        <v>52757.910403443122</v>
      </c>
      <c r="W35" s="265">
        <f t="shared" si="30"/>
        <v>54868.22681958085</v>
      </c>
      <c r="X35" s="265">
        <f t="shared" si="30"/>
        <v>57062.955892364087</v>
      </c>
      <c r="Y35" s="265">
        <f t="shared" si="30"/>
        <v>59345.47412805866</v>
      </c>
      <c r="Z35" s="265">
        <f t="shared" si="30"/>
        <v>61719.293093181011</v>
      </c>
      <c r="AA35" s="265">
        <f t="shared" si="30"/>
        <v>64188.064816908256</v>
      </c>
      <c r="AB35" s="265">
        <f t="shared" si="30"/>
        <v>66755.587409584594</v>
      </c>
      <c r="AC35" s="265">
        <f t="shared" si="30"/>
        <v>69425.81090596797</v>
      </c>
      <c r="AD35" s="265">
        <f t="shared" si="30"/>
        <v>72202.843342206688</v>
      </c>
      <c r="AE35" s="265">
        <f t="shared" si="30"/>
        <v>75090.95707589497</v>
      </c>
      <c r="AF35" s="265">
        <f t="shared" si="30"/>
        <v>78094.595358930776</v>
      </c>
      <c r="AG35" s="265">
        <f t="shared" si="30"/>
        <v>81218.379173288005</v>
      </c>
      <c r="AH35" s="265">
        <f t="shared" si="30"/>
        <v>84467.114340219545</v>
      </c>
      <c r="AI35" s="265">
        <f t="shared" ref="AI35:AJ35" si="31">AI30*$E$35</f>
        <v>87845.79891382833</v>
      </c>
      <c r="AJ35" s="265">
        <f t="shared" si="31"/>
        <v>91359.630870381472</v>
      </c>
    </row>
    <row r="36" spans="1:36" x14ac:dyDescent="0.2">
      <c r="A36" s="500"/>
      <c r="B36" s="454">
        <f>(F36*12)</f>
        <v>10200</v>
      </c>
      <c r="C36" s="503" t="str">
        <f>C31</f>
        <v>Commercial building</v>
      </c>
      <c r="D36" s="133">
        <f>D31*D14*12</f>
        <v>10200</v>
      </c>
      <c r="E36" s="319">
        <f>D14</f>
        <v>1</v>
      </c>
      <c r="F36" s="320">
        <f t="shared" ref="F36:AH36" si="32">F31*$E$36</f>
        <v>850</v>
      </c>
      <c r="G36" s="320">
        <f t="shared" si="32"/>
        <v>884</v>
      </c>
      <c r="H36" s="320">
        <f t="shared" si="32"/>
        <v>919.36</v>
      </c>
      <c r="I36" s="265">
        <f t="shared" si="32"/>
        <v>956.13440000000003</v>
      </c>
      <c r="J36" s="265">
        <f t="shared" si="32"/>
        <v>994.37977600000011</v>
      </c>
      <c r="K36" s="265">
        <f t="shared" si="32"/>
        <v>1034.1549670400002</v>
      </c>
      <c r="L36" s="265">
        <f t="shared" si="32"/>
        <v>1075.5211657216003</v>
      </c>
      <c r="M36" s="265">
        <f t="shared" si="32"/>
        <v>1118.5420123504643</v>
      </c>
      <c r="N36" s="265">
        <f t="shared" si="32"/>
        <v>1163.2836928444829</v>
      </c>
      <c r="O36" s="265">
        <f t="shared" si="32"/>
        <v>1209.8150405582621</v>
      </c>
      <c r="P36" s="265">
        <f t="shared" si="32"/>
        <v>1258.2076421805928</v>
      </c>
      <c r="Q36" s="265">
        <f t="shared" si="32"/>
        <v>1308.5359478678165</v>
      </c>
      <c r="R36" s="265">
        <f t="shared" si="32"/>
        <v>1360.8773857825292</v>
      </c>
      <c r="S36" s="265">
        <f t="shared" si="32"/>
        <v>1415.3124812138306</v>
      </c>
      <c r="T36" s="265">
        <f t="shared" si="32"/>
        <v>1471.9249804623839</v>
      </c>
      <c r="U36" s="265">
        <f t="shared" si="32"/>
        <v>1530.8019796808794</v>
      </c>
      <c r="V36" s="265">
        <f t="shared" si="32"/>
        <v>1592.0340588681147</v>
      </c>
      <c r="W36" s="265">
        <f t="shared" si="32"/>
        <v>1655.7154212228393</v>
      </c>
      <c r="X36" s="265">
        <f t="shared" si="32"/>
        <v>1721.9440380717529</v>
      </c>
      <c r="Y36" s="265">
        <f t="shared" si="32"/>
        <v>1790.8217995946231</v>
      </c>
      <c r="Z36" s="265">
        <f t="shared" si="32"/>
        <v>1862.4546715784081</v>
      </c>
      <c r="AA36" s="265">
        <f t="shared" si="32"/>
        <v>1936.9528584415445</v>
      </c>
      <c r="AB36" s="265">
        <f t="shared" si="32"/>
        <v>2014.4309727792065</v>
      </c>
      <c r="AC36" s="265">
        <f t="shared" si="32"/>
        <v>2095.008211690375</v>
      </c>
      <c r="AD36" s="265">
        <f t="shared" si="32"/>
        <v>2178.8085401579901</v>
      </c>
      <c r="AE36" s="265">
        <f t="shared" si="32"/>
        <v>2265.9608817643098</v>
      </c>
      <c r="AF36" s="265">
        <f t="shared" si="32"/>
        <v>2356.599317034882</v>
      </c>
      <c r="AG36" s="265">
        <f t="shared" si="32"/>
        <v>2450.8632897162774</v>
      </c>
      <c r="AH36" s="265">
        <f t="shared" si="32"/>
        <v>2548.8978213049286</v>
      </c>
      <c r="AI36" s="265">
        <f t="shared" ref="AI36:AJ36" si="33">AI31*$E$36</f>
        <v>2650.8537341571259</v>
      </c>
      <c r="AJ36" s="265">
        <f t="shared" si="33"/>
        <v>2756.8878835234109</v>
      </c>
    </row>
    <row r="37" spans="1:36" s="35" customFormat="1" ht="12" x14ac:dyDescent="0.2">
      <c r="B37" s="455"/>
      <c r="D37" s="275" t="s">
        <v>160</v>
      </c>
      <c r="E37" s="276">
        <f>F12+F13</f>
        <v>7</v>
      </c>
      <c r="F37" s="277">
        <f>E37</f>
        <v>7</v>
      </c>
      <c r="G37" s="277">
        <f t="shared" ref="G37:AH37" si="34">MAX($E$38*$D$12,F37-$J$7)</f>
        <v>3.3200000000000003</v>
      </c>
      <c r="H37" s="277">
        <f t="shared" si="34"/>
        <v>3.3200000000000003</v>
      </c>
      <c r="I37" s="277">
        <f t="shared" si="34"/>
        <v>3.3200000000000003</v>
      </c>
      <c r="J37" s="277">
        <f t="shared" si="34"/>
        <v>3.3200000000000003</v>
      </c>
      <c r="K37" s="277">
        <f t="shared" si="34"/>
        <v>3.3200000000000003</v>
      </c>
      <c r="L37" s="277">
        <f t="shared" si="34"/>
        <v>3.3200000000000003</v>
      </c>
      <c r="M37" s="277">
        <f t="shared" si="34"/>
        <v>3.3200000000000003</v>
      </c>
      <c r="N37" s="277">
        <f t="shared" si="34"/>
        <v>3.3200000000000003</v>
      </c>
      <c r="O37" s="277">
        <f t="shared" si="34"/>
        <v>3.3200000000000003</v>
      </c>
      <c r="P37" s="277">
        <f t="shared" si="34"/>
        <v>3.3200000000000003</v>
      </c>
      <c r="Q37" s="277">
        <f t="shared" si="34"/>
        <v>3.3200000000000003</v>
      </c>
      <c r="R37" s="277">
        <f t="shared" si="34"/>
        <v>3.3200000000000003</v>
      </c>
      <c r="S37" s="277">
        <f t="shared" si="34"/>
        <v>3.3200000000000003</v>
      </c>
      <c r="T37" s="277">
        <f t="shared" si="34"/>
        <v>3.3200000000000003</v>
      </c>
      <c r="U37" s="277">
        <f t="shared" si="34"/>
        <v>3.3200000000000003</v>
      </c>
      <c r="V37" s="277">
        <f t="shared" si="34"/>
        <v>3.3200000000000003</v>
      </c>
      <c r="W37" s="277">
        <f t="shared" si="34"/>
        <v>3.3200000000000003</v>
      </c>
      <c r="X37" s="277">
        <f t="shared" si="34"/>
        <v>3.3200000000000003</v>
      </c>
      <c r="Y37" s="277">
        <f t="shared" si="34"/>
        <v>3.3200000000000003</v>
      </c>
      <c r="Z37" s="277">
        <f t="shared" si="34"/>
        <v>3.3200000000000003</v>
      </c>
      <c r="AA37" s="277">
        <f t="shared" si="34"/>
        <v>3.3200000000000003</v>
      </c>
      <c r="AB37" s="277">
        <f t="shared" si="34"/>
        <v>3.3200000000000003</v>
      </c>
      <c r="AC37" s="277">
        <f t="shared" si="34"/>
        <v>3.3200000000000003</v>
      </c>
      <c r="AD37" s="277">
        <f t="shared" si="34"/>
        <v>3.3200000000000003</v>
      </c>
      <c r="AE37" s="277">
        <f t="shared" si="34"/>
        <v>3.3200000000000003</v>
      </c>
      <c r="AF37" s="277">
        <f t="shared" si="34"/>
        <v>3.3200000000000003</v>
      </c>
      <c r="AG37" s="277">
        <f t="shared" si="34"/>
        <v>3.3200000000000003</v>
      </c>
      <c r="AH37" s="277">
        <f t="shared" si="34"/>
        <v>3.3200000000000003</v>
      </c>
      <c r="AI37" s="277">
        <f t="shared" ref="AI37" si="35">MAX($E$38*$D$12,AH37-$J$7)</f>
        <v>3.3200000000000003</v>
      </c>
      <c r="AJ37" s="277">
        <f t="shared" ref="AJ37" si="36">MAX($E$38*$D$12,AI37-$J$7)</f>
        <v>3.3200000000000003</v>
      </c>
    </row>
    <row r="38" spans="1:36" x14ac:dyDescent="0.2">
      <c r="A38" s="500"/>
      <c r="B38" s="454">
        <f t="shared" ref="B38:B41" si="37">(F38*12)</f>
        <v>-65100</v>
      </c>
      <c r="C38" s="503" t="str">
        <f>C34&amp;" Min Vacancy Rate"</f>
        <v>MH - Original Section Min Vacancy Rate</v>
      </c>
      <c r="D38" s="136">
        <f>F38*12</f>
        <v>-65100</v>
      </c>
      <c r="E38" s="266">
        <v>0.04</v>
      </c>
      <c r="F38" s="265">
        <f>-F34*F37/$D$12</f>
        <v>-5425</v>
      </c>
      <c r="G38" s="265">
        <f t="shared" ref="G38:AH38" si="38">-G34*G37/$D$12</f>
        <v>-2727.38</v>
      </c>
      <c r="H38" s="265">
        <f t="shared" si="38"/>
        <v>-2891.0228000000006</v>
      </c>
      <c r="I38" s="265">
        <f t="shared" si="38"/>
        <v>-3064.4841680000009</v>
      </c>
      <c r="J38" s="265">
        <f t="shared" si="38"/>
        <v>-3217.7083764000008</v>
      </c>
      <c r="K38" s="265">
        <f t="shared" si="38"/>
        <v>-3346.4167114560014</v>
      </c>
      <c r="L38" s="265">
        <f t="shared" si="38"/>
        <v>-3480.2733799142411</v>
      </c>
      <c r="M38" s="265">
        <f t="shared" si="38"/>
        <v>-3619.4843151108103</v>
      </c>
      <c r="N38" s="265">
        <f t="shared" si="38"/>
        <v>-3764.2636877152431</v>
      </c>
      <c r="O38" s="265">
        <f t="shared" si="38"/>
        <v>-3914.8342352238524</v>
      </c>
      <c r="P38" s="265">
        <f t="shared" si="38"/>
        <v>-4071.4276046328077</v>
      </c>
      <c r="Q38" s="265">
        <f t="shared" si="38"/>
        <v>-4234.2847088181197</v>
      </c>
      <c r="R38" s="265">
        <f t="shared" si="38"/>
        <v>-4403.656097170845</v>
      </c>
      <c r="S38" s="265">
        <f t="shared" si="38"/>
        <v>-4579.8023410576789</v>
      </c>
      <c r="T38" s="265">
        <f t="shared" si="38"/>
        <v>-4762.9944346999864</v>
      </c>
      <c r="U38" s="265">
        <f t="shared" si="38"/>
        <v>-4953.5142120879864</v>
      </c>
      <c r="V38" s="265">
        <f t="shared" si="38"/>
        <v>-5151.6547805715054</v>
      </c>
      <c r="W38" s="265">
        <f t="shared" si="38"/>
        <v>-5357.7209717943661</v>
      </c>
      <c r="X38" s="265">
        <f t="shared" si="38"/>
        <v>-5572.0298106661412</v>
      </c>
      <c r="Y38" s="265">
        <f t="shared" si="38"/>
        <v>-5794.9110030927877</v>
      </c>
      <c r="Z38" s="265">
        <f t="shared" si="38"/>
        <v>-6026.7074432164991</v>
      </c>
      <c r="AA38" s="265">
        <f t="shared" si="38"/>
        <v>-6267.7757409451588</v>
      </c>
      <c r="AB38" s="265">
        <f t="shared" si="38"/>
        <v>-6518.4867705829656</v>
      </c>
      <c r="AC38" s="265">
        <f t="shared" si="38"/>
        <v>-6779.2262414062861</v>
      </c>
      <c r="AD38" s="265">
        <f t="shared" si="38"/>
        <v>-7050.3952910625358</v>
      </c>
      <c r="AE38" s="265">
        <f t="shared" si="38"/>
        <v>-7332.4111027050394</v>
      </c>
      <c r="AF38" s="265">
        <f t="shared" si="38"/>
        <v>-7625.7075468132407</v>
      </c>
      <c r="AG38" s="265">
        <f t="shared" si="38"/>
        <v>-7930.7358486857711</v>
      </c>
      <c r="AH38" s="265">
        <f t="shared" si="38"/>
        <v>-8247.965282633204</v>
      </c>
      <c r="AI38" s="265">
        <f t="shared" ref="AI38:AJ38" si="39">-AI34*AI37/$D$12</f>
        <v>-8577.8838939385296</v>
      </c>
      <c r="AJ38" s="265">
        <f t="shared" si="39"/>
        <v>-8920.9992496960731</v>
      </c>
    </row>
    <row r="39" spans="1:36" x14ac:dyDescent="0.2">
      <c r="A39" s="500"/>
      <c r="B39" s="454">
        <f t="shared" si="37"/>
        <v>-12648</v>
      </c>
      <c r="C39" s="503" t="str">
        <f>C35&amp;" Min Vacancy Rate"</f>
        <v>MH - Expanded Section Min Vacancy Rate</v>
      </c>
      <c r="D39" s="136">
        <f>F39*12</f>
        <v>-12648</v>
      </c>
      <c r="E39" s="266">
        <v>0.04</v>
      </c>
      <c r="F39" s="265">
        <f>$E$39*-F35</f>
        <v>-1054</v>
      </c>
      <c r="G39" s="265">
        <f t="shared" ref="G39:AH39" si="40">$E$39*-G35</f>
        <v>-1117.24</v>
      </c>
      <c r="H39" s="265">
        <f t="shared" si="40"/>
        <v>-1184.2744000000002</v>
      </c>
      <c r="I39" s="265">
        <f t="shared" si="40"/>
        <v>-1255.3308640000002</v>
      </c>
      <c r="J39" s="265">
        <f t="shared" si="40"/>
        <v>-1318.0974072000004</v>
      </c>
      <c r="K39" s="265">
        <f t="shared" si="40"/>
        <v>-1370.8213034880005</v>
      </c>
      <c r="L39" s="265">
        <f t="shared" si="40"/>
        <v>-1425.6541556275204</v>
      </c>
      <c r="M39" s="265">
        <f t="shared" si="40"/>
        <v>-1482.6803218526211</v>
      </c>
      <c r="N39" s="265">
        <f t="shared" si="40"/>
        <v>-1541.9875347267262</v>
      </c>
      <c r="O39" s="265">
        <f t="shared" si="40"/>
        <v>-1603.6670361157953</v>
      </c>
      <c r="P39" s="265">
        <f t="shared" si="40"/>
        <v>-1667.813717560427</v>
      </c>
      <c r="Q39" s="265">
        <f t="shared" si="40"/>
        <v>-1734.5262662628445</v>
      </c>
      <c r="R39" s="265">
        <f t="shared" si="40"/>
        <v>-1803.907316913358</v>
      </c>
      <c r="S39" s="265">
        <f t="shared" si="40"/>
        <v>-1876.0636095898924</v>
      </c>
      <c r="T39" s="265">
        <f t="shared" si="40"/>
        <v>-1951.1061539734883</v>
      </c>
      <c r="U39" s="265">
        <f t="shared" si="40"/>
        <v>-2029.1504001324279</v>
      </c>
      <c r="V39" s="265">
        <f t="shared" si="40"/>
        <v>-2110.3164161377249</v>
      </c>
      <c r="W39" s="265">
        <f t="shared" si="40"/>
        <v>-2194.7290727832342</v>
      </c>
      <c r="X39" s="265">
        <f t="shared" si="40"/>
        <v>-2282.5182356945634</v>
      </c>
      <c r="Y39" s="265">
        <f t="shared" si="40"/>
        <v>-2373.8189651223465</v>
      </c>
      <c r="Z39" s="265">
        <f t="shared" si="40"/>
        <v>-2468.7717237272404</v>
      </c>
      <c r="AA39" s="265">
        <f t="shared" si="40"/>
        <v>-2567.5225926763301</v>
      </c>
      <c r="AB39" s="265">
        <f t="shared" si="40"/>
        <v>-2670.2234963833839</v>
      </c>
      <c r="AC39" s="265">
        <f t="shared" si="40"/>
        <v>-2777.0324362387187</v>
      </c>
      <c r="AD39" s="265">
        <f t="shared" si="40"/>
        <v>-2888.1137336882675</v>
      </c>
      <c r="AE39" s="265">
        <f t="shared" si="40"/>
        <v>-3003.6382830357988</v>
      </c>
      <c r="AF39" s="265">
        <f t="shared" si="40"/>
        <v>-3123.7838143572312</v>
      </c>
      <c r="AG39" s="265">
        <f t="shared" si="40"/>
        <v>-3248.7351669315203</v>
      </c>
      <c r="AH39" s="265">
        <f t="shared" si="40"/>
        <v>-3378.6845736087816</v>
      </c>
      <c r="AI39" s="265">
        <f t="shared" ref="AI39:AJ39" si="41">$E$39*-AI35</f>
        <v>-3513.8319565531333</v>
      </c>
      <c r="AJ39" s="265">
        <f t="shared" si="41"/>
        <v>-3654.3852348152591</v>
      </c>
    </row>
    <row r="40" spans="1:36" x14ac:dyDescent="0.2">
      <c r="A40" s="500"/>
      <c r="B40" s="454">
        <f t="shared" si="37"/>
        <v>-510</v>
      </c>
      <c r="C40" s="503" t="str">
        <f t="shared" ref="C40" si="42">C36&amp;" Min Vacancy Rate"</f>
        <v>Commercial building Min Vacancy Rate</v>
      </c>
      <c r="D40" s="136">
        <f>F40*12</f>
        <v>-510</v>
      </c>
      <c r="E40" s="266">
        <v>0.05</v>
      </c>
      <c r="F40" s="265">
        <f t="shared" ref="F40:AH40" si="43">$E$40*-F36</f>
        <v>-42.5</v>
      </c>
      <c r="G40" s="265">
        <f t="shared" si="43"/>
        <v>-44.2</v>
      </c>
      <c r="H40" s="265">
        <f t="shared" si="43"/>
        <v>-45.968000000000004</v>
      </c>
      <c r="I40" s="265">
        <f t="shared" si="43"/>
        <v>-47.806720000000006</v>
      </c>
      <c r="J40" s="265">
        <f t="shared" si="43"/>
        <v>-49.718988800000005</v>
      </c>
      <c r="K40" s="265">
        <f t="shared" si="43"/>
        <v>-51.70774835200001</v>
      </c>
      <c r="L40" s="265">
        <f t="shared" si="43"/>
        <v>-53.776058286080016</v>
      </c>
      <c r="M40" s="265">
        <f t="shared" si="43"/>
        <v>-55.927100617523223</v>
      </c>
      <c r="N40" s="265">
        <f t="shared" si="43"/>
        <v>-58.164184642224143</v>
      </c>
      <c r="O40" s="265">
        <f t="shared" si="43"/>
        <v>-60.490752027913111</v>
      </c>
      <c r="P40" s="265">
        <f t="shared" si="43"/>
        <v>-62.910382109029641</v>
      </c>
      <c r="Q40" s="265">
        <f t="shared" si="43"/>
        <v>-65.426797393390828</v>
      </c>
      <c r="R40" s="265">
        <f t="shared" si="43"/>
        <v>-68.043869289126462</v>
      </c>
      <c r="S40" s="265">
        <f t="shared" si="43"/>
        <v>-70.765624060691536</v>
      </c>
      <c r="T40" s="265">
        <f t="shared" si="43"/>
        <v>-73.596249023119199</v>
      </c>
      <c r="U40" s="265">
        <f t="shared" si="43"/>
        <v>-76.540098984043979</v>
      </c>
      <c r="V40" s="265">
        <f t="shared" si="43"/>
        <v>-79.601702943405741</v>
      </c>
      <c r="W40" s="265">
        <f t="shared" si="43"/>
        <v>-82.785771061141972</v>
      </c>
      <c r="X40" s="265">
        <f t="shared" si="43"/>
        <v>-86.097201903587646</v>
      </c>
      <c r="Y40" s="265">
        <f t="shared" si="43"/>
        <v>-89.541089979731169</v>
      </c>
      <c r="Z40" s="265">
        <f t="shared" si="43"/>
        <v>-93.122733578920418</v>
      </c>
      <c r="AA40" s="265">
        <f t="shared" si="43"/>
        <v>-96.847642922077227</v>
      </c>
      <c r="AB40" s="265">
        <f t="shared" si="43"/>
        <v>-100.72154863896033</v>
      </c>
      <c r="AC40" s="265">
        <f t="shared" si="43"/>
        <v>-104.75041058451876</v>
      </c>
      <c r="AD40" s="265">
        <f t="shared" si="43"/>
        <v>-108.94042700789952</v>
      </c>
      <c r="AE40" s="265">
        <f t="shared" si="43"/>
        <v>-113.29804408821549</v>
      </c>
      <c r="AF40" s="265">
        <f t="shared" si="43"/>
        <v>-117.82996585174411</v>
      </c>
      <c r="AG40" s="265">
        <f t="shared" si="43"/>
        <v>-122.54316448581388</v>
      </c>
      <c r="AH40" s="265">
        <f t="shared" si="43"/>
        <v>-127.44489106524644</v>
      </c>
      <c r="AI40" s="265">
        <f t="shared" ref="AI40:AJ40" si="44">$E$40*-AI36</f>
        <v>-132.54268670785629</v>
      </c>
      <c r="AJ40" s="265">
        <f t="shared" si="44"/>
        <v>-137.84439417617054</v>
      </c>
    </row>
    <row r="41" spans="1:36" ht="13.5" thickBot="1" x14ac:dyDescent="0.25">
      <c r="A41" s="524">
        <v>410100</v>
      </c>
      <c r="B41" s="583">
        <f t="shared" si="37"/>
        <v>1020042</v>
      </c>
      <c r="C41" s="584" t="s">
        <v>161</v>
      </c>
      <c r="D41" s="585">
        <f>(SUM(D34:D36)+SUM(D38:D40))</f>
        <v>897655.32000000007</v>
      </c>
      <c r="E41" s="586">
        <f>F41*12</f>
        <v>1020042</v>
      </c>
      <c r="F41" s="587">
        <f t="shared" ref="F41:AH41" si="45">SUM(F34:F36)+SUM(F38:F40)</f>
        <v>85003.5</v>
      </c>
      <c r="G41" s="587">
        <f t="shared" si="45"/>
        <v>93110.68</v>
      </c>
      <c r="H41" s="587">
        <f t="shared" si="45"/>
        <v>98680.524800000014</v>
      </c>
      <c r="I41" s="587">
        <f t="shared" si="45"/>
        <v>104583.88844800001</v>
      </c>
      <c r="J41" s="587">
        <f t="shared" si="45"/>
        <v>109803.99959360001</v>
      </c>
      <c r="K41" s="587">
        <f t="shared" si="45"/>
        <v>114196.15957734403</v>
      </c>
      <c r="L41" s="587">
        <f t="shared" si="45"/>
        <v>118764.00596043777</v>
      </c>
      <c r="M41" s="587">
        <f t="shared" si="45"/>
        <v>123514.56619885529</v>
      </c>
      <c r="N41" s="587">
        <f t="shared" si="45"/>
        <v>128455.14884680952</v>
      </c>
      <c r="O41" s="587">
        <f t="shared" si="45"/>
        <v>133593.3548006819</v>
      </c>
      <c r="P41" s="587">
        <f t="shared" si="45"/>
        <v>138937.08899270918</v>
      </c>
      <c r="Q41" s="587">
        <f t="shared" si="45"/>
        <v>144494.57255241755</v>
      </c>
      <c r="R41" s="587">
        <f t="shared" si="45"/>
        <v>150274.35545451427</v>
      </c>
      <c r="S41" s="587">
        <f t="shared" si="45"/>
        <v>156285.32967269485</v>
      </c>
      <c r="T41" s="587">
        <f t="shared" si="45"/>
        <v>162536.74285960264</v>
      </c>
      <c r="U41" s="587">
        <f t="shared" si="45"/>
        <v>169038.21257398676</v>
      </c>
      <c r="V41" s="587">
        <f t="shared" si="45"/>
        <v>175799.74107694623</v>
      </c>
      <c r="W41" s="587">
        <f t="shared" si="45"/>
        <v>182831.73072002412</v>
      </c>
      <c r="X41" s="587">
        <f t="shared" si="45"/>
        <v>190144.99994882505</v>
      </c>
      <c r="Y41" s="587">
        <f t="shared" si="45"/>
        <v>197750.7999467781</v>
      </c>
      <c r="Z41" s="587">
        <f t="shared" si="45"/>
        <v>205660.83194464922</v>
      </c>
      <c r="AA41" s="587">
        <f t="shared" si="45"/>
        <v>213887.26522243518</v>
      </c>
      <c r="AB41" s="587">
        <f t="shared" si="45"/>
        <v>222442.75583133262</v>
      </c>
      <c r="AC41" s="587">
        <f t="shared" si="45"/>
        <v>231340.46606458595</v>
      </c>
      <c r="AD41" s="587">
        <f t="shared" si="45"/>
        <v>240594.08470716936</v>
      </c>
      <c r="AE41" s="587">
        <f t="shared" si="45"/>
        <v>250217.84809545614</v>
      </c>
      <c r="AF41" s="587">
        <f t="shared" si="45"/>
        <v>260226.56201927445</v>
      </c>
      <c r="AG41" s="587">
        <f t="shared" si="45"/>
        <v>270635.62450004549</v>
      </c>
      <c r="AH41" s="587">
        <f t="shared" si="45"/>
        <v>281461.04948004725</v>
      </c>
      <c r="AI41" s="587">
        <f t="shared" ref="AI41:AJ41" si="46">SUM(AI34:AI36)+SUM(AI38:AI40)</f>
        <v>292719.49145924917</v>
      </c>
      <c r="AJ41" s="587">
        <f t="shared" si="46"/>
        <v>304428.27111761924</v>
      </c>
    </row>
    <row r="42" spans="1:36" ht="13.5" thickTop="1" x14ac:dyDescent="0.2">
      <c r="A42" s="500"/>
      <c r="C42" s="535"/>
      <c r="D42" s="25"/>
      <c r="E42" s="322"/>
      <c r="F42" s="838"/>
      <c r="G42" s="838"/>
      <c r="H42" s="839"/>
      <c r="I42" s="839"/>
      <c r="J42" s="839"/>
      <c r="K42" s="839"/>
      <c r="L42" s="839"/>
      <c r="M42" s="500"/>
      <c r="N42" s="840"/>
      <c r="O42" s="840"/>
      <c r="P42" s="841"/>
      <c r="Q42" s="841"/>
      <c r="R42" s="841"/>
      <c r="S42" s="841"/>
      <c r="T42" s="841"/>
      <c r="U42" s="500"/>
      <c r="V42" s="500"/>
      <c r="W42" s="500"/>
      <c r="X42" s="500"/>
      <c r="Y42" s="500"/>
      <c r="Z42" s="500"/>
      <c r="AA42" s="500"/>
      <c r="AB42" s="500"/>
      <c r="AC42" s="500"/>
      <c r="AD42" s="500"/>
      <c r="AE42" s="500"/>
      <c r="AF42" s="500"/>
      <c r="AG42" s="500"/>
      <c r="AH42" s="500"/>
      <c r="AI42" s="500"/>
      <c r="AJ42" s="500"/>
    </row>
    <row r="43" spans="1:36" ht="15" x14ac:dyDescent="0.35">
      <c r="A43" s="500"/>
      <c r="C43" s="11" t="s">
        <v>162</v>
      </c>
      <c r="D43" s="26" t="s">
        <v>163</v>
      </c>
      <c r="E43" s="323" t="s">
        <v>163</v>
      </c>
      <c r="F43" s="461"/>
      <c r="G43" s="461"/>
      <c r="H43" s="461"/>
      <c r="I43" s="461"/>
      <c r="J43" s="461"/>
      <c r="K43" s="461"/>
      <c r="L43" s="461"/>
      <c r="M43" s="500"/>
      <c r="N43" s="460"/>
      <c r="O43" s="460"/>
      <c r="P43" s="460"/>
      <c r="Q43" s="460"/>
      <c r="R43" s="460"/>
      <c r="S43" s="460"/>
      <c r="T43" s="695"/>
      <c r="U43" s="500"/>
      <c r="V43" s="500"/>
      <c r="W43" s="500"/>
      <c r="X43" s="500"/>
      <c r="Y43" s="500"/>
      <c r="Z43" s="500"/>
      <c r="AA43" s="500"/>
      <c r="AB43" s="500"/>
      <c r="AC43" s="500"/>
      <c r="AD43" s="500"/>
      <c r="AE43" s="500"/>
      <c r="AF43" s="500"/>
      <c r="AG43" s="500"/>
      <c r="AH43" s="500"/>
      <c r="AI43" s="500"/>
      <c r="AJ43" s="500"/>
    </row>
    <row r="44" spans="1:36" ht="15" x14ac:dyDescent="0.25">
      <c r="A44" s="524">
        <v>440400</v>
      </c>
      <c r="B44" s="456">
        <f t="shared" ref="B44:B54" si="47">(F44*12)</f>
        <v>218327.967</v>
      </c>
      <c r="C44" s="884" t="s">
        <v>1014</v>
      </c>
      <c r="D44" s="133">
        <f>1134213-1097604</f>
        <v>36609</v>
      </c>
      <c r="E44" s="694">
        <v>207467</v>
      </c>
      <c r="F44" s="265">
        <f>90%*F60</f>
        <v>18193.99725</v>
      </c>
      <c r="G44" s="265">
        <f t="shared" ref="G44:AH44" si="48">F44*(1+GlobalInflation)</f>
        <v>18557.877195000001</v>
      </c>
      <c r="H44" s="265">
        <f t="shared" si="48"/>
        <v>18929.034738900002</v>
      </c>
      <c r="I44" s="265">
        <f t="shared" si="48"/>
        <v>19307.615433678002</v>
      </c>
      <c r="J44" s="265">
        <f t="shared" si="48"/>
        <v>19693.767742351563</v>
      </c>
      <c r="K44" s="265">
        <f t="shared" si="48"/>
        <v>20087.643097198594</v>
      </c>
      <c r="L44" s="265">
        <f t="shared" si="48"/>
        <v>20489.395959142566</v>
      </c>
      <c r="M44" s="265">
        <f t="shared" si="48"/>
        <v>20899.183878325417</v>
      </c>
      <c r="N44" s="265">
        <f t="shared" si="48"/>
        <v>21317.167555891927</v>
      </c>
      <c r="O44" s="265">
        <f t="shared" si="48"/>
        <v>21743.510907009764</v>
      </c>
      <c r="P44" s="265">
        <f t="shared" si="48"/>
        <v>22178.381125149961</v>
      </c>
      <c r="Q44" s="265">
        <f t="shared" si="48"/>
        <v>22621.948747652961</v>
      </c>
      <c r="R44" s="265">
        <f t="shared" si="48"/>
        <v>23074.387722606021</v>
      </c>
      <c r="S44" s="265">
        <f t="shared" si="48"/>
        <v>23535.875477058144</v>
      </c>
      <c r="T44" s="265">
        <f t="shared" si="48"/>
        <v>24006.592986599306</v>
      </c>
      <c r="U44" s="265">
        <f t="shared" si="48"/>
        <v>24486.724846331294</v>
      </c>
      <c r="V44" s="265">
        <f t="shared" si="48"/>
        <v>24976.45934325792</v>
      </c>
      <c r="W44" s="265">
        <f t="shared" si="48"/>
        <v>25475.988530123079</v>
      </c>
      <c r="X44" s="265">
        <f t="shared" si="48"/>
        <v>25985.508300725542</v>
      </c>
      <c r="Y44" s="265">
        <f t="shared" si="48"/>
        <v>26505.218466740054</v>
      </c>
      <c r="Z44" s="265">
        <f t="shared" si="48"/>
        <v>27035.322836074854</v>
      </c>
      <c r="AA44" s="265">
        <f t="shared" si="48"/>
        <v>27576.029292796353</v>
      </c>
      <c r="AB44" s="265">
        <f t="shared" si="48"/>
        <v>28127.54987865228</v>
      </c>
      <c r="AC44" s="265">
        <f t="shared" si="48"/>
        <v>28690.100876225326</v>
      </c>
      <c r="AD44" s="265">
        <f t="shared" si="48"/>
        <v>29263.902893749833</v>
      </c>
      <c r="AE44" s="265">
        <f t="shared" si="48"/>
        <v>29849.180951624832</v>
      </c>
      <c r="AF44" s="265">
        <f t="shared" si="48"/>
        <v>30446.164570657329</v>
      </c>
      <c r="AG44" s="265">
        <f t="shared" si="48"/>
        <v>31055.087862070475</v>
      </c>
      <c r="AH44" s="265">
        <f t="shared" si="48"/>
        <v>31676.189619311885</v>
      </c>
      <c r="AI44" s="265">
        <f t="shared" ref="AI44:AI49" si="49">AH44*(1+GlobalInflation)</f>
        <v>32309.713411698121</v>
      </c>
      <c r="AJ44" s="265">
        <f t="shared" ref="AJ44:AJ49" si="50">AI44*(1+GlobalInflation)</f>
        <v>32955.907679932083</v>
      </c>
    </row>
    <row r="45" spans="1:36" x14ac:dyDescent="0.2">
      <c r="A45" s="524">
        <v>440100</v>
      </c>
      <c r="B45" s="456">
        <f t="shared" si="47"/>
        <v>0</v>
      </c>
      <c r="C45" s="503" t="s">
        <v>164</v>
      </c>
      <c r="D45" s="133">
        <v>0</v>
      </c>
      <c r="E45" s="266"/>
      <c r="F45" s="265">
        <f t="shared" ref="F45:F47" si="51">D45/12</f>
        <v>0</v>
      </c>
      <c r="G45" s="265">
        <f t="shared" ref="G45:AH45" si="52">F45*(1+GlobalInflation)</f>
        <v>0</v>
      </c>
      <c r="H45" s="265">
        <f t="shared" si="52"/>
        <v>0</v>
      </c>
      <c r="I45" s="265">
        <f t="shared" si="52"/>
        <v>0</v>
      </c>
      <c r="J45" s="265">
        <f t="shared" si="52"/>
        <v>0</v>
      </c>
      <c r="K45" s="265">
        <f t="shared" si="52"/>
        <v>0</v>
      </c>
      <c r="L45" s="265">
        <f t="shared" si="52"/>
        <v>0</v>
      </c>
      <c r="M45" s="265">
        <f t="shared" si="52"/>
        <v>0</v>
      </c>
      <c r="N45" s="265">
        <f t="shared" si="52"/>
        <v>0</v>
      </c>
      <c r="O45" s="265">
        <f t="shared" si="52"/>
        <v>0</v>
      </c>
      <c r="P45" s="265">
        <f t="shared" si="52"/>
        <v>0</v>
      </c>
      <c r="Q45" s="265">
        <f t="shared" si="52"/>
        <v>0</v>
      </c>
      <c r="R45" s="265">
        <f t="shared" si="52"/>
        <v>0</v>
      </c>
      <c r="S45" s="265">
        <f t="shared" si="52"/>
        <v>0</v>
      </c>
      <c r="T45" s="265">
        <f t="shared" si="52"/>
        <v>0</v>
      </c>
      <c r="U45" s="265">
        <f t="shared" si="52"/>
        <v>0</v>
      </c>
      <c r="V45" s="265">
        <f t="shared" si="52"/>
        <v>0</v>
      </c>
      <c r="W45" s="265">
        <f t="shared" si="52"/>
        <v>0</v>
      </c>
      <c r="X45" s="265">
        <f t="shared" si="52"/>
        <v>0</v>
      </c>
      <c r="Y45" s="265">
        <f t="shared" si="52"/>
        <v>0</v>
      </c>
      <c r="Z45" s="265">
        <f t="shared" si="52"/>
        <v>0</v>
      </c>
      <c r="AA45" s="265">
        <f t="shared" si="52"/>
        <v>0</v>
      </c>
      <c r="AB45" s="265">
        <f t="shared" si="52"/>
        <v>0</v>
      </c>
      <c r="AC45" s="265">
        <f t="shared" si="52"/>
        <v>0</v>
      </c>
      <c r="AD45" s="265">
        <f t="shared" si="52"/>
        <v>0</v>
      </c>
      <c r="AE45" s="265">
        <f t="shared" si="52"/>
        <v>0</v>
      </c>
      <c r="AF45" s="265">
        <f t="shared" si="52"/>
        <v>0</v>
      </c>
      <c r="AG45" s="265">
        <f t="shared" si="52"/>
        <v>0</v>
      </c>
      <c r="AH45" s="265">
        <f t="shared" si="52"/>
        <v>0</v>
      </c>
      <c r="AI45" s="265">
        <f t="shared" si="49"/>
        <v>0</v>
      </c>
      <c r="AJ45" s="265">
        <f t="shared" si="50"/>
        <v>0</v>
      </c>
    </row>
    <row r="46" spans="1:36" ht="15" x14ac:dyDescent="0.25">
      <c r="A46" s="524">
        <v>440500</v>
      </c>
      <c r="B46" s="456">
        <f t="shared" si="47"/>
        <v>35941.623400000004</v>
      </c>
      <c r="C46" s="884" t="s">
        <v>165</v>
      </c>
      <c r="D46" s="133">
        <f>26.55*OccPadsNum*12</f>
        <v>35364.600000000006</v>
      </c>
      <c r="E46" s="694">
        <f t="shared" ref="E46:E47" si="53">+F46*12</f>
        <v>35941.623400000004</v>
      </c>
      <c r="F46" s="265">
        <f>0.97*F62</f>
        <v>2995.1352833333335</v>
      </c>
      <c r="G46" s="265">
        <f t="shared" ref="G46:AH46" si="54">F46*(1+GlobalInflation)</f>
        <v>3055.0379890000004</v>
      </c>
      <c r="H46" s="265">
        <f t="shared" si="54"/>
        <v>3116.1387487800002</v>
      </c>
      <c r="I46" s="265">
        <f t="shared" si="54"/>
        <v>3178.4615237556004</v>
      </c>
      <c r="J46" s="265">
        <f t="shared" si="54"/>
        <v>3242.0307542307123</v>
      </c>
      <c r="K46" s="265">
        <f t="shared" si="54"/>
        <v>3306.8713693153268</v>
      </c>
      <c r="L46" s="265">
        <f t="shared" si="54"/>
        <v>3373.0087967016334</v>
      </c>
      <c r="M46" s="265">
        <f t="shared" si="54"/>
        <v>3440.468972635666</v>
      </c>
      <c r="N46" s="265">
        <f t="shared" si="54"/>
        <v>3509.2783520883795</v>
      </c>
      <c r="O46" s="265">
        <f t="shared" si="54"/>
        <v>3579.4639191301471</v>
      </c>
      <c r="P46" s="265">
        <f t="shared" si="54"/>
        <v>3651.0531975127501</v>
      </c>
      <c r="Q46" s="265">
        <f t="shared" si="54"/>
        <v>3724.0742614630053</v>
      </c>
      <c r="R46" s="265">
        <f t="shared" si="54"/>
        <v>3798.5557466922655</v>
      </c>
      <c r="S46" s="265">
        <f t="shared" si="54"/>
        <v>3874.526861626111</v>
      </c>
      <c r="T46" s="265">
        <f t="shared" si="54"/>
        <v>3952.0173988586334</v>
      </c>
      <c r="U46" s="265">
        <f t="shared" si="54"/>
        <v>4031.057746835806</v>
      </c>
      <c r="V46" s="265">
        <f t="shared" si="54"/>
        <v>4111.6789017725223</v>
      </c>
      <c r="W46" s="265">
        <f t="shared" si="54"/>
        <v>4193.9124798079729</v>
      </c>
      <c r="X46" s="265">
        <f t="shared" si="54"/>
        <v>4277.7907294041324</v>
      </c>
      <c r="Y46" s="265">
        <f t="shared" si="54"/>
        <v>4363.3465439922147</v>
      </c>
      <c r="Z46" s="265">
        <f t="shared" si="54"/>
        <v>4450.6134748720588</v>
      </c>
      <c r="AA46" s="265">
        <f t="shared" si="54"/>
        <v>4539.6257443695004</v>
      </c>
      <c r="AB46" s="265">
        <f t="shared" si="54"/>
        <v>4630.4182592568905</v>
      </c>
      <c r="AC46" s="265">
        <f t="shared" si="54"/>
        <v>4723.0266244420282</v>
      </c>
      <c r="AD46" s="265">
        <f t="shared" si="54"/>
        <v>4817.4871569308689</v>
      </c>
      <c r="AE46" s="265">
        <f t="shared" si="54"/>
        <v>4913.8369000694865</v>
      </c>
      <c r="AF46" s="265">
        <f t="shared" si="54"/>
        <v>5012.1136380708767</v>
      </c>
      <c r="AG46" s="265">
        <f t="shared" si="54"/>
        <v>5112.3559108322943</v>
      </c>
      <c r="AH46" s="265">
        <f t="shared" si="54"/>
        <v>5214.6030290489407</v>
      </c>
      <c r="AI46" s="265">
        <f t="shared" si="49"/>
        <v>5318.8950896299193</v>
      </c>
      <c r="AJ46" s="265">
        <f t="shared" si="50"/>
        <v>5425.2729914225174</v>
      </c>
    </row>
    <row r="47" spans="1:36" x14ac:dyDescent="0.2">
      <c r="A47" s="524">
        <v>440300</v>
      </c>
      <c r="B47" s="456">
        <f t="shared" si="47"/>
        <v>86580</v>
      </c>
      <c r="C47" s="503" t="s">
        <v>166</v>
      </c>
      <c r="D47" s="133">
        <f>65*OccPadsNum*12</f>
        <v>86580</v>
      </c>
      <c r="E47" s="694">
        <f t="shared" si="53"/>
        <v>86580</v>
      </c>
      <c r="F47" s="265">
        <f t="shared" si="51"/>
        <v>7215</v>
      </c>
      <c r="G47" s="265">
        <f t="shared" ref="G47:AH47" si="55">F47*(1+GlobalInflation)</f>
        <v>7359.3</v>
      </c>
      <c r="H47" s="265">
        <f t="shared" si="55"/>
        <v>7506.4859999999999</v>
      </c>
      <c r="I47" s="265">
        <f t="shared" si="55"/>
        <v>7656.6157199999998</v>
      </c>
      <c r="J47" s="265">
        <f t="shared" si="55"/>
        <v>7809.7480343999996</v>
      </c>
      <c r="K47" s="265">
        <f t="shared" si="55"/>
        <v>7965.9429950879994</v>
      </c>
      <c r="L47" s="265">
        <f t="shared" si="55"/>
        <v>8125.2618549897597</v>
      </c>
      <c r="M47" s="265">
        <f t="shared" si="55"/>
        <v>8287.7670920895544</v>
      </c>
      <c r="N47" s="265">
        <f t="shared" si="55"/>
        <v>8453.5224339313463</v>
      </c>
      <c r="O47" s="265">
        <f t="shared" si="55"/>
        <v>8622.5928826099735</v>
      </c>
      <c r="P47" s="265">
        <f t="shared" si="55"/>
        <v>8795.0447402621739</v>
      </c>
      <c r="Q47" s="265">
        <f t="shared" si="55"/>
        <v>8970.9456350674172</v>
      </c>
      <c r="R47" s="265">
        <f t="shared" si="55"/>
        <v>9150.364547768766</v>
      </c>
      <c r="S47" s="265">
        <f t="shared" si="55"/>
        <v>9333.3718387241406</v>
      </c>
      <c r="T47" s="265">
        <f t="shared" si="55"/>
        <v>9520.0392754986242</v>
      </c>
      <c r="U47" s="265">
        <f t="shared" si="55"/>
        <v>9710.4400610085977</v>
      </c>
      <c r="V47" s="265">
        <f t="shared" si="55"/>
        <v>9904.6488622287707</v>
      </c>
      <c r="W47" s="265">
        <f t="shared" si="55"/>
        <v>10102.741839473347</v>
      </c>
      <c r="X47" s="265">
        <f t="shared" si="55"/>
        <v>10304.796676262813</v>
      </c>
      <c r="Y47" s="265">
        <f t="shared" si="55"/>
        <v>10510.89260978807</v>
      </c>
      <c r="Z47" s="265">
        <f t="shared" si="55"/>
        <v>10721.110461983832</v>
      </c>
      <c r="AA47" s="265">
        <f t="shared" si="55"/>
        <v>10935.532671223509</v>
      </c>
      <c r="AB47" s="265">
        <f t="shared" si="55"/>
        <v>11154.24332464798</v>
      </c>
      <c r="AC47" s="265">
        <f t="shared" si="55"/>
        <v>11377.328191140939</v>
      </c>
      <c r="AD47" s="265">
        <f t="shared" si="55"/>
        <v>11604.874754963759</v>
      </c>
      <c r="AE47" s="265">
        <f t="shared" si="55"/>
        <v>11836.972250063034</v>
      </c>
      <c r="AF47" s="265">
        <f t="shared" si="55"/>
        <v>12073.711695064296</v>
      </c>
      <c r="AG47" s="265">
        <f t="shared" si="55"/>
        <v>12315.185928965582</v>
      </c>
      <c r="AH47" s="265">
        <f t="shared" si="55"/>
        <v>12561.489647544895</v>
      </c>
      <c r="AI47" s="265">
        <f t="shared" si="49"/>
        <v>12812.719440495794</v>
      </c>
      <c r="AJ47" s="265">
        <f t="shared" si="50"/>
        <v>13068.973829305709</v>
      </c>
    </row>
    <row r="48" spans="1:36" ht="15" x14ac:dyDescent="0.25">
      <c r="A48" s="524">
        <v>440200</v>
      </c>
      <c r="B48" s="456">
        <f t="shared" si="47"/>
        <v>41423.799999999996</v>
      </c>
      <c r="C48" s="884" t="s">
        <v>666</v>
      </c>
      <c r="D48" s="133">
        <f>45*OccPadsNum*12</f>
        <v>59940</v>
      </c>
      <c r="E48" s="694">
        <f>+F48*12</f>
        <v>41423.799999999996</v>
      </c>
      <c r="F48" s="265">
        <f>95%*F64</f>
        <v>3451.9833333333331</v>
      </c>
      <c r="G48" s="265">
        <f t="shared" ref="G48:AH48" si="56">F48*(1+GlobalInflation)</f>
        <v>3521.0229999999997</v>
      </c>
      <c r="H48" s="265">
        <f t="shared" si="56"/>
        <v>3591.44346</v>
      </c>
      <c r="I48" s="265">
        <f t="shared" si="56"/>
        <v>3663.2723292000001</v>
      </c>
      <c r="J48" s="265">
        <f t="shared" si="56"/>
        <v>3736.5377757840001</v>
      </c>
      <c r="K48" s="265">
        <f t="shared" si="56"/>
        <v>3811.26853129968</v>
      </c>
      <c r="L48" s="265">
        <f t="shared" si="56"/>
        <v>3887.4939019256735</v>
      </c>
      <c r="M48" s="265">
        <f t="shared" si="56"/>
        <v>3965.2437799641871</v>
      </c>
      <c r="N48" s="265">
        <f t="shared" si="56"/>
        <v>4044.5486555634707</v>
      </c>
      <c r="O48" s="265">
        <f t="shared" si="56"/>
        <v>4125.4396286747406</v>
      </c>
      <c r="P48" s="265">
        <f t="shared" si="56"/>
        <v>4207.9484212482357</v>
      </c>
      <c r="Q48" s="265">
        <f t="shared" si="56"/>
        <v>4292.1073896732005</v>
      </c>
      <c r="R48" s="265">
        <f t="shared" si="56"/>
        <v>4377.9495374666649</v>
      </c>
      <c r="S48" s="265">
        <f t="shared" si="56"/>
        <v>4465.508528215998</v>
      </c>
      <c r="T48" s="265">
        <f t="shared" si="56"/>
        <v>4554.8186987803183</v>
      </c>
      <c r="U48" s="265">
        <f t="shared" si="56"/>
        <v>4645.9150727559245</v>
      </c>
      <c r="V48" s="265">
        <f t="shared" si="56"/>
        <v>4738.8333742110426</v>
      </c>
      <c r="W48" s="265">
        <f t="shared" si="56"/>
        <v>4833.6100416952631</v>
      </c>
      <c r="X48" s="265">
        <f t="shared" si="56"/>
        <v>4930.2822425291688</v>
      </c>
      <c r="Y48" s="265">
        <f t="shared" si="56"/>
        <v>5028.8878873797521</v>
      </c>
      <c r="Z48" s="265">
        <f t="shared" si="56"/>
        <v>5129.4656451273477</v>
      </c>
      <c r="AA48" s="265">
        <f t="shared" si="56"/>
        <v>5232.0549580298948</v>
      </c>
      <c r="AB48" s="265">
        <f t="shared" si="56"/>
        <v>5336.6960571904929</v>
      </c>
      <c r="AC48" s="265">
        <f t="shared" si="56"/>
        <v>5443.4299783343031</v>
      </c>
      <c r="AD48" s="265">
        <f t="shared" si="56"/>
        <v>5552.2985779009896</v>
      </c>
      <c r="AE48" s="265">
        <f t="shared" si="56"/>
        <v>5663.3445494590096</v>
      </c>
      <c r="AF48" s="265">
        <f t="shared" si="56"/>
        <v>5776.6114404481896</v>
      </c>
      <c r="AG48" s="265">
        <f t="shared" si="56"/>
        <v>5892.1436692571533</v>
      </c>
      <c r="AH48" s="265">
        <f t="shared" si="56"/>
        <v>6009.9865426422966</v>
      </c>
      <c r="AI48" s="265">
        <f t="shared" si="49"/>
        <v>6130.1862734951428</v>
      </c>
      <c r="AJ48" s="265">
        <f t="shared" si="50"/>
        <v>6252.7899989650459</v>
      </c>
    </row>
    <row r="49" spans="1:42" x14ac:dyDescent="0.2">
      <c r="A49" s="524">
        <v>499900</v>
      </c>
      <c r="B49" s="456">
        <f t="shared" si="47"/>
        <v>14400</v>
      </c>
      <c r="C49" s="503" t="s">
        <v>167</v>
      </c>
      <c r="D49" s="696">
        <v>5372</v>
      </c>
      <c r="E49" s="694">
        <f>(1200*12)</f>
        <v>14400</v>
      </c>
      <c r="F49" s="693">
        <f>E49/12</f>
        <v>1200</v>
      </c>
      <c r="G49" s="693">
        <f t="shared" ref="G49:AH49" si="57">F49*(1+GlobalInflation)</f>
        <v>1224</v>
      </c>
      <c r="H49" s="693">
        <f t="shared" si="57"/>
        <v>1248.48</v>
      </c>
      <c r="I49" s="693">
        <f t="shared" si="57"/>
        <v>1273.4496000000001</v>
      </c>
      <c r="J49" s="693">
        <f t="shared" si="57"/>
        <v>1298.9185920000002</v>
      </c>
      <c r="K49" s="693">
        <f t="shared" si="57"/>
        <v>1324.8969638400004</v>
      </c>
      <c r="L49" s="693">
        <f t="shared" si="57"/>
        <v>1351.3949031168004</v>
      </c>
      <c r="M49" s="693">
        <f t="shared" si="57"/>
        <v>1378.4228011791365</v>
      </c>
      <c r="N49" s="693">
        <f t="shared" si="57"/>
        <v>1405.9912572027192</v>
      </c>
      <c r="O49" s="693">
        <f t="shared" si="57"/>
        <v>1434.1110823467736</v>
      </c>
      <c r="P49" s="693">
        <f t="shared" si="57"/>
        <v>1462.7933039937091</v>
      </c>
      <c r="Q49" s="693">
        <f t="shared" si="57"/>
        <v>1492.0491700735834</v>
      </c>
      <c r="R49" s="693">
        <f t="shared" si="57"/>
        <v>1521.8901534750551</v>
      </c>
      <c r="S49" s="693">
        <f t="shared" si="57"/>
        <v>1552.3279565445562</v>
      </c>
      <c r="T49" s="693">
        <f t="shared" si="57"/>
        <v>1583.3745156754474</v>
      </c>
      <c r="U49" s="693">
        <f t="shared" si="57"/>
        <v>1615.0420059889564</v>
      </c>
      <c r="V49" s="693">
        <f t="shared" si="57"/>
        <v>1647.3428461087356</v>
      </c>
      <c r="W49" s="693">
        <f t="shared" si="57"/>
        <v>1680.2897030309102</v>
      </c>
      <c r="X49" s="693">
        <f t="shared" si="57"/>
        <v>1713.8954970915286</v>
      </c>
      <c r="Y49" s="693">
        <f t="shared" si="57"/>
        <v>1748.1734070333591</v>
      </c>
      <c r="Z49" s="693">
        <f t="shared" si="57"/>
        <v>1783.1368751740263</v>
      </c>
      <c r="AA49" s="693">
        <f t="shared" si="57"/>
        <v>1818.7996126775067</v>
      </c>
      <c r="AB49" s="693">
        <f t="shared" si="57"/>
        <v>1855.1756049310568</v>
      </c>
      <c r="AC49" s="693">
        <f t="shared" si="57"/>
        <v>1892.279117029678</v>
      </c>
      <c r="AD49" s="693">
        <f t="shared" si="57"/>
        <v>1930.1246993702716</v>
      </c>
      <c r="AE49" s="693">
        <f t="shared" si="57"/>
        <v>1968.7271933576772</v>
      </c>
      <c r="AF49" s="693">
        <f t="shared" si="57"/>
        <v>2008.1017372248307</v>
      </c>
      <c r="AG49" s="693">
        <f t="shared" si="57"/>
        <v>2048.2637719693275</v>
      </c>
      <c r="AH49" s="693">
        <f t="shared" si="57"/>
        <v>2089.229047408714</v>
      </c>
      <c r="AI49" s="693">
        <f t="shared" si="49"/>
        <v>2131.0136283568881</v>
      </c>
      <c r="AJ49" s="693">
        <f t="shared" si="50"/>
        <v>2173.633900924026</v>
      </c>
      <c r="AK49" s="500"/>
      <c r="AL49" s="500"/>
      <c r="AM49" s="500"/>
      <c r="AN49" s="500"/>
      <c r="AO49" s="500"/>
      <c r="AP49" s="500"/>
    </row>
    <row r="50" spans="1:42" x14ac:dyDescent="0.2">
      <c r="A50" s="524">
        <v>499900</v>
      </c>
      <c r="B50" s="457">
        <f t="shared" ref="B50" si="58">(F50*12)</f>
        <v>22500</v>
      </c>
      <c r="C50" s="503" t="s">
        <v>168</v>
      </c>
      <c r="D50" s="137">
        <v>22500</v>
      </c>
      <c r="E50" s="267">
        <v>0.03</v>
      </c>
      <c r="F50" s="265">
        <f t="shared" ref="F50" si="59">D50/12</f>
        <v>1875</v>
      </c>
      <c r="G50" s="265">
        <f>F50*(1+$E$50)</f>
        <v>1931.25</v>
      </c>
      <c r="H50" s="265">
        <f t="shared" ref="H50:AJ50" si="60">G50*(1+$E$50)</f>
        <v>1989.1875</v>
      </c>
      <c r="I50" s="265">
        <f t="shared" si="60"/>
        <v>2048.8631249999999</v>
      </c>
      <c r="J50" s="265">
        <f t="shared" si="60"/>
        <v>2110.3290187499997</v>
      </c>
      <c r="K50" s="265">
        <f t="shared" si="60"/>
        <v>2173.6388893124999</v>
      </c>
      <c r="L50" s="265">
        <f t="shared" si="60"/>
        <v>2238.8480559918748</v>
      </c>
      <c r="M50" s="265">
        <f t="shared" si="60"/>
        <v>2306.0134976716313</v>
      </c>
      <c r="N50" s="265">
        <f t="shared" si="60"/>
        <v>2375.1939026017803</v>
      </c>
      <c r="O50" s="265">
        <f t="shared" si="60"/>
        <v>2446.4497196798338</v>
      </c>
      <c r="P50" s="265">
        <f t="shared" si="60"/>
        <v>2519.8432112702289</v>
      </c>
      <c r="Q50" s="265">
        <f t="shared" si="60"/>
        <v>2595.4385076083358</v>
      </c>
      <c r="R50" s="265">
        <f t="shared" si="60"/>
        <v>2673.3016628365858</v>
      </c>
      <c r="S50" s="265">
        <f t="shared" si="60"/>
        <v>2753.5007127216836</v>
      </c>
      <c r="T50" s="265">
        <f t="shared" si="60"/>
        <v>2836.1057341033343</v>
      </c>
      <c r="U50" s="265">
        <f t="shared" si="60"/>
        <v>2921.1889061264342</v>
      </c>
      <c r="V50" s="265">
        <f t="shared" si="60"/>
        <v>3008.8245733102272</v>
      </c>
      <c r="W50" s="265">
        <f t="shared" si="60"/>
        <v>3099.0893105095342</v>
      </c>
      <c r="X50" s="265">
        <f t="shared" si="60"/>
        <v>3192.0619898248206</v>
      </c>
      <c r="Y50" s="265">
        <f t="shared" si="60"/>
        <v>3287.8238495195651</v>
      </c>
      <c r="Z50" s="265">
        <f t="shared" si="60"/>
        <v>3386.4585650051522</v>
      </c>
      <c r="AA50" s="265">
        <f t="shared" si="60"/>
        <v>3488.052321955307</v>
      </c>
      <c r="AB50" s="265">
        <f t="shared" si="60"/>
        <v>3592.6938916139661</v>
      </c>
      <c r="AC50" s="265">
        <f t="shared" si="60"/>
        <v>3700.4747083623852</v>
      </c>
      <c r="AD50" s="265">
        <f t="shared" si="60"/>
        <v>3811.4889496132569</v>
      </c>
      <c r="AE50" s="265">
        <f t="shared" si="60"/>
        <v>3925.8336181016548</v>
      </c>
      <c r="AF50" s="265">
        <f t="shared" si="60"/>
        <v>4043.6086266447046</v>
      </c>
      <c r="AG50" s="265">
        <f t="shared" si="60"/>
        <v>4164.9168854440459</v>
      </c>
      <c r="AH50" s="265">
        <f t="shared" si="60"/>
        <v>4289.8643920073673</v>
      </c>
      <c r="AI50" s="265">
        <f t="shared" si="60"/>
        <v>4418.5603237675887</v>
      </c>
      <c r="AJ50" s="265">
        <f t="shared" si="60"/>
        <v>4551.1171334806168</v>
      </c>
      <c r="AK50" s="500"/>
      <c r="AL50" s="500"/>
      <c r="AM50" s="500"/>
      <c r="AN50" s="500"/>
      <c r="AO50" s="500"/>
      <c r="AP50" s="500"/>
    </row>
    <row r="51" spans="1:42" x14ac:dyDescent="0.2">
      <c r="A51" s="500"/>
      <c r="B51" s="456">
        <f t="shared" si="47"/>
        <v>419173.39040000003</v>
      </c>
      <c r="C51" s="837" t="s">
        <v>169</v>
      </c>
      <c r="D51" s="138">
        <f>SUM(D44:D49)</f>
        <v>223865.60000000001</v>
      </c>
      <c r="E51" s="704">
        <f>F51*12</f>
        <v>419173.39040000003</v>
      </c>
      <c r="F51" s="705">
        <f>SUM(F44:F50)</f>
        <v>34931.115866666667</v>
      </c>
      <c r="G51" s="705">
        <f t="shared" ref="G51:AJ51" si="61">SUM(G44:G50)</f>
        <v>35648.488184000002</v>
      </c>
      <c r="H51" s="705">
        <f t="shared" si="61"/>
        <v>36380.770447680006</v>
      </c>
      <c r="I51" s="705">
        <f t="shared" si="61"/>
        <v>37128.2777316336</v>
      </c>
      <c r="J51" s="705">
        <f t="shared" si="61"/>
        <v>37891.331917516283</v>
      </c>
      <c r="K51" s="705">
        <f t="shared" si="61"/>
        <v>38670.261846054098</v>
      </c>
      <c r="L51" s="705">
        <f t="shared" si="61"/>
        <v>39465.403471868311</v>
      </c>
      <c r="M51" s="705">
        <f t="shared" si="61"/>
        <v>40277.10002186559</v>
      </c>
      <c r="N51" s="705">
        <f t="shared" si="61"/>
        <v>41105.702157279615</v>
      </c>
      <c r="O51" s="705">
        <f t="shared" si="61"/>
        <v>41951.568139451236</v>
      </c>
      <c r="P51" s="705">
        <f t="shared" si="61"/>
        <v>42815.063999437058</v>
      </c>
      <c r="Q51" s="705">
        <f t="shared" si="61"/>
        <v>43696.563711538496</v>
      </c>
      <c r="R51" s="705">
        <f t="shared" si="61"/>
        <v>44596.449370845359</v>
      </c>
      <c r="S51" s="705">
        <f t="shared" si="61"/>
        <v>45515.111374890628</v>
      </c>
      <c r="T51" s="705">
        <f t="shared" si="61"/>
        <v>46452.948609515668</v>
      </c>
      <c r="U51" s="705">
        <f t="shared" si="61"/>
        <v>47410.368639047017</v>
      </c>
      <c r="V51" s="705">
        <f t="shared" si="61"/>
        <v>48387.787900889227</v>
      </c>
      <c r="W51" s="705">
        <f t="shared" si="61"/>
        <v>49385.631904640097</v>
      </c>
      <c r="X51" s="705">
        <f t="shared" si="61"/>
        <v>50404.335435838002</v>
      </c>
      <c r="Y51" s="705">
        <f t="shared" si="61"/>
        <v>51444.342764453017</v>
      </c>
      <c r="Z51" s="705">
        <f t="shared" si="61"/>
        <v>52506.107858237265</v>
      </c>
      <c r="AA51" s="705">
        <f t="shared" si="61"/>
        <v>53590.094601052071</v>
      </c>
      <c r="AB51" s="705">
        <f t="shared" si="61"/>
        <v>54696.777016292661</v>
      </c>
      <c r="AC51" s="705">
        <f t="shared" si="61"/>
        <v>55826.639495534662</v>
      </c>
      <c r="AD51" s="705">
        <f t="shared" si="61"/>
        <v>56980.177032528984</v>
      </c>
      <c r="AE51" s="705">
        <f t="shared" si="61"/>
        <v>58157.895462675704</v>
      </c>
      <c r="AF51" s="705">
        <f t="shared" si="61"/>
        <v>59360.311708110225</v>
      </c>
      <c r="AG51" s="705">
        <f t="shared" si="61"/>
        <v>60587.954028538879</v>
      </c>
      <c r="AH51" s="705">
        <f t="shared" si="61"/>
        <v>61841.362277964101</v>
      </c>
      <c r="AI51" s="705">
        <f t="shared" si="61"/>
        <v>63121.088167443449</v>
      </c>
      <c r="AJ51" s="705">
        <f t="shared" si="61"/>
        <v>64427.695534030005</v>
      </c>
      <c r="AK51" s="500"/>
      <c r="AL51" s="500"/>
      <c r="AM51" s="500"/>
      <c r="AN51" s="500"/>
      <c r="AO51" s="500"/>
      <c r="AP51" s="500"/>
    </row>
    <row r="52" spans="1:42" x14ac:dyDescent="0.2">
      <c r="A52" s="524">
        <v>423100</v>
      </c>
      <c r="B52" s="456">
        <f t="shared" si="47"/>
        <v>0</v>
      </c>
      <c r="C52" s="520" t="s">
        <v>170</v>
      </c>
      <c r="D52" s="133">
        <v>0</v>
      </c>
      <c r="E52" s="322"/>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500"/>
      <c r="AL52" s="500"/>
      <c r="AM52" s="500"/>
      <c r="AN52" s="500"/>
      <c r="AO52" s="500"/>
      <c r="AP52" s="500"/>
    </row>
    <row r="53" spans="1:42" x14ac:dyDescent="0.2">
      <c r="A53" s="500"/>
      <c r="C53" s="500"/>
      <c r="D53" s="133">
        <f>D51+D41+D52</f>
        <v>1121520.9200000002</v>
      </c>
      <c r="E53" s="324">
        <f>F54*12</f>
        <v>1439215.3903999999</v>
      </c>
      <c r="F53" s="321">
        <f t="shared" ref="F53:K53" si="62">F54*12</f>
        <v>1439215.3903999999</v>
      </c>
      <c r="G53" s="321">
        <f t="shared" si="62"/>
        <v>1545110.0182079999</v>
      </c>
      <c r="H53" s="321">
        <f t="shared" si="62"/>
        <v>1620735.54297216</v>
      </c>
      <c r="I53" s="321">
        <f t="shared" si="62"/>
        <v>1700545.9941556035</v>
      </c>
      <c r="J53" s="321">
        <f t="shared" si="62"/>
        <v>1772343.9781333955</v>
      </c>
      <c r="K53" s="321">
        <f t="shared" si="62"/>
        <v>1834397.0570807776</v>
      </c>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500"/>
      <c r="AL53" s="500"/>
      <c r="AM53" s="500"/>
      <c r="AN53" s="500"/>
      <c r="AO53" s="500"/>
      <c r="AP53" s="500"/>
    </row>
    <row r="54" spans="1:42" ht="13.5" thickBot="1" x14ac:dyDescent="0.25">
      <c r="A54" s="500"/>
      <c r="B54" s="588">
        <f t="shared" si="47"/>
        <v>1439215.3903999999</v>
      </c>
      <c r="C54" s="575" t="s">
        <v>171</v>
      </c>
      <c r="D54" s="589">
        <f>D53/12</f>
        <v>93460.076666666675</v>
      </c>
      <c r="E54" s="586">
        <f>E53/12</f>
        <v>119934.61586666666</v>
      </c>
      <c r="F54" s="587">
        <f t="shared" ref="F54:AH54" si="63">F41+SUM(F51:F52)</f>
        <v>119934.61586666666</v>
      </c>
      <c r="G54" s="587">
        <f t="shared" si="63"/>
        <v>128759.16818399999</v>
      </c>
      <c r="H54" s="587">
        <f t="shared" si="63"/>
        <v>135061.29524768001</v>
      </c>
      <c r="I54" s="587">
        <f t="shared" si="63"/>
        <v>141712.16617963361</v>
      </c>
      <c r="J54" s="587">
        <f t="shared" si="63"/>
        <v>147695.3315111163</v>
      </c>
      <c r="K54" s="587">
        <f t="shared" si="63"/>
        <v>152866.42142339813</v>
      </c>
      <c r="L54" s="587">
        <f t="shared" si="63"/>
        <v>158229.40943230607</v>
      </c>
      <c r="M54" s="587">
        <f t="shared" si="63"/>
        <v>163791.66622072089</v>
      </c>
      <c r="N54" s="587">
        <f t="shared" si="63"/>
        <v>169560.85100408914</v>
      </c>
      <c r="O54" s="587">
        <f t="shared" si="63"/>
        <v>175544.92294013314</v>
      </c>
      <c r="P54" s="587">
        <f t="shared" si="63"/>
        <v>181752.15299214624</v>
      </c>
      <c r="Q54" s="587">
        <f t="shared" si="63"/>
        <v>188191.13626395605</v>
      </c>
      <c r="R54" s="587">
        <f t="shared" si="63"/>
        <v>194870.80482535964</v>
      </c>
      <c r="S54" s="587">
        <f t="shared" si="63"/>
        <v>201800.44104758548</v>
      </c>
      <c r="T54" s="587">
        <f t="shared" si="63"/>
        <v>208989.69146911832</v>
      </c>
      <c r="U54" s="587">
        <f t="shared" si="63"/>
        <v>216448.58121303379</v>
      </c>
      <c r="V54" s="587">
        <f t="shared" si="63"/>
        <v>224187.52897783546</v>
      </c>
      <c r="W54" s="587">
        <f t="shared" si="63"/>
        <v>232217.36262466421</v>
      </c>
      <c r="X54" s="587">
        <f t="shared" si="63"/>
        <v>240549.33538466305</v>
      </c>
      <c r="Y54" s="587">
        <f t="shared" si="63"/>
        <v>249195.14271123114</v>
      </c>
      <c r="Z54" s="587">
        <f t="shared" si="63"/>
        <v>258166.93980288648</v>
      </c>
      <c r="AA54" s="587">
        <f t="shared" si="63"/>
        <v>267477.35982348723</v>
      </c>
      <c r="AB54" s="587">
        <f t="shared" si="63"/>
        <v>277139.53284762526</v>
      </c>
      <c r="AC54" s="587">
        <f t="shared" si="63"/>
        <v>287167.1055601206</v>
      </c>
      <c r="AD54" s="587">
        <f t="shared" si="63"/>
        <v>297574.26173969836</v>
      </c>
      <c r="AE54" s="587">
        <f t="shared" si="63"/>
        <v>308375.74355813186</v>
      </c>
      <c r="AF54" s="587">
        <f t="shared" si="63"/>
        <v>319586.87372738466</v>
      </c>
      <c r="AG54" s="587">
        <f t="shared" si="63"/>
        <v>331223.57852858439</v>
      </c>
      <c r="AH54" s="587">
        <f t="shared" si="63"/>
        <v>343302.41175801132</v>
      </c>
      <c r="AI54" s="587">
        <f t="shared" ref="AI54:AJ54" si="64">AI41+SUM(AI51:AI52)</f>
        <v>355840.57962669263</v>
      </c>
      <c r="AJ54" s="587">
        <f t="shared" si="64"/>
        <v>368855.96665164921</v>
      </c>
      <c r="AK54" s="500"/>
      <c r="AL54" s="500"/>
      <c r="AM54" s="500"/>
      <c r="AN54" s="500"/>
      <c r="AO54" s="500"/>
      <c r="AP54" s="500"/>
    </row>
    <row r="55" spans="1:42" ht="13.5" thickTop="1" x14ac:dyDescent="0.2">
      <c r="A55" s="500"/>
      <c r="C55" s="14"/>
      <c r="D55" s="313" t="s">
        <v>172</v>
      </c>
      <c r="E55" s="536"/>
      <c r="F55" s="838"/>
      <c r="G55" s="838"/>
      <c r="H55" s="839"/>
      <c r="I55" s="839"/>
      <c r="J55" s="839"/>
      <c r="K55" s="839"/>
      <c r="L55" s="839"/>
      <c r="M55" s="500"/>
      <c r="N55" s="840"/>
      <c r="O55" s="840"/>
      <c r="P55" s="841"/>
      <c r="Q55" s="841"/>
      <c r="R55" s="841"/>
      <c r="S55" s="841"/>
      <c r="T55" s="841"/>
      <c r="U55" s="500"/>
      <c r="V55" s="500"/>
      <c r="W55" s="500"/>
      <c r="X55" s="500"/>
      <c r="Y55" s="500"/>
      <c r="Z55" s="500"/>
      <c r="AA55" s="500"/>
      <c r="AB55" s="500"/>
      <c r="AC55" s="500"/>
      <c r="AD55" s="500"/>
      <c r="AE55" s="500"/>
      <c r="AF55" s="500"/>
      <c r="AG55" s="500"/>
      <c r="AH55" s="500"/>
      <c r="AI55" s="500"/>
      <c r="AJ55" s="500"/>
      <c r="AK55" s="500"/>
      <c r="AL55" s="500"/>
      <c r="AM55" s="500"/>
      <c r="AN55" s="500"/>
      <c r="AO55" s="500"/>
      <c r="AP55" s="500"/>
    </row>
    <row r="56" spans="1:42" ht="15" x14ac:dyDescent="0.35">
      <c r="A56" s="500"/>
      <c r="B56" s="463" t="s">
        <v>173</v>
      </c>
      <c r="C56" s="11" t="s">
        <v>174</v>
      </c>
      <c r="D56" s="312">
        <f>N4</f>
        <v>2024</v>
      </c>
      <c r="E56" s="323" t="s">
        <v>163</v>
      </c>
      <c r="F56" s="460"/>
      <c r="G56" s="460"/>
      <c r="H56" s="460"/>
      <c r="I56" s="460"/>
      <c r="J56" s="460"/>
      <c r="K56" s="460"/>
      <c r="L56" s="460"/>
      <c r="M56" s="500"/>
      <c r="N56" s="460"/>
      <c r="O56" s="460"/>
      <c r="P56" s="460"/>
      <c r="Q56" s="460"/>
      <c r="R56" s="460"/>
      <c r="S56" s="460"/>
      <c r="T56" s="695"/>
      <c r="U56" s="500"/>
      <c r="V56" s="500"/>
      <c r="W56" s="500"/>
      <c r="X56" s="500"/>
      <c r="Y56" s="500"/>
      <c r="Z56" s="500"/>
      <c r="AA56" s="500"/>
      <c r="AB56" s="500"/>
      <c r="AC56" s="500"/>
      <c r="AD56" s="500"/>
      <c r="AE56" s="500"/>
      <c r="AF56" s="500"/>
      <c r="AG56" s="500"/>
      <c r="AH56" s="500"/>
      <c r="AI56" s="500"/>
      <c r="AJ56" s="500"/>
      <c r="AK56" s="500"/>
      <c r="AL56" s="500"/>
      <c r="AM56" s="500"/>
      <c r="AN56" s="500"/>
      <c r="AO56" s="500"/>
      <c r="AP56" s="500"/>
    </row>
    <row r="57" spans="1:42" x14ac:dyDescent="0.2">
      <c r="A57" s="524">
        <v>600100</v>
      </c>
      <c r="B57" s="456">
        <f t="shared" ref="B57:B81" si="65">E57/NoOfSpaces</f>
        <v>881.35593220338978</v>
      </c>
      <c r="C57" s="503" t="str">
        <f>IF(OtherFTE&gt;0,"Salary Exp ("&amp;TEXT(Notes!K39,"0.00")&amp;" FTE Mgr, "&amp;TEXT(Notes!K45,"0.00")&amp;" FTE Maint, "&amp;TEXT(Notes!K51,"0.00")&amp;" FTE Other)","Salary Exp ("&amp;TEXT(Notes!K39,"0.00")&amp;" FTE Mgr, "&amp;TEXT(Notes!K45,"0.00")&amp;" FTE Maintenance)")</f>
        <v>Salary Exp (0.75 FTE Mgr, 1.25 FTE Maintenance)</v>
      </c>
      <c r="D57" s="134">
        <f ca="1">OFFSET('IE SUMMARY'!D32,0,MoveCount)</f>
        <v>200380.14</v>
      </c>
      <c r="E57" s="265">
        <f>+Notes!I57*12</f>
        <v>104000</v>
      </c>
      <c r="F57" s="325">
        <f>(E57/12)+(30000/12)</f>
        <v>11166.666666666666</v>
      </c>
      <c r="G57" s="265">
        <f>E57/12</f>
        <v>8666.6666666666661</v>
      </c>
      <c r="H57" s="265">
        <f t="shared" ref="H57:AH57" si="66">G57*(1+GlobalInflation)</f>
        <v>8840</v>
      </c>
      <c r="I57" s="265">
        <f t="shared" si="66"/>
        <v>9016.7999999999993</v>
      </c>
      <c r="J57" s="265">
        <f t="shared" si="66"/>
        <v>9197.1359999999986</v>
      </c>
      <c r="K57" s="265">
        <f t="shared" si="66"/>
        <v>9381.0787199999995</v>
      </c>
      <c r="L57" s="265">
        <f t="shared" si="66"/>
        <v>9568.7002943999996</v>
      </c>
      <c r="M57" s="265">
        <f t="shared" si="66"/>
        <v>9760.074300287999</v>
      </c>
      <c r="N57" s="265">
        <f t="shared" si="66"/>
        <v>9955.2757862937597</v>
      </c>
      <c r="O57" s="265">
        <f t="shared" si="66"/>
        <v>10154.381302019636</v>
      </c>
      <c r="P57" s="265">
        <f t="shared" si="66"/>
        <v>10357.468928060029</v>
      </c>
      <c r="Q57" s="265">
        <f t="shared" si="66"/>
        <v>10564.618306621229</v>
      </c>
      <c r="R57" s="265">
        <f t="shared" si="66"/>
        <v>10775.910672753653</v>
      </c>
      <c r="S57" s="265">
        <f t="shared" si="66"/>
        <v>10991.428886208727</v>
      </c>
      <c r="T57" s="265">
        <f t="shared" si="66"/>
        <v>11211.257463932901</v>
      </c>
      <c r="U57" s="265">
        <f t="shared" si="66"/>
        <v>11435.48261321156</v>
      </c>
      <c r="V57" s="265">
        <f t="shared" si="66"/>
        <v>11664.192265475791</v>
      </c>
      <c r="W57" s="265">
        <f t="shared" si="66"/>
        <v>11897.476110785306</v>
      </c>
      <c r="X57" s="265">
        <f t="shared" si="66"/>
        <v>12135.425633001012</v>
      </c>
      <c r="Y57" s="265">
        <f t="shared" si="66"/>
        <v>12378.134145661032</v>
      </c>
      <c r="Z57" s="265">
        <f t="shared" si="66"/>
        <v>12625.696828574253</v>
      </c>
      <c r="AA57" s="265">
        <f t="shared" si="66"/>
        <v>12878.210765145739</v>
      </c>
      <c r="AB57" s="265">
        <f t="shared" si="66"/>
        <v>13135.774980448654</v>
      </c>
      <c r="AC57" s="265">
        <f t="shared" si="66"/>
        <v>13398.490480057628</v>
      </c>
      <c r="AD57" s="265">
        <f t="shared" si="66"/>
        <v>13666.46028965878</v>
      </c>
      <c r="AE57" s="265">
        <f t="shared" si="66"/>
        <v>13939.789495451956</v>
      </c>
      <c r="AF57" s="265">
        <f t="shared" si="66"/>
        <v>14218.585285360996</v>
      </c>
      <c r="AG57" s="265">
        <f t="shared" si="66"/>
        <v>14502.956991068217</v>
      </c>
      <c r="AH57" s="265">
        <f t="shared" si="66"/>
        <v>14793.01613088958</v>
      </c>
      <c r="AI57" s="265">
        <f t="shared" ref="AI57:AI79" si="67">AH57*(1+GlobalInflation)</f>
        <v>15088.876453507371</v>
      </c>
      <c r="AJ57" s="265">
        <f t="shared" ref="AJ57:AJ79" si="68">AI57*(1+GlobalInflation)</f>
        <v>15390.65398257752</v>
      </c>
      <c r="AK57" s="12"/>
      <c r="AL57" s="12"/>
      <c r="AM57" s="12"/>
      <c r="AN57" s="12"/>
      <c r="AO57" s="12"/>
      <c r="AP57" s="12"/>
    </row>
    <row r="58" spans="1:42" x14ac:dyDescent="0.2">
      <c r="A58" s="524">
        <v>610600</v>
      </c>
      <c r="B58" s="456">
        <f t="shared" si="65"/>
        <v>149.83050847457628</v>
      </c>
      <c r="C58" s="503" t="s">
        <v>175</v>
      </c>
      <c r="D58" s="134">
        <f ca="1">OFFSET('IE SUMMARY'!D33,0,MoveCount)</f>
        <v>9290.4700000000012</v>
      </c>
      <c r="E58" s="887">
        <f>E57*0.17</f>
        <v>17680</v>
      </c>
      <c r="F58" s="325">
        <f t="shared" ref="F58:F66" si="69">E58/12</f>
        <v>1473.3333333333333</v>
      </c>
      <c r="G58" s="265">
        <f t="shared" ref="G58:AH58" si="70">F58*(1+GlobalInflation)</f>
        <v>1502.8</v>
      </c>
      <c r="H58" s="265">
        <f t="shared" si="70"/>
        <v>1532.856</v>
      </c>
      <c r="I58" s="265">
        <f t="shared" si="70"/>
        <v>1563.5131200000001</v>
      </c>
      <c r="J58" s="265">
        <f t="shared" si="70"/>
        <v>1594.7833824000002</v>
      </c>
      <c r="K58" s="265">
        <f t="shared" si="70"/>
        <v>1626.6790500480001</v>
      </c>
      <c r="L58" s="265">
        <f t="shared" si="70"/>
        <v>1659.2126310489602</v>
      </c>
      <c r="M58" s="265">
        <f t="shared" si="70"/>
        <v>1692.3968836699394</v>
      </c>
      <c r="N58" s="265">
        <f t="shared" si="70"/>
        <v>1726.2448213433381</v>
      </c>
      <c r="O58" s="265">
        <f t="shared" si="70"/>
        <v>1760.7697177702048</v>
      </c>
      <c r="P58" s="265">
        <f t="shared" si="70"/>
        <v>1795.985112125609</v>
      </c>
      <c r="Q58" s="265">
        <f t="shared" si="70"/>
        <v>1831.9048143681212</v>
      </c>
      <c r="R58" s="265">
        <f t="shared" si="70"/>
        <v>1868.5429106554836</v>
      </c>
      <c r="S58" s="265">
        <f t="shared" si="70"/>
        <v>1905.9137688685933</v>
      </c>
      <c r="T58" s="265">
        <f t="shared" si="70"/>
        <v>1944.0320442459652</v>
      </c>
      <c r="U58" s="265">
        <f t="shared" si="70"/>
        <v>1982.9126851308845</v>
      </c>
      <c r="V58" s="265">
        <f t="shared" si="70"/>
        <v>2022.5709388335022</v>
      </c>
      <c r="W58" s="265">
        <f t="shared" si="70"/>
        <v>2063.0223576101721</v>
      </c>
      <c r="X58" s="265">
        <f t="shared" si="70"/>
        <v>2104.2828047623757</v>
      </c>
      <c r="Y58" s="265">
        <f t="shared" si="70"/>
        <v>2146.3684608576232</v>
      </c>
      <c r="Z58" s="265">
        <f t="shared" si="70"/>
        <v>2189.2958300747755</v>
      </c>
      <c r="AA58" s="265">
        <f t="shared" si="70"/>
        <v>2233.081746676271</v>
      </c>
      <c r="AB58" s="265">
        <f t="shared" si="70"/>
        <v>2277.7433816097964</v>
      </c>
      <c r="AC58" s="265">
        <f t="shared" si="70"/>
        <v>2323.2982492419924</v>
      </c>
      <c r="AD58" s="265">
        <f t="shared" si="70"/>
        <v>2369.7642142268323</v>
      </c>
      <c r="AE58" s="265">
        <f t="shared" si="70"/>
        <v>2417.1594985113688</v>
      </c>
      <c r="AF58" s="265">
        <f t="shared" si="70"/>
        <v>2465.5026884815961</v>
      </c>
      <c r="AG58" s="265">
        <f t="shared" si="70"/>
        <v>2514.812742251228</v>
      </c>
      <c r="AH58" s="265">
        <f t="shared" si="70"/>
        <v>2565.1089970962526</v>
      </c>
      <c r="AI58" s="265">
        <f t="shared" si="67"/>
        <v>2616.4111770381778</v>
      </c>
      <c r="AJ58" s="265">
        <f t="shared" si="68"/>
        <v>2668.7394005789415</v>
      </c>
      <c r="AK58" s="12"/>
      <c r="AL58" s="12"/>
      <c r="AM58" s="12"/>
      <c r="AN58" s="12"/>
      <c r="AO58" s="12"/>
      <c r="AP58" s="12"/>
    </row>
    <row r="59" spans="1:42" x14ac:dyDescent="0.2">
      <c r="A59" s="524">
        <v>610700</v>
      </c>
      <c r="B59" s="456">
        <f t="shared" si="65"/>
        <v>52.881355932203391</v>
      </c>
      <c r="C59" s="503" t="s">
        <v>176</v>
      </c>
      <c r="D59" s="134">
        <f ca="1">OFFSET('IE SUMMARY'!D34,0,MoveCount)</f>
        <v>0</v>
      </c>
      <c r="E59" s="887">
        <f>+E57*0.06</f>
        <v>6240</v>
      </c>
      <c r="F59" s="325">
        <f t="shared" si="69"/>
        <v>520</v>
      </c>
      <c r="G59" s="265">
        <f t="shared" ref="G59:AH59" si="71">F59*(1+GlobalInflation)</f>
        <v>530.4</v>
      </c>
      <c r="H59" s="265">
        <f t="shared" si="71"/>
        <v>541.00800000000004</v>
      </c>
      <c r="I59" s="265">
        <f t="shared" si="71"/>
        <v>551.82816000000003</v>
      </c>
      <c r="J59" s="265">
        <f t="shared" si="71"/>
        <v>562.86472320000007</v>
      </c>
      <c r="K59" s="265">
        <f t="shared" si="71"/>
        <v>574.12201766400005</v>
      </c>
      <c r="L59" s="265">
        <f t="shared" si="71"/>
        <v>585.60445801728008</v>
      </c>
      <c r="M59" s="265">
        <f t="shared" si="71"/>
        <v>597.31654717762569</v>
      </c>
      <c r="N59" s="265">
        <f t="shared" si="71"/>
        <v>609.26287812117823</v>
      </c>
      <c r="O59" s="265">
        <f t="shared" si="71"/>
        <v>621.44813568360178</v>
      </c>
      <c r="P59" s="265">
        <f t="shared" si="71"/>
        <v>633.87709839727381</v>
      </c>
      <c r="Q59" s="265">
        <f t="shared" si="71"/>
        <v>646.55464036521926</v>
      </c>
      <c r="R59" s="265">
        <f t="shared" si="71"/>
        <v>659.48573317252362</v>
      </c>
      <c r="S59" s="265">
        <f t="shared" si="71"/>
        <v>672.67544783597407</v>
      </c>
      <c r="T59" s="265">
        <f t="shared" si="71"/>
        <v>686.12895679269354</v>
      </c>
      <c r="U59" s="265">
        <f t="shared" si="71"/>
        <v>699.85153592854738</v>
      </c>
      <c r="V59" s="265">
        <f t="shared" si="71"/>
        <v>713.84856664711833</v>
      </c>
      <c r="W59" s="265">
        <f t="shared" si="71"/>
        <v>728.1255379800607</v>
      </c>
      <c r="X59" s="265">
        <f t="shared" si="71"/>
        <v>742.68804873966189</v>
      </c>
      <c r="Y59" s="265">
        <f t="shared" si="71"/>
        <v>757.5418097144551</v>
      </c>
      <c r="Z59" s="265">
        <f t="shared" si="71"/>
        <v>772.69264590874423</v>
      </c>
      <c r="AA59" s="265">
        <f t="shared" si="71"/>
        <v>788.14649882691913</v>
      </c>
      <c r="AB59" s="265">
        <f t="shared" si="71"/>
        <v>803.90942880345756</v>
      </c>
      <c r="AC59" s="265">
        <f t="shared" si="71"/>
        <v>819.98761737952668</v>
      </c>
      <c r="AD59" s="265">
        <f t="shared" si="71"/>
        <v>836.38736972711717</v>
      </c>
      <c r="AE59" s="265">
        <f t="shared" si="71"/>
        <v>853.11511712165952</v>
      </c>
      <c r="AF59" s="265">
        <f t="shared" si="71"/>
        <v>870.17741946409274</v>
      </c>
      <c r="AG59" s="265">
        <f t="shared" si="71"/>
        <v>887.58096785337466</v>
      </c>
      <c r="AH59" s="265">
        <f t="shared" si="71"/>
        <v>905.33258721044217</v>
      </c>
      <c r="AI59" s="265">
        <f t="shared" si="67"/>
        <v>923.43923895465105</v>
      </c>
      <c r="AJ59" s="265">
        <f t="shared" si="68"/>
        <v>941.90802373374413</v>
      </c>
      <c r="AK59" s="12"/>
      <c r="AL59" s="12"/>
      <c r="AM59" s="12"/>
      <c r="AN59" s="12"/>
      <c r="AO59" s="12"/>
      <c r="AP59" s="12"/>
    </row>
    <row r="60" spans="1:42" ht="15" x14ac:dyDescent="0.25">
      <c r="A60" s="524">
        <v>540400</v>
      </c>
      <c r="B60" s="456">
        <f t="shared" si="65"/>
        <v>2055.818898305085</v>
      </c>
      <c r="C60" s="884" t="s">
        <v>177</v>
      </c>
      <c r="D60" s="891">
        <f ca="1">OFFSET('IE SUMMARY'!D35,0,MoveCount)</f>
        <v>277990.37</v>
      </c>
      <c r="E60" s="888">
        <f>235521*1.03</f>
        <v>242586.63</v>
      </c>
      <c r="F60" s="325">
        <f t="shared" si="69"/>
        <v>20215.552500000002</v>
      </c>
      <c r="G60" s="265">
        <f t="shared" ref="G60:AH60" si="72">F60*(1+GlobalInflation)</f>
        <v>20619.863550000002</v>
      </c>
      <c r="H60" s="265">
        <f t="shared" si="72"/>
        <v>21032.260821000003</v>
      </c>
      <c r="I60" s="265">
        <f t="shared" si="72"/>
        <v>21452.906037420005</v>
      </c>
      <c r="J60" s="265">
        <f t="shared" si="72"/>
        <v>21881.964158168405</v>
      </c>
      <c r="K60" s="265">
        <f t="shared" si="72"/>
        <v>22319.603441331772</v>
      </c>
      <c r="L60" s="265">
        <f t="shared" si="72"/>
        <v>22765.995510158409</v>
      </c>
      <c r="M60" s="265">
        <f t="shared" si="72"/>
        <v>23221.315420361578</v>
      </c>
      <c r="N60" s="265">
        <f t="shared" si="72"/>
        <v>23685.741728768811</v>
      </c>
      <c r="O60" s="265">
        <f t="shared" si="72"/>
        <v>24159.456563344189</v>
      </c>
      <c r="P60" s="265">
        <f t="shared" si="72"/>
        <v>24642.645694611074</v>
      </c>
      <c r="Q60" s="265">
        <f t="shared" si="72"/>
        <v>25135.498608503294</v>
      </c>
      <c r="R60" s="265">
        <f t="shared" si="72"/>
        <v>25638.208580673359</v>
      </c>
      <c r="S60" s="265">
        <f t="shared" si="72"/>
        <v>26150.972752286827</v>
      </c>
      <c r="T60" s="265">
        <f t="shared" si="72"/>
        <v>26673.992207332565</v>
      </c>
      <c r="U60" s="265">
        <f t="shared" si="72"/>
        <v>27207.472051479217</v>
      </c>
      <c r="V60" s="265">
        <f t="shared" si="72"/>
        <v>27751.621492508802</v>
      </c>
      <c r="W60" s="265">
        <f t="shared" si="72"/>
        <v>28306.653922358979</v>
      </c>
      <c r="X60" s="265">
        <f t="shared" si="72"/>
        <v>28872.787000806158</v>
      </c>
      <c r="Y60" s="265">
        <f t="shared" si="72"/>
        <v>29450.242740822283</v>
      </c>
      <c r="Z60" s="265">
        <f t="shared" si="72"/>
        <v>30039.247595638728</v>
      </c>
      <c r="AA60" s="265">
        <f t="shared" si="72"/>
        <v>30640.032547551502</v>
      </c>
      <c r="AB60" s="265">
        <f t="shared" si="72"/>
        <v>31252.833198502532</v>
      </c>
      <c r="AC60" s="265">
        <f t="shared" si="72"/>
        <v>31877.889862472584</v>
      </c>
      <c r="AD60" s="265">
        <f t="shared" si="72"/>
        <v>32515.447659722038</v>
      </c>
      <c r="AE60" s="265">
        <f t="shared" si="72"/>
        <v>33165.756612916477</v>
      </c>
      <c r="AF60" s="265">
        <f t="shared" si="72"/>
        <v>33829.071745174806</v>
      </c>
      <c r="AG60" s="265">
        <f t="shared" si="72"/>
        <v>34505.653180078305</v>
      </c>
      <c r="AH60" s="265">
        <f t="shared" si="72"/>
        <v>35195.766243679871</v>
      </c>
      <c r="AI60" s="265">
        <f t="shared" si="67"/>
        <v>35899.681568553468</v>
      </c>
      <c r="AJ60" s="265">
        <f t="shared" si="68"/>
        <v>36617.675199924539</v>
      </c>
      <c r="AK60" s="12"/>
      <c r="AL60" s="12"/>
      <c r="AM60" s="12"/>
      <c r="AN60" s="12"/>
      <c r="AO60" s="12"/>
      <c r="AP60" s="12"/>
    </row>
    <row r="61" spans="1:42" ht="15" x14ac:dyDescent="0.25">
      <c r="A61" s="524">
        <v>540100</v>
      </c>
      <c r="B61" s="456">
        <f t="shared" si="65"/>
        <v>22.881355932203391</v>
      </c>
      <c r="C61" s="884" t="s">
        <v>178</v>
      </c>
      <c r="D61" s="134">
        <f ca="1">OFFSET('IE SUMMARY'!D36,0,MoveCount)</f>
        <v>0</v>
      </c>
      <c r="E61" s="887">
        <v>2700</v>
      </c>
      <c r="F61" s="325">
        <f t="shared" si="69"/>
        <v>225</v>
      </c>
      <c r="G61" s="265">
        <f t="shared" ref="G61:AH61" si="73">F61*(1+GlobalInflation)</f>
        <v>229.5</v>
      </c>
      <c r="H61" s="265">
        <f t="shared" si="73"/>
        <v>234.09</v>
      </c>
      <c r="I61" s="265">
        <f t="shared" si="73"/>
        <v>238.77180000000001</v>
      </c>
      <c r="J61" s="265">
        <f t="shared" si="73"/>
        <v>243.54723600000003</v>
      </c>
      <c r="K61" s="265">
        <f t="shared" si="73"/>
        <v>248.41818072000004</v>
      </c>
      <c r="L61" s="265">
        <f t="shared" si="73"/>
        <v>253.38654433440004</v>
      </c>
      <c r="M61" s="265">
        <f t="shared" si="73"/>
        <v>258.45427522108804</v>
      </c>
      <c r="N61" s="265">
        <f t="shared" si="73"/>
        <v>263.62336072550983</v>
      </c>
      <c r="O61" s="265">
        <f t="shared" si="73"/>
        <v>268.89582794002001</v>
      </c>
      <c r="P61" s="265">
        <f t="shared" si="73"/>
        <v>274.27374449882041</v>
      </c>
      <c r="Q61" s="265">
        <f t="shared" si="73"/>
        <v>279.75921938879679</v>
      </c>
      <c r="R61" s="265">
        <f t="shared" si="73"/>
        <v>285.35440377657272</v>
      </c>
      <c r="S61" s="265">
        <f t="shared" si="73"/>
        <v>291.06149185210421</v>
      </c>
      <c r="T61" s="265">
        <f t="shared" si="73"/>
        <v>296.88272168914631</v>
      </c>
      <c r="U61" s="265">
        <f t="shared" si="73"/>
        <v>302.82037612292925</v>
      </c>
      <c r="V61" s="265">
        <f t="shared" si="73"/>
        <v>308.87678364538783</v>
      </c>
      <c r="W61" s="265">
        <f t="shared" si="73"/>
        <v>315.0543193182956</v>
      </c>
      <c r="X61" s="265">
        <f t="shared" si="73"/>
        <v>321.35540570466151</v>
      </c>
      <c r="Y61" s="265">
        <f t="shared" si="73"/>
        <v>327.78251381875475</v>
      </c>
      <c r="Z61" s="265">
        <f t="shared" si="73"/>
        <v>334.33816409512986</v>
      </c>
      <c r="AA61" s="265">
        <f t="shared" si="73"/>
        <v>341.02492737703244</v>
      </c>
      <c r="AB61" s="265">
        <f t="shared" si="73"/>
        <v>347.84542592457308</v>
      </c>
      <c r="AC61" s="265">
        <f t="shared" si="73"/>
        <v>354.80233444306452</v>
      </c>
      <c r="AD61" s="265">
        <f t="shared" si="73"/>
        <v>361.89838113192582</v>
      </c>
      <c r="AE61" s="265">
        <f t="shared" si="73"/>
        <v>369.13634875456432</v>
      </c>
      <c r="AF61" s="265">
        <f t="shared" si="73"/>
        <v>376.51907572965564</v>
      </c>
      <c r="AG61" s="265">
        <f t="shared" si="73"/>
        <v>384.04945724424874</v>
      </c>
      <c r="AH61" s="265">
        <f t="shared" si="73"/>
        <v>391.7304463891337</v>
      </c>
      <c r="AI61" s="265">
        <f t="shared" si="67"/>
        <v>399.56505531691636</v>
      </c>
      <c r="AJ61" s="265">
        <f t="shared" si="68"/>
        <v>407.55635642325467</v>
      </c>
      <c r="AK61" s="12"/>
      <c r="AL61" s="12"/>
      <c r="AM61" s="12"/>
      <c r="AN61" s="12"/>
      <c r="AO61" s="12"/>
      <c r="AP61" s="12"/>
    </row>
    <row r="62" spans="1:42" ht="15" x14ac:dyDescent="0.25">
      <c r="A62" s="524">
        <v>540500</v>
      </c>
      <c r="B62" s="456">
        <f t="shared" si="65"/>
        <v>314.01033898305087</v>
      </c>
      <c r="C62" s="885" t="s">
        <v>179</v>
      </c>
      <c r="D62" s="842">
        <f ca="1">OFFSET('IE SUMMARY'!D37,0,MoveCount)</f>
        <v>0</v>
      </c>
      <c r="E62" s="889">
        <f>35974*1.03</f>
        <v>37053.22</v>
      </c>
      <c r="F62" s="325">
        <f t="shared" si="69"/>
        <v>3087.7683333333334</v>
      </c>
      <c r="G62" s="265">
        <f t="shared" ref="G62:AH62" si="74">F62*(1+GlobalInflation)</f>
        <v>3149.5237000000002</v>
      </c>
      <c r="H62" s="265">
        <f t="shared" si="74"/>
        <v>3212.5141740000004</v>
      </c>
      <c r="I62" s="265">
        <f t="shared" si="74"/>
        <v>3276.7644574800006</v>
      </c>
      <c r="J62" s="265">
        <f t="shared" si="74"/>
        <v>3342.2997466296006</v>
      </c>
      <c r="K62" s="265">
        <f t="shared" si="74"/>
        <v>3409.1457415621926</v>
      </c>
      <c r="L62" s="265">
        <f t="shared" si="74"/>
        <v>3477.3286563934366</v>
      </c>
      <c r="M62" s="265">
        <f t="shared" si="74"/>
        <v>3546.8752295213053</v>
      </c>
      <c r="N62" s="265">
        <f t="shared" si="74"/>
        <v>3617.8127341117315</v>
      </c>
      <c r="O62" s="265">
        <f t="shared" si="74"/>
        <v>3690.168988793966</v>
      </c>
      <c r="P62" s="265">
        <f t="shared" si="74"/>
        <v>3763.9723685698455</v>
      </c>
      <c r="Q62" s="265">
        <f t="shared" si="74"/>
        <v>3839.2518159412425</v>
      </c>
      <c r="R62" s="265">
        <f t="shared" si="74"/>
        <v>3916.0368522600675</v>
      </c>
      <c r="S62" s="265">
        <f t="shared" si="74"/>
        <v>3994.3575893052689</v>
      </c>
      <c r="T62" s="265">
        <f t="shared" si="74"/>
        <v>4074.2447410913742</v>
      </c>
      <c r="U62" s="265">
        <f t="shared" si="74"/>
        <v>4155.7296359132015</v>
      </c>
      <c r="V62" s="265">
        <f t="shared" si="74"/>
        <v>4238.8442286314657</v>
      </c>
      <c r="W62" s="265">
        <f t="shared" si="74"/>
        <v>4323.6211132040953</v>
      </c>
      <c r="X62" s="265">
        <f t="shared" si="74"/>
        <v>4410.0935354681769</v>
      </c>
      <c r="Y62" s="265">
        <f t="shared" si="74"/>
        <v>4498.2954061775408</v>
      </c>
      <c r="Z62" s="265">
        <f t="shared" si="74"/>
        <v>4588.2613143010922</v>
      </c>
      <c r="AA62" s="265">
        <f t="shared" si="74"/>
        <v>4680.0265405871141</v>
      </c>
      <c r="AB62" s="265">
        <f t="shared" si="74"/>
        <v>4773.6270713988561</v>
      </c>
      <c r="AC62" s="265">
        <f t="shared" si="74"/>
        <v>4869.0996128268334</v>
      </c>
      <c r="AD62" s="265">
        <f t="shared" si="74"/>
        <v>4966.4816050833706</v>
      </c>
      <c r="AE62" s="265">
        <f t="shared" si="74"/>
        <v>5065.8112371850384</v>
      </c>
      <c r="AF62" s="265">
        <f t="shared" si="74"/>
        <v>5167.1274619287396</v>
      </c>
      <c r="AG62" s="265">
        <f t="shared" si="74"/>
        <v>5270.4700111673146</v>
      </c>
      <c r="AH62" s="265">
        <f t="shared" si="74"/>
        <v>5375.8794113906606</v>
      </c>
      <c r="AI62" s="265">
        <f t="shared" si="67"/>
        <v>5483.3969996184742</v>
      </c>
      <c r="AJ62" s="265">
        <f t="shared" si="68"/>
        <v>5593.0649396108438</v>
      </c>
      <c r="AK62" s="12"/>
      <c r="AL62" s="12"/>
      <c r="AM62" s="12"/>
      <c r="AN62" s="12"/>
      <c r="AO62" s="12"/>
      <c r="AP62" s="12"/>
    </row>
    <row r="63" spans="1:42" ht="15" x14ac:dyDescent="0.25">
      <c r="A63" s="524">
        <v>540300</v>
      </c>
      <c r="B63" s="456">
        <f t="shared" si="65"/>
        <v>300</v>
      </c>
      <c r="C63" s="885" t="s">
        <v>180</v>
      </c>
      <c r="D63" s="842">
        <f ca="1">OFFSET('IE SUMMARY'!D38,0,MoveCount)</f>
        <v>0</v>
      </c>
      <c r="E63" s="889">
        <f>25*NoOfSpaces*12</f>
        <v>35400</v>
      </c>
      <c r="F63" s="325">
        <f t="shared" ref="F63" si="75">E63/12</f>
        <v>2950</v>
      </c>
      <c r="G63" s="265">
        <f t="shared" ref="G63" si="76">F63*(1+GlobalInflation)</f>
        <v>3009</v>
      </c>
      <c r="H63" s="265">
        <f t="shared" ref="H63" si="77">G63*(1+GlobalInflation)</f>
        <v>3069.18</v>
      </c>
      <c r="I63" s="265">
        <f t="shared" ref="I63" si="78">H63*(1+GlobalInflation)</f>
        <v>3130.5636</v>
      </c>
      <c r="J63" s="265">
        <f t="shared" ref="J63" si="79">I63*(1+GlobalInflation)</f>
        <v>3193.1748720000001</v>
      </c>
      <c r="K63" s="265">
        <f t="shared" ref="K63" si="80">J63*(1+GlobalInflation)</f>
        <v>3257.0383694400002</v>
      </c>
      <c r="L63" s="265">
        <f t="shared" ref="L63" si="81">K63*(1+GlobalInflation)</f>
        <v>3322.1791368288004</v>
      </c>
      <c r="M63" s="265">
        <f t="shared" ref="M63" si="82">L63*(1+GlobalInflation)</f>
        <v>3388.6227195653764</v>
      </c>
      <c r="N63" s="265">
        <f t="shared" ref="N63" si="83">M63*(1+GlobalInflation)</f>
        <v>3456.3951739566842</v>
      </c>
      <c r="O63" s="265">
        <f t="shared" ref="O63" si="84">N63*(1+GlobalInflation)</f>
        <v>3525.5230774358179</v>
      </c>
      <c r="P63" s="265">
        <f t="shared" ref="P63" si="85">O63*(1+GlobalInflation)</f>
        <v>3596.0335389845341</v>
      </c>
      <c r="Q63" s="265">
        <f t="shared" ref="Q63" si="86">P63*(1+GlobalInflation)</f>
        <v>3667.9542097642247</v>
      </c>
      <c r="R63" s="265">
        <f t="shared" ref="R63" si="87">Q63*(1+GlobalInflation)</f>
        <v>3741.3132939595093</v>
      </c>
      <c r="S63" s="265">
        <f t="shared" ref="S63" si="88">R63*(1+GlobalInflation)</f>
        <v>3816.1395598386994</v>
      </c>
      <c r="T63" s="265">
        <f t="shared" ref="T63" si="89">S63*(1+GlobalInflation)</f>
        <v>3892.4623510354736</v>
      </c>
      <c r="U63" s="265">
        <f t="shared" ref="U63" si="90">T63*(1+GlobalInflation)</f>
        <v>3970.3115980561834</v>
      </c>
      <c r="V63" s="265">
        <f t="shared" ref="V63" si="91">U63*(1+GlobalInflation)</f>
        <v>4049.7178300173073</v>
      </c>
      <c r="W63" s="265">
        <f t="shared" ref="W63" si="92">V63*(1+GlobalInflation)</f>
        <v>4130.7121866176531</v>
      </c>
      <c r="X63" s="265">
        <f t="shared" ref="X63" si="93">W63*(1+GlobalInflation)</f>
        <v>4213.3264303500064</v>
      </c>
      <c r="Y63" s="265">
        <f t="shared" ref="Y63" si="94">X63*(1+GlobalInflation)</f>
        <v>4297.5929589570069</v>
      </c>
      <c r="Z63" s="265">
        <f t="shared" ref="Z63" si="95">Y63*(1+GlobalInflation)</f>
        <v>4383.5448181361471</v>
      </c>
      <c r="AA63" s="265">
        <f t="shared" ref="AA63" si="96">Z63*(1+GlobalInflation)</f>
        <v>4471.2157144988705</v>
      </c>
      <c r="AB63" s="265">
        <f t="shared" ref="AB63" si="97">AA63*(1+GlobalInflation)</f>
        <v>4560.6400287888482</v>
      </c>
      <c r="AC63" s="265">
        <f t="shared" ref="AC63" si="98">AB63*(1+GlobalInflation)</f>
        <v>4651.852829364625</v>
      </c>
      <c r="AD63" s="265">
        <f t="shared" ref="AD63" si="99">AC63*(1+GlobalInflation)</f>
        <v>4744.8898859519177</v>
      </c>
      <c r="AE63" s="265">
        <f t="shared" ref="AE63" si="100">AD63*(1+GlobalInflation)</f>
        <v>4839.7876836709565</v>
      </c>
      <c r="AF63" s="265">
        <f t="shared" ref="AF63" si="101">AE63*(1+GlobalInflation)</f>
        <v>4936.5834373443759</v>
      </c>
      <c r="AG63" s="265">
        <f t="shared" ref="AG63" si="102">AF63*(1+GlobalInflation)</f>
        <v>5035.3151060912633</v>
      </c>
      <c r="AH63" s="265">
        <f t="shared" ref="AH63" si="103">AG63*(1+GlobalInflation)</f>
        <v>5136.0214082130888</v>
      </c>
      <c r="AI63" s="265">
        <f t="shared" si="67"/>
        <v>5238.7418363773504</v>
      </c>
      <c r="AJ63" s="265">
        <f t="shared" si="68"/>
        <v>5343.5166731048976</v>
      </c>
      <c r="AK63" s="12"/>
      <c r="AL63" s="12"/>
      <c r="AM63" s="12"/>
      <c r="AN63" s="12"/>
      <c r="AO63" s="12"/>
      <c r="AP63" s="12"/>
    </row>
    <row r="64" spans="1:42" ht="15" x14ac:dyDescent="0.25">
      <c r="A64" s="524">
        <v>540200</v>
      </c>
      <c r="B64" s="456">
        <f t="shared" si="65"/>
        <v>369.52542372881356</v>
      </c>
      <c r="C64" s="884" t="s">
        <v>181</v>
      </c>
      <c r="D64" s="134">
        <f ca="1">OFFSET('IE SUMMARY'!D39,0,MoveCount)</f>
        <v>0</v>
      </c>
      <c r="E64" s="888">
        <v>43604</v>
      </c>
      <c r="F64" s="325">
        <f t="shared" si="69"/>
        <v>3633.6666666666665</v>
      </c>
      <c r="G64" s="265">
        <f t="shared" ref="G64:AH65" si="104">F64*(1+GlobalInflation)</f>
        <v>3706.3399999999997</v>
      </c>
      <c r="H64" s="265">
        <f t="shared" si="104"/>
        <v>3780.4667999999997</v>
      </c>
      <c r="I64" s="265">
        <f t="shared" si="104"/>
        <v>3856.0761359999997</v>
      </c>
      <c r="J64" s="265">
        <f t="shared" si="104"/>
        <v>3933.1976587199997</v>
      </c>
      <c r="K64" s="265">
        <f t="shared" si="104"/>
        <v>4011.8616118943996</v>
      </c>
      <c r="L64" s="265">
        <f t="shared" si="104"/>
        <v>4092.0988441322875</v>
      </c>
      <c r="M64" s="265">
        <f t="shared" si="104"/>
        <v>4173.9408210149331</v>
      </c>
      <c r="N64" s="265">
        <f t="shared" si="104"/>
        <v>4257.4196374352323</v>
      </c>
      <c r="O64" s="265">
        <f t="shared" si="104"/>
        <v>4342.5680301839366</v>
      </c>
      <c r="P64" s="265">
        <f t="shared" si="104"/>
        <v>4429.4193907876152</v>
      </c>
      <c r="Q64" s="265">
        <f t="shared" si="104"/>
        <v>4518.0077786033671</v>
      </c>
      <c r="R64" s="265">
        <f t="shared" si="104"/>
        <v>4608.3679341754341</v>
      </c>
      <c r="S64" s="265">
        <f t="shared" si="104"/>
        <v>4700.5352928589427</v>
      </c>
      <c r="T64" s="265">
        <f t="shared" si="104"/>
        <v>4794.5459987161221</v>
      </c>
      <c r="U64" s="265">
        <f t="shared" si="104"/>
        <v>4890.4369186904451</v>
      </c>
      <c r="V64" s="265">
        <f t="shared" si="104"/>
        <v>4988.2456570642544</v>
      </c>
      <c r="W64" s="265">
        <f t="shared" si="104"/>
        <v>5088.0105702055398</v>
      </c>
      <c r="X64" s="265">
        <f t="shared" si="104"/>
        <v>5189.7707816096508</v>
      </c>
      <c r="Y64" s="265">
        <f t="shared" si="104"/>
        <v>5293.5661972418438</v>
      </c>
      <c r="Z64" s="265">
        <f t="shared" si="104"/>
        <v>5399.4375211866809</v>
      </c>
      <c r="AA64" s="265">
        <f t="shared" si="104"/>
        <v>5507.4262716104149</v>
      </c>
      <c r="AB64" s="265">
        <f t="shared" si="104"/>
        <v>5617.5747970426237</v>
      </c>
      <c r="AC64" s="265">
        <f t="shared" si="104"/>
        <v>5729.9262929834758</v>
      </c>
      <c r="AD64" s="265">
        <f t="shared" si="104"/>
        <v>5844.5248188431451</v>
      </c>
      <c r="AE64" s="265">
        <f t="shared" si="104"/>
        <v>5961.4153152200079</v>
      </c>
      <c r="AF64" s="265">
        <f t="shared" si="104"/>
        <v>6080.6436215244084</v>
      </c>
      <c r="AG64" s="265">
        <f t="shared" si="104"/>
        <v>6202.2564939548965</v>
      </c>
      <c r="AH64" s="265">
        <f t="shared" si="104"/>
        <v>6326.3016238339942</v>
      </c>
      <c r="AI64" s="265">
        <f t="shared" si="67"/>
        <v>6452.8276563106738</v>
      </c>
      <c r="AJ64" s="265">
        <f t="shared" si="68"/>
        <v>6581.8842094368874</v>
      </c>
      <c r="AK64" s="12"/>
      <c r="AL64" s="12"/>
      <c r="AM64" s="12"/>
      <c r="AN64" s="12"/>
      <c r="AO64" s="12"/>
      <c r="AP64" s="12"/>
    </row>
    <row r="65" spans="1:42" x14ac:dyDescent="0.2">
      <c r="A65" s="524">
        <v>560140</v>
      </c>
      <c r="B65" s="456">
        <f t="shared" si="65"/>
        <v>21.1864406779661</v>
      </c>
      <c r="C65" s="503" t="s">
        <v>182</v>
      </c>
      <c r="D65" s="134">
        <f ca="1">OFFSET('IE SUMMARY'!D40,0,MoveCount)</f>
        <v>3334.35</v>
      </c>
      <c r="E65" s="887">
        <v>2500</v>
      </c>
      <c r="F65" s="325">
        <f>E65/12</f>
        <v>208.33333333333334</v>
      </c>
      <c r="G65" s="265">
        <f>F65*(1+GlobalInflation)</f>
        <v>212.5</v>
      </c>
      <c r="H65" s="265">
        <f t="shared" si="104"/>
        <v>216.75</v>
      </c>
      <c r="I65" s="265">
        <f t="shared" si="104"/>
        <v>221.08500000000001</v>
      </c>
      <c r="J65" s="265">
        <f t="shared" si="104"/>
        <v>225.50670000000002</v>
      </c>
      <c r="K65" s="265">
        <f t="shared" si="104"/>
        <v>230.01683400000002</v>
      </c>
      <c r="L65" s="265">
        <f t="shared" si="104"/>
        <v>234.61717068000002</v>
      </c>
      <c r="M65" s="265">
        <f t="shared" si="104"/>
        <v>239.30951409360003</v>
      </c>
      <c r="N65" s="265">
        <f t="shared" si="104"/>
        <v>244.09570437547202</v>
      </c>
      <c r="O65" s="265">
        <f t="shared" si="104"/>
        <v>248.97761846298147</v>
      </c>
      <c r="P65" s="265">
        <f t="shared" si="104"/>
        <v>253.9571708322411</v>
      </c>
      <c r="Q65" s="265">
        <f t="shared" si="104"/>
        <v>259.03631424888596</v>
      </c>
      <c r="R65" s="265">
        <f t="shared" si="104"/>
        <v>264.21704053386367</v>
      </c>
      <c r="S65" s="265">
        <f t="shared" si="104"/>
        <v>269.50138134454096</v>
      </c>
      <c r="T65" s="265">
        <f t="shared" si="104"/>
        <v>274.89140897143176</v>
      </c>
      <c r="U65" s="265">
        <f t="shared" si="104"/>
        <v>280.38923715086042</v>
      </c>
      <c r="V65" s="265">
        <f t="shared" si="104"/>
        <v>285.99702189387762</v>
      </c>
      <c r="W65" s="265">
        <f t="shared" si="104"/>
        <v>291.71696233175516</v>
      </c>
      <c r="X65" s="265">
        <f t="shared" si="104"/>
        <v>297.55130157839028</v>
      </c>
      <c r="Y65" s="265">
        <f t="shared" si="104"/>
        <v>303.50232760995812</v>
      </c>
      <c r="Z65" s="265">
        <f t="shared" si="104"/>
        <v>309.5723741621573</v>
      </c>
      <c r="AA65" s="265">
        <f t="shared" si="104"/>
        <v>315.76382164540047</v>
      </c>
      <c r="AB65" s="265">
        <f t="shared" si="104"/>
        <v>322.0790980783085</v>
      </c>
      <c r="AC65" s="265">
        <f t="shared" si="104"/>
        <v>328.52068003987466</v>
      </c>
      <c r="AD65" s="265">
        <f t="shared" si="104"/>
        <v>335.09109364067217</v>
      </c>
      <c r="AE65" s="265">
        <f t="shared" si="104"/>
        <v>341.79291551348564</v>
      </c>
      <c r="AF65" s="265">
        <f t="shared" si="104"/>
        <v>348.62877382375535</v>
      </c>
      <c r="AG65" s="265">
        <f t="shared" si="104"/>
        <v>355.60134930023048</v>
      </c>
      <c r="AH65" s="265">
        <f t="shared" si="104"/>
        <v>362.71337628623507</v>
      </c>
      <c r="AI65" s="265">
        <f t="shared" si="67"/>
        <v>369.96764381195976</v>
      </c>
      <c r="AJ65" s="265">
        <f t="shared" si="68"/>
        <v>377.36699668819898</v>
      </c>
      <c r="AK65" s="12"/>
      <c r="AL65" s="12"/>
      <c r="AM65" s="12"/>
      <c r="AN65" s="12"/>
      <c r="AO65" s="12"/>
      <c r="AP65" s="12"/>
    </row>
    <row r="66" spans="1:42" x14ac:dyDescent="0.2">
      <c r="A66" s="524">
        <v>502000</v>
      </c>
      <c r="B66" s="456">
        <f t="shared" si="65"/>
        <v>12.711864406779661</v>
      </c>
      <c r="C66" s="503" t="s">
        <v>183</v>
      </c>
      <c r="D66" s="134">
        <f ca="1">OFFSET('IE SUMMARY'!D41,0,MoveCount)</f>
        <v>731.42</v>
      </c>
      <c r="E66" s="887">
        <v>1500</v>
      </c>
      <c r="F66" s="325">
        <f t="shared" si="69"/>
        <v>125</v>
      </c>
      <c r="G66" s="265">
        <f t="shared" ref="G66:AH66" si="105">F66*(1+GlobalInflation)</f>
        <v>127.5</v>
      </c>
      <c r="H66" s="265">
        <f t="shared" si="105"/>
        <v>130.05000000000001</v>
      </c>
      <c r="I66" s="265">
        <f t="shared" si="105"/>
        <v>132.65100000000001</v>
      </c>
      <c r="J66" s="265">
        <f t="shared" si="105"/>
        <v>135.30402000000001</v>
      </c>
      <c r="K66" s="265">
        <f t="shared" si="105"/>
        <v>138.0101004</v>
      </c>
      <c r="L66" s="265">
        <f t="shared" si="105"/>
        <v>140.77030240799999</v>
      </c>
      <c r="M66" s="265">
        <f t="shared" si="105"/>
        <v>143.58570845616001</v>
      </c>
      <c r="N66" s="265">
        <f t="shared" si="105"/>
        <v>146.45742262528321</v>
      </c>
      <c r="O66" s="265">
        <f t="shared" si="105"/>
        <v>149.38657107778889</v>
      </c>
      <c r="P66" s="265">
        <f t="shared" si="105"/>
        <v>152.37430249934468</v>
      </c>
      <c r="Q66" s="265">
        <f t="shared" si="105"/>
        <v>155.42178854933158</v>
      </c>
      <c r="R66" s="265">
        <f t="shared" si="105"/>
        <v>158.53022432031821</v>
      </c>
      <c r="S66" s="265">
        <f t="shared" si="105"/>
        <v>161.70082880672459</v>
      </c>
      <c r="T66" s="265">
        <f t="shared" si="105"/>
        <v>164.93484538285909</v>
      </c>
      <c r="U66" s="265">
        <f t="shared" si="105"/>
        <v>168.23354229051628</v>
      </c>
      <c r="V66" s="265">
        <f t="shared" si="105"/>
        <v>171.59821313632662</v>
      </c>
      <c r="W66" s="265">
        <f t="shared" si="105"/>
        <v>175.03017739905314</v>
      </c>
      <c r="X66" s="265">
        <f t="shared" si="105"/>
        <v>178.5307809470342</v>
      </c>
      <c r="Y66" s="265">
        <f t="shared" si="105"/>
        <v>182.10139656597488</v>
      </c>
      <c r="Z66" s="265">
        <f t="shared" si="105"/>
        <v>185.74342449729437</v>
      </c>
      <c r="AA66" s="265">
        <f t="shared" si="105"/>
        <v>189.45829298724027</v>
      </c>
      <c r="AB66" s="265">
        <f t="shared" si="105"/>
        <v>193.24745884698507</v>
      </c>
      <c r="AC66" s="265">
        <f t="shared" si="105"/>
        <v>197.11240802392479</v>
      </c>
      <c r="AD66" s="265">
        <f t="shared" si="105"/>
        <v>201.05465618440329</v>
      </c>
      <c r="AE66" s="265">
        <f t="shared" si="105"/>
        <v>205.07574930809136</v>
      </c>
      <c r="AF66" s="265">
        <f t="shared" si="105"/>
        <v>209.17726429425318</v>
      </c>
      <c r="AG66" s="265">
        <f t="shared" si="105"/>
        <v>213.36080958013824</v>
      </c>
      <c r="AH66" s="265">
        <f t="shared" si="105"/>
        <v>217.62802577174099</v>
      </c>
      <c r="AI66" s="265">
        <f t="shared" si="67"/>
        <v>221.98058628717581</v>
      </c>
      <c r="AJ66" s="265">
        <f t="shared" si="68"/>
        <v>226.42019801291934</v>
      </c>
      <c r="AK66" s="12"/>
      <c r="AL66" s="12"/>
      <c r="AM66" s="12"/>
      <c r="AN66" s="12"/>
      <c r="AO66" s="12"/>
      <c r="AP66" s="12"/>
    </row>
    <row r="67" spans="1:42" x14ac:dyDescent="0.2">
      <c r="A67" s="524">
        <v>510000</v>
      </c>
      <c r="B67" s="456">
        <f t="shared" si="65"/>
        <v>250</v>
      </c>
      <c r="C67" s="503" t="str">
        <f>"Maintenance / Capital Reserve ("&amp;TEXT(J8,"$0")&amp;" per space / year)"</f>
        <v>Maintenance / Capital Reserve ($250 per space / year)</v>
      </c>
      <c r="D67" s="134">
        <f ca="1">OFFSET('IE SUMMARY'!D42,0,MoveCount)</f>
        <v>40941.480000000003</v>
      </c>
      <c r="E67" s="887">
        <f>J8*NoOfSpaces</f>
        <v>29500</v>
      </c>
      <c r="F67" s="325">
        <f t="shared" ref="F67:F75" si="106">E67/12</f>
        <v>2458.3333333333335</v>
      </c>
      <c r="G67" s="265">
        <f t="shared" ref="G67:AH67" si="107">F67*(1+GlobalInflation)</f>
        <v>2507.5</v>
      </c>
      <c r="H67" s="265">
        <f t="shared" si="107"/>
        <v>2557.65</v>
      </c>
      <c r="I67" s="265">
        <f t="shared" si="107"/>
        <v>2608.8030000000003</v>
      </c>
      <c r="J67" s="265">
        <f t="shared" si="107"/>
        <v>2660.9790600000006</v>
      </c>
      <c r="K67" s="265">
        <f t="shared" si="107"/>
        <v>2714.1986412000006</v>
      </c>
      <c r="L67" s="265">
        <f t="shared" si="107"/>
        <v>2768.4826140240007</v>
      </c>
      <c r="M67" s="265">
        <f t="shared" si="107"/>
        <v>2823.8522663044805</v>
      </c>
      <c r="N67" s="265">
        <f t="shared" si="107"/>
        <v>2880.3293116305704</v>
      </c>
      <c r="O67" s="265">
        <f t="shared" si="107"/>
        <v>2937.9358978631817</v>
      </c>
      <c r="P67" s="265">
        <f t="shared" si="107"/>
        <v>2996.6946158204455</v>
      </c>
      <c r="Q67" s="265">
        <f t="shared" si="107"/>
        <v>3056.6285081368546</v>
      </c>
      <c r="R67" s="265">
        <f t="shared" si="107"/>
        <v>3117.7610782995916</v>
      </c>
      <c r="S67" s="265">
        <f t="shared" si="107"/>
        <v>3180.1162998655836</v>
      </c>
      <c r="T67" s="265">
        <f t="shared" si="107"/>
        <v>3243.7186258628954</v>
      </c>
      <c r="U67" s="265">
        <f t="shared" si="107"/>
        <v>3308.5929983801534</v>
      </c>
      <c r="V67" s="265">
        <f t="shared" si="107"/>
        <v>3374.7648583477567</v>
      </c>
      <c r="W67" s="265">
        <f t="shared" si="107"/>
        <v>3442.2601555147116</v>
      </c>
      <c r="X67" s="265">
        <f t="shared" si="107"/>
        <v>3511.1053586250059</v>
      </c>
      <c r="Y67" s="265">
        <f t="shared" si="107"/>
        <v>3581.3274657975062</v>
      </c>
      <c r="Z67" s="265">
        <f t="shared" si="107"/>
        <v>3652.9540151134565</v>
      </c>
      <c r="AA67" s="265">
        <f t="shared" si="107"/>
        <v>3726.0130954157257</v>
      </c>
      <c r="AB67" s="265">
        <f t="shared" si="107"/>
        <v>3800.5333573240405</v>
      </c>
      <c r="AC67" s="265">
        <f t="shared" si="107"/>
        <v>3876.5440244705214</v>
      </c>
      <c r="AD67" s="265">
        <f t="shared" si="107"/>
        <v>3954.0749049599322</v>
      </c>
      <c r="AE67" s="265">
        <f t="shared" si="107"/>
        <v>4033.1564030591308</v>
      </c>
      <c r="AF67" s="265">
        <f t="shared" si="107"/>
        <v>4113.8195311203135</v>
      </c>
      <c r="AG67" s="265">
        <f t="shared" si="107"/>
        <v>4196.0959217427198</v>
      </c>
      <c r="AH67" s="265">
        <f t="shared" si="107"/>
        <v>4280.0178401775747</v>
      </c>
      <c r="AI67" s="265">
        <f t="shared" si="67"/>
        <v>4365.6181969811259</v>
      </c>
      <c r="AJ67" s="265">
        <f t="shared" si="68"/>
        <v>4452.9305609207486</v>
      </c>
      <c r="AK67" s="12"/>
      <c r="AL67" s="12"/>
      <c r="AM67" s="12"/>
      <c r="AN67" s="12"/>
      <c r="AO67" s="12"/>
      <c r="AP67" s="12"/>
    </row>
    <row r="68" spans="1:42" x14ac:dyDescent="0.2">
      <c r="A68" s="524">
        <v>520000</v>
      </c>
      <c r="B68" s="456">
        <f t="shared" si="65"/>
        <v>101.69491525423729</v>
      </c>
      <c r="C68" s="886" t="s">
        <v>184</v>
      </c>
      <c r="D68" s="134">
        <f ca="1">OFFSET('IE SUMMARY'!D43,0,MoveCount)</f>
        <v>30488.77</v>
      </c>
      <c r="E68" s="887">
        <v>12000</v>
      </c>
      <c r="F68" s="325">
        <f>E68/12</f>
        <v>1000</v>
      </c>
      <c r="G68" s="265">
        <f t="shared" ref="G68:AH68" si="108">F68*(1+GlobalInflation)</f>
        <v>1020</v>
      </c>
      <c r="H68" s="265">
        <f t="shared" si="108"/>
        <v>1040.4000000000001</v>
      </c>
      <c r="I68" s="265">
        <f t="shared" si="108"/>
        <v>1061.2080000000001</v>
      </c>
      <c r="J68" s="265">
        <f t="shared" si="108"/>
        <v>1082.4321600000001</v>
      </c>
      <c r="K68" s="265">
        <f t="shared" si="108"/>
        <v>1104.0808032</v>
      </c>
      <c r="L68" s="265">
        <f t="shared" si="108"/>
        <v>1126.1624192639999</v>
      </c>
      <c r="M68" s="265">
        <f t="shared" si="108"/>
        <v>1148.68566764928</v>
      </c>
      <c r="N68" s="265">
        <f t="shared" si="108"/>
        <v>1171.6593810022657</v>
      </c>
      <c r="O68" s="265">
        <f t="shared" si="108"/>
        <v>1195.0925686223111</v>
      </c>
      <c r="P68" s="265">
        <f t="shared" si="108"/>
        <v>1218.9944199947574</v>
      </c>
      <c r="Q68" s="265">
        <f t="shared" si="108"/>
        <v>1243.3743083946526</v>
      </c>
      <c r="R68" s="265">
        <f t="shared" si="108"/>
        <v>1268.2417945625457</v>
      </c>
      <c r="S68" s="265">
        <f t="shared" si="108"/>
        <v>1293.6066304537967</v>
      </c>
      <c r="T68" s="265">
        <f t="shared" si="108"/>
        <v>1319.4787630628728</v>
      </c>
      <c r="U68" s="265">
        <f t="shared" si="108"/>
        <v>1345.8683383241303</v>
      </c>
      <c r="V68" s="265">
        <f t="shared" si="108"/>
        <v>1372.785705090613</v>
      </c>
      <c r="W68" s="265">
        <f t="shared" si="108"/>
        <v>1400.2414191924252</v>
      </c>
      <c r="X68" s="265">
        <f t="shared" si="108"/>
        <v>1428.2462475762736</v>
      </c>
      <c r="Y68" s="265">
        <f t="shared" si="108"/>
        <v>1456.811172527799</v>
      </c>
      <c r="Z68" s="265">
        <f t="shared" si="108"/>
        <v>1485.947395978355</v>
      </c>
      <c r="AA68" s="265">
        <f t="shared" si="108"/>
        <v>1515.6663438979222</v>
      </c>
      <c r="AB68" s="265">
        <f t="shared" si="108"/>
        <v>1545.9796707758805</v>
      </c>
      <c r="AC68" s="265">
        <f t="shared" si="108"/>
        <v>1576.8992641913983</v>
      </c>
      <c r="AD68" s="265">
        <f t="shared" si="108"/>
        <v>1608.4372494752263</v>
      </c>
      <c r="AE68" s="265">
        <f t="shared" si="108"/>
        <v>1640.6059944647309</v>
      </c>
      <c r="AF68" s="265">
        <f t="shared" si="108"/>
        <v>1673.4181143540254</v>
      </c>
      <c r="AG68" s="265">
        <f t="shared" si="108"/>
        <v>1706.8864766411059</v>
      </c>
      <c r="AH68" s="265">
        <f t="shared" si="108"/>
        <v>1741.024206173928</v>
      </c>
      <c r="AI68" s="265">
        <f t="shared" si="67"/>
        <v>1775.8446902974065</v>
      </c>
      <c r="AJ68" s="265">
        <f t="shared" si="68"/>
        <v>1811.3615841033547</v>
      </c>
      <c r="AK68" s="12"/>
      <c r="AL68" s="12"/>
      <c r="AM68" s="12"/>
      <c r="AN68" s="12"/>
      <c r="AO68" s="12"/>
      <c r="AP68" s="12"/>
    </row>
    <row r="69" spans="1:42" x14ac:dyDescent="0.2">
      <c r="A69" s="524">
        <v>530000</v>
      </c>
      <c r="B69" s="456">
        <f t="shared" si="65"/>
        <v>76.271186440677965</v>
      </c>
      <c r="C69" s="503" t="s">
        <v>185</v>
      </c>
      <c r="D69" s="134">
        <f ca="1">OFFSET('IE SUMMARY'!D44,0,MoveCount)</f>
        <v>0</v>
      </c>
      <c r="E69" s="887">
        <v>9000</v>
      </c>
      <c r="F69" s="325">
        <f>E69/12</f>
        <v>750</v>
      </c>
      <c r="G69" s="265">
        <f t="shared" ref="G69:AH69" si="109">F69*(1+GlobalInflation)</f>
        <v>765</v>
      </c>
      <c r="H69" s="265">
        <f t="shared" si="109"/>
        <v>780.30000000000007</v>
      </c>
      <c r="I69" s="265">
        <f t="shared" si="109"/>
        <v>795.90600000000006</v>
      </c>
      <c r="J69" s="265">
        <f t="shared" si="109"/>
        <v>811.82412000000011</v>
      </c>
      <c r="K69" s="265">
        <f t="shared" si="109"/>
        <v>828.06060240000011</v>
      </c>
      <c r="L69" s="265">
        <f t="shared" si="109"/>
        <v>844.62181444800012</v>
      </c>
      <c r="M69" s="265">
        <f t="shared" si="109"/>
        <v>861.51425073696009</v>
      </c>
      <c r="N69" s="265">
        <f t="shared" si="109"/>
        <v>878.74453575169935</v>
      </c>
      <c r="O69" s="265">
        <f t="shared" si="109"/>
        <v>896.31942646673338</v>
      </c>
      <c r="P69" s="265">
        <f t="shared" si="109"/>
        <v>914.24581499606802</v>
      </c>
      <c r="Q69" s="265">
        <f t="shared" si="109"/>
        <v>932.53073129598943</v>
      </c>
      <c r="R69" s="265">
        <f t="shared" si="109"/>
        <v>951.18134592190927</v>
      </c>
      <c r="S69" s="265">
        <f t="shared" si="109"/>
        <v>970.20497284034752</v>
      </c>
      <c r="T69" s="265">
        <f t="shared" si="109"/>
        <v>989.60907229715451</v>
      </c>
      <c r="U69" s="265">
        <f t="shared" si="109"/>
        <v>1009.4012537430976</v>
      </c>
      <c r="V69" s="265">
        <f t="shared" si="109"/>
        <v>1029.5892788179597</v>
      </c>
      <c r="W69" s="265">
        <f t="shared" si="109"/>
        <v>1050.1810643943188</v>
      </c>
      <c r="X69" s="265">
        <f t="shared" si="109"/>
        <v>1071.1846856822051</v>
      </c>
      <c r="Y69" s="265">
        <f t="shared" si="109"/>
        <v>1092.6083793958492</v>
      </c>
      <c r="Z69" s="265">
        <f t="shared" si="109"/>
        <v>1114.4605469837661</v>
      </c>
      <c r="AA69" s="265">
        <f t="shared" si="109"/>
        <v>1136.7497579234414</v>
      </c>
      <c r="AB69" s="265">
        <f t="shared" si="109"/>
        <v>1159.4847530819102</v>
      </c>
      <c r="AC69" s="265">
        <f t="shared" si="109"/>
        <v>1182.6744481435485</v>
      </c>
      <c r="AD69" s="265">
        <f t="shared" si="109"/>
        <v>1206.3279371064195</v>
      </c>
      <c r="AE69" s="265">
        <f t="shared" si="109"/>
        <v>1230.454495848548</v>
      </c>
      <c r="AF69" s="265">
        <f t="shared" si="109"/>
        <v>1255.0635857655191</v>
      </c>
      <c r="AG69" s="265">
        <f t="shared" si="109"/>
        <v>1280.1648574808294</v>
      </c>
      <c r="AH69" s="265">
        <f t="shared" si="109"/>
        <v>1305.7681546304459</v>
      </c>
      <c r="AI69" s="265">
        <f t="shared" si="67"/>
        <v>1331.8835177230549</v>
      </c>
      <c r="AJ69" s="265">
        <f t="shared" si="68"/>
        <v>1358.5211880775159</v>
      </c>
      <c r="AK69" s="12"/>
      <c r="AL69" s="12"/>
      <c r="AM69" s="12"/>
      <c r="AN69" s="12"/>
      <c r="AO69" s="12"/>
      <c r="AP69" s="12"/>
    </row>
    <row r="70" spans="1:42" x14ac:dyDescent="0.2">
      <c r="A70" s="524">
        <v>700100</v>
      </c>
      <c r="B70" s="456">
        <f t="shared" si="65"/>
        <v>942.26087457627114</v>
      </c>
      <c r="C70" s="503" t="s">
        <v>664</v>
      </c>
      <c r="D70" s="134">
        <f ca="1">OFFSET('IE SUMMARY'!D45,0,MoveCount)</f>
        <v>98731.839999999997</v>
      </c>
      <c r="E70" s="887">
        <f>NewTaxes</f>
        <v>111186.78319999999</v>
      </c>
      <c r="F70" s="325">
        <f>E70/12</f>
        <v>9265.5652666666665</v>
      </c>
      <c r="G70" s="265">
        <f t="shared" ref="G70:AH70" si="110">F70*(1+GlobalInflation)</f>
        <v>9450.8765719999992</v>
      </c>
      <c r="H70" s="265">
        <f t="shared" si="110"/>
        <v>9639.8941034399995</v>
      </c>
      <c r="I70" s="265">
        <f t="shared" si="110"/>
        <v>9832.6919855087999</v>
      </c>
      <c r="J70" s="265">
        <f t="shared" si="110"/>
        <v>10029.345825218976</v>
      </c>
      <c r="K70" s="265">
        <f t="shared" si="110"/>
        <v>10229.932741723356</v>
      </c>
      <c r="L70" s="265">
        <f t="shared" si="110"/>
        <v>10434.531396557824</v>
      </c>
      <c r="M70" s="265">
        <f t="shared" si="110"/>
        <v>10643.222024488981</v>
      </c>
      <c r="N70" s="265">
        <f t="shared" si="110"/>
        <v>10856.086464978762</v>
      </c>
      <c r="O70" s="265">
        <f t="shared" si="110"/>
        <v>11073.208194278337</v>
      </c>
      <c r="P70" s="265">
        <f t="shared" si="110"/>
        <v>11294.672358163903</v>
      </c>
      <c r="Q70" s="265">
        <f t="shared" si="110"/>
        <v>11520.565805327182</v>
      </c>
      <c r="R70" s="265">
        <f t="shared" si="110"/>
        <v>11750.977121433725</v>
      </c>
      <c r="S70" s="265">
        <f t="shared" si="110"/>
        <v>11985.996663862399</v>
      </c>
      <c r="T70" s="265">
        <f t="shared" si="110"/>
        <v>12225.716597139648</v>
      </c>
      <c r="U70" s="265">
        <f t="shared" si="110"/>
        <v>12470.230929082441</v>
      </c>
      <c r="V70" s="265">
        <f t="shared" si="110"/>
        <v>12719.635547664091</v>
      </c>
      <c r="W70" s="265">
        <f t="shared" si="110"/>
        <v>12974.028258617373</v>
      </c>
      <c r="X70" s="265">
        <f t="shared" si="110"/>
        <v>13233.50882378972</v>
      </c>
      <c r="Y70" s="265">
        <f t="shared" si="110"/>
        <v>13498.179000265514</v>
      </c>
      <c r="Z70" s="265">
        <f t="shared" si="110"/>
        <v>13768.142580270825</v>
      </c>
      <c r="AA70" s="265">
        <f t="shared" si="110"/>
        <v>14043.505431876241</v>
      </c>
      <c r="AB70" s="265">
        <f t="shared" si="110"/>
        <v>14324.375540513767</v>
      </c>
      <c r="AC70" s="265">
        <f t="shared" si="110"/>
        <v>14610.863051324042</v>
      </c>
      <c r="AD70" s="265">
        <f t="shared" si="110"/>
        <v>14903.080312350523</v>
      </c>
      <c r="AE70" s="265">
        <f t="shared" si="110"/>
        <v>15201.141918597534</v>
      </c>
      <c r="AF70" s="265">
        <f t="shared" si="110"/>
        <v>15505.164756969485</v>
      </c>
      <c r="AG70" s="265">
        <f t="shared" si="110"/>
        <v>15815.268052108875</v>
      </c>
      <c r="AH70" s="265">
        <f t="shared" si="110"/>
        <v>16131.573413151053</v>
      </c>
      <c r="AI70" s="265">
        <f t="shared" si="67"/>
        <v>16454.204881414073</v>
      </c>
      <c r="AJ70" s="265">
        <f t="shared" si="68"/>
        <v>16783.288979042354</v>
      </c>
      <c r="AK70" s="12"/>
      <c r="AL70" s="12"/>
      <c r="AM70" s="12"/>
      <c r="AN70" s="12"/>
      <c r="AO70" s="12"/>
      <c r="AP70" s="12"/>
    </row>
    <row r="71" spans="1:42" ht="15" x14ac:dyDescent="0.25">
      <c r="A71" s="524">
        <v>720100</v>
      </c>
      <c r="B71" s="456">
        <f t="shared" si="65"/>
        <v>212.46610169491527</v>
      </c>
      <c r="C71" s="503" t="s">
        <v>186</v>
      </c>
      <c r="D71" s="134">
        <f ca="1">OFFSET('IE SUMMARY'!D46,0,MoveCount)</f>
        <v>14462.8</v>
      </c>
      <c r="E71" s="890">
        <f>12429+(12642)</f>
        <v>25071</v>
      </c>
      <c r="F71" s="325">
        <f>E71/12</f>
        <v>2089.25</v>
      </c>
      <c r="G71" s="265">
        <f t="shared" ref="G71:AH71" si="111">F71*(1+GlobalInflation)</f>
        <v>2131.0349999999999</v>
      </c>
      <c r="H71" s="265">
        <f t="shared" si="111"/>
        <v>2173.6556999999998</v>
      </c>
      <c r="I71" s="265">
        <f t="shared" si="111"/>
        <v>2217.1288139999997</v>
      </c>
      <c r="J71" s="265">
        <f t="shared" si="111"/>
        <v>2261.4713902799999</v>
      </c>
      <c r="K71" s="265">
        <f t="shared" si="111"/>
        <v>2306.7008180856001</v>
      </c>
      <c r="L71" s="265">
        <f t="shared" si="111"/>
        <v>2352.834834447312</v>
      </c>
      <c r="M71" s="265">
        <f t="shared" si="111"/>
        <v>2399.8915311362584</v>
      </c>
      <c r="N71" s="265">
        <f t="shared" si="111"/>
        <v>2447.8893617589838</v>
      </c>
      <c r="O71" s="265">
        <f t="shared" si="111"/>
        <v>2496.8471489941635</v>
      </c>
      <c r="P71" s="265">
        <f t="shared" si="111"/>
        <v>2546.784091974047</v>
      </c>
      <c r="Q71" s="265">
        <f t="shared" si="111"/>
        <v>2597.7197738135278</v>
      </c>
      <c r="R71" s="265">
        <f t="shared" si="111"/>
        <v>2649.6741692897986</v>
      </c>
      <c r="S71" s="265">
        <f t="shared" si="111"/>
        <v>2702.6676526755946</v>
      </c>
      <c r="T71" s="265">
        <f t="shared" si="111"/>
        <v>2756.7210057291063</v>
      </c>
      <c r="U71" s="265">
        <f t="shared" si="111"/>
        <v>2811.8554258436884</v>
      </c>
      <c r="V71" s="265">
        <f t="shared" si="111"/>
        <v>2868.0925343605622</v>
      </c>
      <c r="W71" s="265">
        <f t="shared" si="111"/>
        <v>2925.4543850477735</v>
      </c>
      <c r="X71" s="265">
        <f t="shared" si="111"/>
        <v>2983.9634727487291</v>
      </c>
      <c r="Y71" s="265">
        <f t="shared" si="111"/>
        <v>3043.6427422037036</v>
      </c>
      <c r="Z71" s="265">
        <f t="shared" si="111"/>
        <v>3104.5155970477776</v>
      </c>
      <c r="AA71" s="265">
        <f t="shared" si="111"/>
        <v>3166.6059089887331</v>
      </c>
      <c r="AB71" s="265">
        <f t="shared" si="111"/>
        <v>3229.9380271685077</v>
      </c>
      <c r="AC71" s="265">
        <f t="shared" si="111"/>
        <v>3294.5367877118779</v>
      </c>
      <c r="AD71" s="265">
        <f t="shared" si="111"/>
        <v>3360.4275234661154</v>
      </c>
      <c r="AE71" s="265">
        <f t="shared" si="111"/>
        <v>3427.6360739354377</v>
      </c>
      <c r="AF71" s="265">
        <f t="shared" si="111"/>
        <v>3496.1887954141466</v>
      </c>
      <c r="AG71" s="265">
        <f t="shared" si="111"/>
        <v>3566.1125713224296</v>
      </c>
      <c r="AH71" s="265">
        <f t="shared" si="111"/>
        <v>3637.4348227488781</v>
      </c>
      <c r="AI71" s="265">
        <f t="shared" si="67"/>
        <v>3710.1835192038557</v>
      </c>
      <c r="AJ71" s="265">
        <f t="shared" si="68"/>
        <v>3784.3871895879329</v>
      </c>
      <c r="AK71" s="12"/>
      <c r="AL71" s="12"/>
      <c r="AM71" s="12"/>
      <c r="AN71" s="12"/>
      <c r="AO71" s="12"/>
      <c r="AP71" s="12"/>
    </row>
    <row r="72" spans="1:42" x14ac:dyDescent="0.2">
      <c r="A72" s="524">
        <v>560110</v>
      </c>
      <c r="B72" s="456">
        <f t="shared" si="65"/>
        <v>9.2796610169491522</v>
      </c>
      <c r="C72" s="503" t="s">
        <v>187</v>
      </c>
      <c r="D72" s="134">
        <f ca="1">OFFSET('IE SUMMARY'!D47,0,MoveCount)</f>
        <v>0</v>
      </c>
      <c r="E72" s="887">
        <f>195+(75*12)</f>
        <v>1095</v>
      </c>
      <c r="F72" s="325">
        <f t="shared" si="106"/>
        <v>91.25</v>
      </c>
      <c r="G72" s="265">
        <f t="shared" ref="G72:AH72" si="112">F72*(1+GlobalInflation)</f>
        <v>93.075000000000003</v>
      </c>
      <c r="H72" s="265">
        <f t="shared" si="112"/>
        <v>94.936500000000009</v>
      </c>
      <c r="I72" s="265">
        <f t="shared" si="112"/>
        <v>96.83523000000001</v>
      </c>
      <c r="J72" s="265">
        <f t="shared" si="112"/>
        <v>98.771934600000009</v>
      </c>
      <c r="K72" s="265">
        <f t="shared" si="112"/>
        <v>100.74737329200001</v>
      </c>
      <c r="L72" s="265">
        <f t="shared" si="112"/>
        <v>102.76232075784</v>
      </c>
      <c r="M72" s="265">
        <f t="shared" si="112"/>
        <v>104.8175671729968</v>
      </c>
      <c r="N72" s="265">
        <f t="shared" si="112"/>
        <v>106.91391851645675</v>
      </c>
      <c r="O72" s="265">
        <f t="shared" si="112"/>
        <v>109.05219688678588</v>
      </c>
      <c r="P72" s="265">
        <f t="shared" si="112"/>
        <v>111.2332408245216</v>
      </c>
      <c r="Q72" s="265">
        <f t="shared" si="112"/>
        <v>113.45790564101203</v>
      </c>
      <c r="R72" s="265">
        <f t="shared" si="112"/>
        <v>115.72706375383227</v>
      </c>
      <c r="S72" s="265">
        <f t="shared" si="112"/>
        <v>118.04160502890892</v>
      </c>
      <c r="T72" s="265">
        <f t="shared" si="112"/>
        <v>120.4024371294871</v>
      </c>
      <c r="U72" s="265">
        <f t="shared" si="112"/>
        <v>122.81048587207684</v>
      </c>
      <c r="V72" s="265">
        <f t="shared" si="112"/>
        <v>125.26669558951838</v>
      </c>
      <c r="W72" s="265">
        <f t="shared" si="112"/>
        <v>127.77202950130875</v>
      </c>
      <c r="X72" s="265">
        <f t="shared" si="112"/>
        <v>130.32747009133493</v>
      </c>
      <c r="Y72" s="265">
        <f t="shared" si="112"/>
        <v>132.93401949316163</v>
      </c>
      <c r="Z72" s="265">
        <f t="shared" si="112"/>
        <v>135.59269988302486</v>
      </c>
      <c r="AA72" s="265">
        <f t="shared" si="112"/>
        <v>138.30455388068538</v>
      </c>
      <c r="AB72" s="265">
        <f t="shared" si="112"/>
        <v>141.07064495829908</v>
      </c>
      <c r="AC72" s="265">
        <f t="shared" si="112"/>
        <v>143.89205785746506</v>
      </c>
      <c r="AD72" s="265">
        <f t="shared" si="112"/>
        <v>146.76989901461437</v>
      </c>
      <c r="AE72" s="265">
        <f t="shared" si="112"/>
        <v>149.70529699490666</v>
      </c>
      <c r="AF72" s="265">
        <f t="shared" si="112"/>
        <v>152.69940293480479</v>
      </c>
      <c r="AG72" s="265">
        <f t="shared" si="112"/>
        <v>155.75339099350089</v>
      </c>
      <c r="AH72" s="265">
        <f t="shared" si="112"/>
        <v>158.86845881337089</v>
      </c>
      <c r="AI72" s="265">
        <f t="shared" si="67"/>
        <v>162.04582798963833</v>
      </c>
      <c r="AJ72" s="265">
        <f t="shared" si="68"/>
        <v>165.28674454943109</v>
      </c>
      <c r="AK72" s="12"/>
      <c r="AL72" s="12"/>
      <c r="AM72" s="12"/>
      <c r="AN72" s="12"/>
      <c r="AO72" s="12"/>
      <c r="AP72" s="12"/>
    </row>
    <row r="73" spans="1:42" x14ac:dyDescent="0.2">
      <c r="A73" s="524">
        <v>506200</v>
      </c>
      <c r="B73" s="456">
        <f t="shared" si="65"/>
        <v>21.1864406779661</v>
      </c>
      <c r="C73" s="503" t="s">
        <v>188</v>
      </c>
      <c r="D73" s="134">
        <f ca="1">OFFSET('IE SUMMARY'!D48,0,MoveCount)</f>
        <v>8252.16</v>
      </c>
      <c r="E73" s="887">
        <v>2500</v>
      </c>
      <c r="F73" s="325">
        <f>E73/12</f>
        <v>208.33333333333334</v>
      </c>
      <c r="G73" s="265">
        <f t="shared" ref="G73:AH73" si="113">F73*(1+GlobalInflation)</f>
        <v>212.5</v>
      </c>
      <c r="H73" s="265">
        <f t="shared" si="113"/>
        <v>216.75</v>
      </c>
      <c r="I73" s="265">
        <f t="shared" si="113"/>
        <v>221.08500000000001</v>
      </c>
      <c r="J73" s="265">
        <f t="shared" si="113"/>
        <v>225.50670000000002</v>
      </c>
      <c r="K73" s="265">
        <f t="shared" si="113"/>
        <v>230.01683400000002</v>
      </c>
      <c r="L73" s="265">
        <f t="shared" si="113"/>
        <v>234.61717068000002</v>
      </c>
      <c r="M73" s="265">
        <f t="shared" si="113"/>
        <v>239.30951409360003</v>
      </c>
      <c r="N73" s="265">
        <f t="shared" si="113"/>
        <v>244.09570437547202</v>
      </c>
      <c r="O73" s="265">
        <f t="shared" si="113"/>
        <v>248.97761846298147</v>
      </c>
      <c r="P73" s="265">
        <f t="shared" si="113"/>
        <v>253.9571708322411</v>
      </c>
      <c r="Q73" s="265">
        <f t="shared" si="113"/>
        <v>259.03631424888596</v>
      </c>
      <c r="R73" s="265">
        <f t="shared" si="113"/>
        <v>264.21704053386367</v>
      </c>
      <c r="S73" s="265">
        <f t="shared" si="113"/>
        <v>269.50138134454096</v>
      </c>
      <c r="T73" s="265">
        <f t="shared" si="113"/>
        <v>274.89140897143176</v>
      </c>
      <c r="U73" s="265">
        <f t="shared" si="113"/>
        <v>280.38923715086042</v>
      </c>
      <c r="V73" s="265">
        <f t="shared" si="113"/>
        <v>285.99702189387762</v>
      </c>
      <c r="W73" s="265">
        <f t="shared" si="113"/>
        <v>291.71696233175516</v>
      </c>
      <c r="X73" s="265">
        <f t="shared" si="113"/>
        <v>297.55130157839028</v>
      </c>
      <c r="Y73" s="265">
        <f t="shared" si="113"/>
        <v>303.50232760995812</v>
      </c>
      <c r="Z73" s="265">
        <f t="shared" si="113"/>
        <v>309.5723741621573</v>
      </c>
      <c r="AA73" s="265">
        <f t="shared" si="113"/>
        <v>315.76382164540047</v>
      </c>
      <c r="AB73" s="265">
        <f t="shared" si="113"/>
        <v>322.0790980783085</v>
      </c>
      <c r="AC73" s="265">
        <f t="shared" si="113"/>
        <v>328.52068003987466</v>
      </c>
      <c r="AD73" s="265">
        <f t="shared" si="113"/>
        <v>335.09109364067217</v>
      </c>
      <c r="AE73" s="265">
        <f t="shared" si="113"/>
        <v>341.79291551348564</v>
      </c>
      <c r="AF73" s="265">
        <f t="shared" si="113"/>
        <v>348.62877382375535</v>
      </c>
      <c r="AG73" s="265">
        <f t="shared" si="113"/>
        <v>355.60134930023048</v>
      </c>
      <c r="AH73" s="265">
        <f t="shared" si="113"/>
        <v>362.71337628623507</v>
      </c>
      <c r="AI73" s="265">
        <f t="shared" si="67"/>
        <v>369.96764381195976</v>
      </c>
      <c r="AJ73" s="265">
        <f t="shared" si="68"/>
        <v>377.36699668819898</v>
      </c>
      <c r="AK73" s="12"/>
      <c r="AL73" s="12"/>
      <c r="AM73" s="12"/>
      <c r="AN73" s="12"/>
      <c r="AO73" s="12"/>
      <c r="AP73" s="12"/>
    </row>
    <row r="74" spans="1:42" x14ac:dyDescent="0.2">
      <c r="A74" s="524">
        <v>700200</v>
      </c>
      <c r="B74" s="456">
        <f t="shared" si="65"/>
        <v>14.40677966101695</v>
      </c>
      <c r="C74" s="503" t="s">
        <v>189</v>
      </c>
      <c r="D74" s="134">
        <f ca="1">OFFSET('IE SUMMARY'!D49,0,MoveCount)</f>
        <v>0</v>
      </c>
      <c r="E74" s="887">
        <v>1700</v>
      </c>
      <c r="F74" s="325">
        <f t="shared" si="106"/>
        <v>141.66666666666666</v>
      </c>
      <c r="G74" s="265">
        <f t="shared" ref="G74:AH74" si="114">F74*(1+GlobalInflation)</f>
        <v>144.5</v>
      </c>
      <c r="H74" s="265">
        <f t="shared" si="114"/>
        <v>147.39000000000001</v>
      </c>
      <c r="I74" s="265">
        <f t="shared" si="114"/>
        <v>150.33780000000002</v>
      </c>
      <c r="J74" s="265">
        <f t="shared" si="114"/>
        <v>153.34455600000001</v>
      </c>
      <c r="K74" s="265">
        <f t="shared" si="114"/>
        <v>156.41144712000002</v>
      </c>
      <c r="L74" s="265">
        <f t="shared" si="114"/>
        <v>159.53967606240002</v>
      </c>
      <c r="M74" s="265">
        <f t="shared" si="114"/>
        <v>162.73046958364802</v>
      </c>
      <c r="N74" s="265">
        <f t="shared" si="114"/>
        <v>165.98507897532099</v>
      </c>
      <c r="O74" s="265">
        <f t="shared" si="114"/>
        <v>169.3047805548274</v>
      </c>
      <c r="P74" s="265">
        <f t="shared" si="114"/>
        <v>172.69087616592395</v>
      </c>
      <c r="Q74" s="265">
        <f t="shared" si="114"/>
        <v>176.14469368924244</v>
      </c>
      <c r="R74" s="265">
        <f t="shared" si="114"/>
        <v>179.6675875630273</v>
      </c>
      <c r="S74" s="265">
        <f t="shared" si="114"/>
        <v>183.26093931428784</v>
      </c>
      <c r="T74" s="265">
        <f t="shared" si="114"/>
        <v>186.92615810057359</v>
      </c>
      <c r="U74" s="265">
        <f t="shared" si="114"/>
        <v>190.66468126258505</v>
      </c>
      <c r="V74" s="265">
        <f t="shared" si="114"/>
        <v>194.47797488783675</v>
      </c>
      <c r="W74" s="265">
        <f t="shared" si="114"/>
        <v>198.3675343855935</v>
      </c>
      <c r="X74" s="265">
        <f t="shared" si="114"/>
        <v>202.33488507330537</v>
      </c>
      <c r="Y74" s="265">
        <f t="shared" si="114"/>
        <v>206.38158277477149</v>
      </c>
      <c r="Z74" s="265">
        <f t="shared" si="114"/>
        <v>210.50921443026692</v>
      </c>
      <c r="AA74" s="265">
        <f t="shared" si="114"/>
        <v>214.71939871887227</v>
      </c>
      <c r="AB74" s="265">
        <f t="shared" si="114"/>
        <v>219.01378669324973</v>
      </c>
      <c r="AC74" s="265">
        <f t="shared" si="114"/>
        <v>223.39406242711473</v>
      </c>
      <c r="AD74" s="265">
        <f t="shared" si="114"/>
        <v>227.86194367565705</v>
      </c>
      <c r="AE74" s="265">
        <f t="shared" si="114"/>
        <v>232.41918254917019</v>
      </c>
      <c r="AF74" s="265">
        <f t="shared" si="114"/>
        <v>237.06756620015361</v>
      </c>
      <c r="AG74" s="265">
        <f t="shared" si="114"/>
        <v>241.80891752415667</v>
      </c>
      <c r="AH74" s="265">
        <f t="shared" si="114"/>
        <v>246.64509587463979</v>
      </c>
      <c r="AI74" s="265">
        <f t="shared" si="67"/>
        <v>251.57799779213261</v>
      </c>
      <c r="AJ74" s="265">
        <f t="shared" si="68"/>
        <v>256.60955774797526</v>
      </c>
      <c r="AK74" s="12"/>
      <c r="AL74" s="12"/>
      <c r="AM74" s="12"/>
      <c r="AN74" s="12"/>
      <c r="AO74" s="12"/>
      <c r="AP74" s="12"/>
    </row>
    <row r="75" spans="1:42" x14ac:dyDescent="0.2">
      <c r="A75" s="524">
        <v>501100</v>
      </c>
      <c r="B75" s="456">
        <f t="shared" si="65"/>
        <v>0</v>
      </c>
      <c r="C75" s="503" t="s">
        <v>190</v>
      </c>
      <c r="D75" s="134">
        <f ca="1">OFFSET('IE SUMMARY'!D50,0,MoveCount)</f>
        <v>0</v>
      </c>
      <c r="E75" s="887">
        <v>0</v>
      </c>
      <c r="F75" s="325">
        <f t="shared" si="106"/>
        <v>0</v>
      </c>
      <c r="G75" s="265">
        <f t="shared" ref="G75:AH75" si="115">F75*(1+GlobalInflation)</f>
        <v>0</v>
      </c>
      <c r="H75" s="265">
        <f t="shared" si="115"/>
        <v>0</v>
      </c>
      <c r="I75" s="265">
        <f t="shared" si="115"/>
        <v>0</v>
      </c>
      <c r="J75" s="265">
        <f t="shared" si="115"/>
        <v>0</v>
      </c>
      <c r="K75" s="265">
        <f t="shared" si="115"/>
        <v>0</v>
      </c>
      <c r="L75" s="265">
        <f t="shared" si="115"/>
        <v>0</v>
      </c>
      <c r="M75" s="265">
        <f t="shared" si="115"/>
        <v>0</v>
      </c>
      <c r="N75" s="265">
        <f t="shared" si="115"/>
        <v>0</v>
      </c>
      <c r="O75" s="265">
        <f t="shared" si="115"/>
        <v>0</v>
      </c>
      <c r="P75" s="265">
        <f t="shared" si="115"/>
        <v>0</v>
      </c>
      <c r="Q75" s="265">
        <f t="shared" si="115"/>
        <v>0</v>
      </c>
      <c r="R75" s="265">
        <f t="shared" si="115"/>
        <v>0</v>
      </c>
      <c r="S75" s="265">
        <f t="shared" si="115"/>
        <v>0</v>
      </c>
      <c r="T75" s="265">
        <f t="shared" si="115"/>
        <v>0</v>
      </c>
      <c r="U75" s="265">
        <f t="shared" si="115"/>
        <v>0</v>
      </c>
      <c r="V75" s="265">
        <f t="shared" si="115"/>
        <v>0</v>
      </c>
      <c r="W75" s="265">
        <f t="shared" si="115"/>
        <v>0</v>
      </c>
      <c r="X75" s="265">
        <f t="shared" si="115"/>
        <v>0</v>
      </c>
      <c r="Y75" s="265">
        <f t="shared" si="115"/>
        <v>0</v>
      </c>
      <c r="Z75" s="265">
        <f t="shared" si="115"/>
        <v>0</v>
      </c>
      <c r="AA75" s="265">
        <f t="shared" si="115"/>
        <v>0</v>
      </c>
      <c r="AB75" s="265">
        <f t="shared" si="115"/>
        <v>0</v>
      </c>
      <c r="AC75" s="265">
        <f t="shared" si="115"/>
        <v>0</v>
      </c>
      <c r="AD75" s="265">
        <f t="shared" si="115"/>
        <v>0</v>
      </c>
      <c r="AE75" s="265">
        <f t="shared" si="115"/>
        <v>0</v>
      </c>
      <c r="AF75" s="265">
        <f t="shared" si="115"/>
        <v>0</v>
      </c>
      <c r="AG75" s="265">
        <f t="shared" si="115"/>
        <v>0</v>
      </c>
      <c r="AH75" s="265">
        <f t="shared" si="115"/>
        <v>0</v>
      </c>
      <c r="AI75" s="265">
        <f t="shared" si="67"/>
        <v>0</v>
      </c>
      <c r="AJ75" s="265">
        <f t="shared" si="68"/>
        <v>0</v>
      </c>
      <c r="AK75" s="12"/>
      <c r="AL75" s="12"/>
      <c r="AM75" s="12"/>
      <c r="AN75" s="12"/>
      <c r="AO75" s="12"/>
      <c r="AP75" s="12"/>
    </row>
    <row r="76" spans="1:42" x14ac:dyDescent="0.2">
      <c r="A76" s="524">
        <v>506100</v>
      </c>
      <c r="B76" s="456">
        <f t="shared" si="65"/>
        <v>20.762711864406779</v>
      </c>
      <c r="C76" s="503" t="s">
        <v>191</v>
      </c>
      <c r="D76" s="134">
        <f ca="1">OFFSET('IE SUMMARY'!D51,0,MoveCount)</f>
        <v>0</v>
      </c>
      <c r="E76" s="887">
        <v>2450</v>
      </c>
      <c r="F76" s="325">
        <f>E76/12</f>
        <v>204.16666666666666</v>
      </c>
      <c r="G76" s="265">
        <f t="shared" ref="G76:AH76" si="116">F76*(1+GlobalInflation)</f>
        <v>208.25</v>
      </c>
      <c r="H76" s="265">
        <f t="shared" si="116"/>
        <v>212.41499999999999</v>
      </c>
      <c r="I76" s="265">
        <f t="shared" si="116"/>
        <v>216.66329999999999</v>
      </c>
      <c r="J76" s="265">
        <f t="shared" si="116"/>
        <v>220.996566</v>
      </c>
      <c r="K76" s="265">
        <f t="shared" si="116"/>
        <v>225.41649732000002</v>
      </c>
      <c r="L76" s="265">
        <f t="shared" si="116"/>
        <v>229.92482726640003</v>
      </c>
      <c r="M76" s="265">
        <f t="shared" si="116"/>
        <v>234.52332381172803</v>
      </c>
      <c r="N76" s="265">
        <f t="shared" si="116"/>
        <v>239.21379028796261</v>
      </c>
      <c r="O76" s="265">
        <f t="shared" si="116"/>
        <v>243.99806609372186</v>
      </c>
      <c r="P76" s="265">
        <f t="shared" si="116"/>
        <v>248.87802741559631</v>
      </c>
      <c r="Q76" s="265">
        <f t="shared" si="116"/>
        <v>253.85558796390825</v>
      </c>
      <c r="R76" s="265">
        <f t="shared" si="116"/>
        <v>258.93269972318643</v>
      </c>
      <c r="S76" s="265">
        <f t="shared" si="116"/>
        <v>264.11135371765016</v>
      </c>
      <c r="T76" s="265">
        <f t="shared" si="116"/>
        <v>269.39358079200315</v>
      </c>
      <c r="U76" s="265">
        <f t="shared" si="116"/>
        <v>274.78145240784323</v>
      </c>
      <c r="V76" s="265">
        <f t="shared" si="116"/>
        <v>280.27708145600008</v>
      </c>
      <c r="W76" s="265">
        <f t="shared" si="116"/>
        <v>285.88262308512009</v>
      </c>
      <c r="X76" s="265">
        <f t="shared" si="116"/>
        <v>291.6002755468225</v>
      </c>
      <c r="Y76" s="265">
        <f t="shared" si="116"/>
        <v>297.43228105775898</v>
      </c>
      <c r="Z76" s="265">
        <f t="shared" si="116"/>
        <v>303.38092667891419</v>
      </c>
      <c r="AA76" s="265">
        <f t="shared" si="116"/>
        <v>309.44854521249249</v>
      </c>
      <c r="AB76" s="265">
        <f t="shared" si="116"/>
        <v>315.63751611674235</v>
      </c>
      <c r="AC76" s="265">
        <f t="shared" si="116"/>
        <v>321.95026643907721</v>
      </c>
      <c r="AD76" s="265">
        <f t="shared" si="116"/>
        <v>328.38927176785876</v>
      </c>
      <c r="AE76" s="265">
        <f t="shared" si="116"/>
        <v>334.95705720321592</v>
      </c>
      <c r="AF76" s="265">
        <f t="shared" si="116"/>
        <v>341.65619834728022</v>
      </c>
      <c r="AG76" s="265">
        <f t="shared" si="116"/>
        <v>348.48932231422583</v>
      </c>
      <c r="AH76" s="265">
        <f t="shared" si="116"/>
        <v>355.45910876051033</v>
      </c>
      <c r="AI76" s="265">
        <f t="shared" si="67"/>
        <v>362.56829093572054</v>
      </c>
      <c r="AJ76" s="265">
        <f t="shared" si="68"/>
        <v>369.81965675443496</v>
      </c>
      <c r="AK76" s="12"/>
      <c r="AL76" s="12"/>
      <c r="AM76" s="12"/>
      <c r="AN76" s="12"/>
      <c r="AO76" s="12"/>
      <c r="AP76" s="12"/>
    </row>
    <row r="77" spans="1:42" x14ac:dyDescent="0.2">
      <c r="A77" s="524">
        <v>700400</v>
      </c>
      <c r="B77" s="456">
        <f t="shared" ca="1" si="65"/>
        <v>44.813181355932208</v>
      </c>
      <c r="C77" s="503" t="s">
        <v>192</v>
      </c>
      <c r="D77" s="134">
        <f ca="1">OFFSET('IE SUMMARY'!D52,0,MoveCount)</f>
        <v>5184.2700000000004</v>
      </c>
      <c r="E77" s="887">
        <f ca="1">+D77*1.02</f>
        <v>5287.9554000000007</v>
      </c>
      <c r="F77" s="325">
        <f ca="1">E77/12</f>
        <v>440.66295000000008</v>
      </c>
      <c r="G77" s="265">
        <f t="shared" ref="G77:AH77" ca="1" si="117">F77*(1+GlobalInflation)</f>
        <v>449.4762090000001</v>
      </c>
      <c r="H77" s="265">
        <f t="shared" ca="1" si="117"/>
        <v>458.46573318000009</v>
      </c>
      <c r="I77" s="265">
        <f t="shared" ca="1" si="117"/>
        <v>467.63504784360009</v>
      </c>
      <c r="J77" s="265">
        <f t="shared" ca="1" si="117"/>
        <v>476.9877488004721</v>
      </c>
      <c r="K77" s="265">
        <f t="shared" ca="1" si="117"/>
        <v>486.52750377648158</v>
      </c>
      <c r="L77" s="265">
        <f t="shared" ca="1" si="117"/>
        <v>496.25805385201124</v>
      </c>
      <c r="M77" s="265">
        <f t="shared" ca="1" si="117"/>
        <v>506.18321492905147</v>
      </c>
      <c r="N77" s="265">
        <f t="shared" ca="1" si="117"/>
        <v>516.30687922763252</v>
      </c>
      <c r="O77" s="265">
        <f t="shared" ca="1" si="117"/>
        <v>526.63301681218513</v>
      </c>
      <c r="P77" s="265">
        <f t="shared" ca="1" si="117"/>
        <v>537.16567714842881</v>
      </c>
      <c r="Q77" s="265">
        <f t="shared" ca="1" si="117"/>
        <v>547.90899069139743</v>
      </c>
      <c r="R77" s="265">
        <f t="shared" ca="1" si="117"/>
        <v>558.86717050522543</v>
      </c>
      <c r="S77" s="265">
        <f t="shared" ca="1" si="117"/>
        <v>570.04451391532996</v>
      </c>
      <c r="T77" s="265">
        <f t="shared" ca="1" si="117"/>
        <v>581.44540419363659</v>
      </c>
      <c r="U77" s="265">
        <f t="shared" ca="1" si="117"/>
        <v>593.07431227750931</v>
      </c>
      <c r="V77" s="265">
        <f t="shared" ca="1" si="117"/>
        <v>604.93579852305947</v>
      </c>
      <c r="W77" s="265">
        <f t="shared" ca="1" si="117"/>
        <v>617.03451449352065</v>
      </c>
      <c r="X77" s="265">
        <f t="shared" ca="1" si="117"/>
        <v>629.37520478339104</v>
      </c>
      <c r="Y77" s="265">
        <f t="shared" ca="1" si="117"/>
        <v>641.96270887905882</v>
      </c>
      <c r="Z77" s="265">
        <f t="shared" ca="1" si="117"/>
        <v>654.80196305664003</v>
      </c>
      <c r="AA77" s="265">
        <f t="shared" ca="1" si="117"/>
        <v>667.89800231777281</v>
      </c>
      <c r="AB77" s="265">
        <f t="shared" ca="1" si="117"/>
        <v>681.25596236412832</v>
      </c>
      <c r="AC77" s="265">
        <f t="shared" ca="1" si="117"/>
        <v>694.88108161141088</v>
      </c>
      <c r="AD77" s="265">
        <f t="shared" ca="1" si="117"/>
        <v>708.77870324363914</v>
      </c>
      <c r="AE77" s="265">
        <f t="shared" ca="1" si="117"/>
        <v>722.95427730851191</v>
      </c>
      <c r="AF77" s="265">
        <f t="shared" ca="1" si="117"/>
        <v>737.41336285468219</v>
      </c>
      <c r="AG77" s="265">
        <f t="shared" ca="1" si="117"/>
        <v>752.16163011177582</v>
      </c>
      <c r="AH77" s="265">
        <f t="shared" ca="1" si="117"/>
        <v>767.20486271401137</v>
      </c>
      <c r="AI77" s="265">
        <f t="shared" ca="1" si="67"/>
        <v>782.54895996829157</v>
      </c>
      <c r="AJ77" s="265">
        <f t="shared" ca="1" si="68"/>
        <v>798.19993916765736</v>
      </c>
      <c r="AK77" s="12"/>
      <c r="AL77" s="12"/>
      <c r="AM77" s="12"/>
      <c r="AN77" s="12"/>
      <c r="AO77" s="12"/>
      <c r="AP77" s="12"/>
    </row>
    <row r="78" spans="1:42" x14ac:dyDescent="0.2">
      <c r="A78" s="524">
        <v>506400</v>
      </c>
      <c r="B78" s="456">
        <f t="shared" si="65"/>
        <v>4.2372881355932206</v>
      </c>
      <c r="C78" s="503" t="s">
        <v>193</v>
      </c>
      <c r="D78" s="134">
        <f ca="1">OFFSET('IE SUMMARY'!D53,0,MoveCount)</f>
        <v>935.16</v>
      </c>
      <c r="E78" s="887">
        <v>500</v>
      </c>
      <c r="F78" s="325">
        <f>E78/12</f>
        <v>41.666666666666664</v>
      </c>
      <c r="G78" s="265">
        <f t="shared" ref="G78:AH78" si="118">F78*(1+GlobalInflation)</f>
        <v>42.5</v>
      </c>
      <c r="H78" s="265">
        <f t="shared" si="118"/>
        <v>43.35</v>
      </c>
      <c r="I78" s="265">
        <f t="shared" si="118"/>
        <v>44.216999999999999</v>
      </c>
      <c r="J78" s="265">
        <f t="shared" si="118"/>
        <v>45.10134</v>
      </c>
      <c r="K78" s="265">
        <f t="shared" si="118"/>
        <v>46.003366800000002</v>
      </c>
      <c r="L78" s="265">
        <f t="shared" si="118"/>
        <v>46.923434136000004</v>
      </c>
      <c r="M78" s="265">
        <f t="shared" si="118"/>
        <v>47.861902818720004</v>
      </c>
      <c r="N78" s="265">
        <f t="shared" si="118"/>
        <v>48.819140875094405</v>
      </c>
      <c r="O78" s="265">
        <f t="shared" si="118"/>
        <v>49.795523692596291</v>
      </c>
      <c r="P78" s="265">
        <f t="shared" si="118"/>
        <v>50.791434166448219</v>
      </c>
      <c r="Q78" s="265">
        <f t="shared" si="118"/>
        <v>51.807262849777182</v>
      </c>
      <c r="R78" s="265">
        <f t="shared" si="118"/>
        <v>52.843408106772728</v>
      </c>
      <c r="S78" s="265">
        <f t="shared" si="118"/>
        <v>53.900276268908186</v>
      </c>
      <c r="T78" s="265">
        <f t="shared" si="118"/>
        <v>54.978281794286353</v>
      </c>
      <c r="U78" s="265">
        <f t="shared" si="118"/>
        <v>56.077847430172078</v>
      </c>
      <c r="V78" s="265">
        <f t="shared" si="118"/>
        <v>57.199404378775519</v>
      </c>
      <c r="W78" s="265">
        <f t="shared" si="118"/>
        <v>58.343392466351027</v>
      </c>
      <c r="X78" s="265">
        <f t="shared" si="118"/>
        <v>59.510260315678046</v>
      </c>
      <c r="Y78" s="265">
        <f t="shared" si="118"/>
        <v>60.70046552199161</v>
      </c>
      <c r="Z78" s="265">
        <f t="shared" si="118"/>
        <v>61.914474832431445</v>
      </c>
      <c r="AA78" s="265">
        <f t="shared" si="118"/>
        <v>63.152764329080078</v>
      </c>
      <c r="AB78" s="265">
        <f t="shared" si="118"/>
        <v>64.415819615661675</v>
      </c>
      <c r="AC78" s="265">
        <f t="shared" si="118"/>
        <v>65.70413600797491</v>
      </c>
      <c r="AD78" s="265">
        <f t="shared" si="118"/>
        <v>67.018218728134414</v>
      </c>
      <c r="AE78" s="265">
        <f t="shared" si="118"/>
        <v>68.358583102697111</v>
      </c>
      <c r="AF78" s="265">
        <f t="shared" si="118"/>
        <v>69.725754764751059</v>
      </c>
      <c r="AG78" s="265">
        <f t="shared" si="118"/>
        <v>71.120269860046079</v>
      </c>
      <c r="AH78" s="265">
        <f t="shared" si="118"/>
        <v>72.542675257246998</v>
      </c>
      <c r="AI78" s="265">
        <f t="shared" si="67"/>
        <v>73.993528762391932</v>
      </c>
      <c r="AJ78" s="265">
        <f t="shared" si="68"/>
        <v>75.473399337639776</v>
      </c>
      <c r="AK78" s="12"/>
      <c r="AL78" s="12"/>
      <c r="AM78" s="12"/>
      <c r="AN78" s="12"/>
      <c r="AO78" s="12"/>
      <c r="AP78" s="12"/>
    </row>
    <row r="79" spans="1:42" x14ac:dyDescent="0.2">
      <c r="A79" s="524">
        <v>560000</v>
      </c>
      <c r="B79" s="456">
        <f t="shared" si="65"/>
        <v>21.1864406779661</v>
      </c>
      <c r="C79" s="503" t="s">
        <v>194</v>
      </c>
      <c r="D79" s="134">
        <f ca="1">OFFSET('IE SUMMARY'!D54,0,MoveCount)</f>
        <v>3310.31</v>
      </c>
      <c r="E79" s="887">
        <v>2500</v>
      </c>
      <c r="F79" s="325">
        <f>E79/12</f>
        <v>208.33333333333334</v>
      </c>
      <c r="G79" s="265">
        <f t="shared" ref="G79:AH79" si="119">F79*(1+GlobalInflation)</f>
        <v>212.5</v>
      </c>
      <c r="H79" s="265">
        <f t="shared" si="119"/>
        <v>216.75</v>
      </c>
      <c r="I79" s="265">
        <f t="shared" si="119"/>
        <v>221.08500000000001</v>
      </c>
      <c r="J79" s="265">
        <f t="shared" si="119"/>
        <v>225.50670000000002</v>
      </c>
      <c r="K79" s="265">
        <f t="shared" si="119"/>
        <v>230.01683400000002</v>
      </c>
      <c r="L79" s="265">
        <f t="shared" si="119"/>
        <v>234.61717068000002</v>
      </c>
      <c r="M79" s="265">
        <f t="shared" si="119"/>
        <v>239.30951409360003</v>
      </c>
      <c r="N79" s="265">
        <f t="shared" si="119"/>
        <v>244.09570437547202</v>
      </c>
      <c r="O79" s="265">
        <f t="shared" si="119"/>
        <v>248.97761846298147</v>
      </c>
      <c r="P79" s="265">
        <f t="shared" si="119"/>
        <v>253.9571708322411</v>
      </c>
      <c r="Q79" s="265">
        <f t="shared" si="119"/>
        <v>259.03631424888596</v>
      </c>
      <c r="R79" s="265">
        <f t="shared" si="119"/>
        <v>264.21704053386367</v>
      </c>
      <c r="S79" s="265">
        <f t="shared" si="119"/>
        <v>269.50138134454096</v>
      </c>
      <c r="T79" s="265">
        <f t="shared" si="119"/>
        <v>274.89140897143176</v>
      </c>
      <c r="U79" s="265">
        <f t="shared" si="119"/>
        <v>280.38923715086042</v>
      </c>
      <c r="V79" s="265">
        <f t="shared" si="119"/>
        <v>285.99702189387762</v>
      </c>
      <c r="W79" s="265">
        <f t="shared" si="119"/>
        <v>291.71696233175516</v>
      </c>
      <c r="X79" s="265">
        <f t="shared" si="119"/>
        <v>297.55130157839028</v>
      </c>
      <c r="Y79" s="265">
        <f t="shared" si="119"/>
        <v>303.50232760995812</v>
      </c>
      <c r="Z79" s="265">
        <f t="shared" si="119"/>
        <v>309.5723741621573</v>
      </c>
      <c r="AA79" s="265">
        <f t="shared" si="119"/>
        <v>315.76382164540047</v>
      </c>
      <c r="AB79" s="265">
        <f t="shared" si="119"/>
        <v>322.0790980783085</v>
      </c>
      <c r="AC79" s="265">
        <f t="shared" si="119"/>
        <v>328.52068003987466</v>
      </c>
      <c r="AD79" s="265">
        <f t="shared" si="119"/>
        <v>335.09109364067217</v>
      </c>
      <c r="AE79" s="265">
        <f t="shared" si="119"/>
        <v>341.79291551348564</v>
      </c>
      <c r="AF79" s="265">
        <f t="shared" si="119"/>
        <v>348.62877382375535</v>
      </c>
      <c r="AG79" s="265">
        <f t="shared" si="119"/>
        <v>355.60134930023048</v>
      </c>
      <c r="AH79" s="265">
        <f t="shared" si="119"/>
        <v>362.71337628623507</v>
      </c>
      <c r="AI79" s="265">
        <f t="shared" si="67"/>
        <v>369.96764381195976</v>
      </c>
      <c r="AJ79" s="265">
        <f t="shared" si="68"/>
        <v>377.36699668819898</v>
      </c>
      <c r="AK79" s="12"/>
      <c r="AL79" s="12"/>
      <c r="AM79" s="12"/>
      <c r="AN79" s="12"/>
      <c r="AO79" s="12"/>
      <c r="AP79" s="12"/>
    </row>
    <row r="80" spans="1:42" x14ac:dyDescent="0.2">
      <c r="A80" s="524">
        <v>500000</v>
      </c>
      <c r="B80" s="456">
        <f t="shared" si="65"/>
        <v>487.86962386440678</v>
      </c>
      <c r="C80" s="503" t="str">
        <f>"Professional Mgmt ("&amp;TEXT(MgmtFeeLimit,"$0,0")&amp;"/mo or "&amp;TEXT(MgmtFee,"0.0%"&amp;")")</f>
        <v>Professional Mgmt ($2,000/mo or 4.0%)</v>
      </c>
      <c r="D80" s="134">
        <f ca="1">OFFSET('IE SUMMARY'!D55,0,MoveCount)</f>
        <v>0</v>
      </c>
      <c r="E80" s="887">
        <f>F80*12</f>
        <v>57568.615616000003</v>
      </c>
      <c r="F80" s="326">
        <f t="shared" ref="F80:AH80" si="120">IF(F54*MgmtFee&gt;MgmtFeeLimit,F54*MgmtFee,MgmtFeeLimit)</f>
        <v>4797.3846346666669</v>
      </c>
      <c r="G80" s="265">
        <f t="shared" si="120"/>
        <v>5150.3667273599995</v>
      </c>
      <c r="H80" s="265">
        <f t="shared" si="120"/>
        <v>5402.4518099072002</v>
      </c>
      <c r="I80" s="265">
        <f t="shared" si="120"/>
        <v>5668.4866471853447</v>
      </c>
      <c r="J80" s="265">
        <f t="shared" si="120"/>
        <v>5907.8132604446519</v>
      </c>
      <c r="K80" s="265">
        <f t="shared" si="120"/>
        <v>6114.6568569359251</v>
      </c>
      <c r="L80" s="265">
        <f t="shared" si="120"/>
        <v>6329.1763772922432</v>
      </c>
      <c r="M80" s="265">
        <f t="shared" si="120"/>
        <v>6551.6666488288356</v>
      </c>
      <c r="N80" s="265">
        <f t="shared" si="120"/>
        <v>6782.4340401635654</v>
      </c>
      <c r="O80" s="265">
        <f t="shared" si="120"/>
        <v>7021.7969176053257</v>
      </c>
      <c r="P80" s="265">
        <f t="shared" si="120"/>
        <v>7270.0861196858496</v>
      </c>
      <c r="Q80" s="265">
        <f t="shared" si="120"/>
        <v>7527.6454505582424</v>
      </c>
      <c r="R80" s="265">
        <f t="shared" si="120"/>
        <v>7794.8321930143857</v>
      </c>
      <c r="S80" s="265">
        <f t="shared" si="120"/>
        <v>8072.0176419034196</v>
      </c>
      <c r="T80" s="265">
        <f t="shared" si="120"/>
        <v>8359.5876587647326</v>
      </c>
      <c r="U80" s="265">
        <f t="shared" si="120"/>
        <v>8657.9432485213511</v>
      </c>
      <c r="V80" s="265">
        <f t="shared" si="120"/>
        <v>8967.5011591134189</v>
      </c>
      <c r="W80" s="265">
        <f t="shared" si="120"/>
        <v>9288.6945049865681</v>
      </c>
      <c r="X80" s="265">
        <f t="shared" si="120"/>
        <v>9621.9734153865229</v>
      </c>
      <c r="Y80" s="265">
        <f t="shared" si="120"/>
        <v>9967.8057084492448</v>
      </c>
      <c r="Z80" s="265">
        <f t="shared" si="120"/>
        <v>10326.67759211546</v>
      </c>
      <c r="AA80" s="265">
        <f t="shared" si="120"/>
        <v>10699.094392939489</v>
      </c>
      <c r="AB80" s="265">
        <f t="shared" si="120"/>
        <v>11085.581313905011</v>
      </c>
      <c r="AC80" s="265">
        <f t="shared" si="120"/>
        <v>11486.684222404825</v>
      </c>
      <c r="AD80" s="265">
        <f t="shared" si="120"/>
        <v>11902.970469587934</v>
      </c>
      <c r="AE80" s="265">
        <f t="shared" si="120"/>
        <v>12335.029742325274</v>
      </c>
      <c r="AF80" s="265">
        <f t="shared" si="120"/>
        <v>12783.474949095387</v>
      </c>
      <c r="AG80" s="265">
        <f t="shared" si="120"/>
        <v>13248.943141143376</v>
      </c>
      <c r="AH80" s="265">
        <f t="shared" si="120"/>
        <v>13732.096470320454</v>
      </c>
      <c r="AI80" s="265">
        <f t="shared" ref="AI80:AJ80" si="121">IF(AI54*MgmtFee&gt;MgmtFeeLimit,AI54*MgmtFee,MgmtFeeLimit)</f>
        <v>14233.623185067705</v>
      </c>
      <c r="AJ80" s="265">
        <f t="shared" si="121"/>
        <v>14754.238666065969</v>
      </c>
      <c r="AK80" s="12"/>
      <c r="AL80" s="12"/>
      <c r="AM80" s="12"/>
      <c r="AN80" s="12"/>
      <c r="AO80" s="12"/>
      <c r="AP80" s="12"/>
    </row>
    <row r="81" spans="1:78" ht="13.5" thickBot="1" x14ac:dyDescent="0.25">
      <c r="A81" s="500"/>
      <c r="B81" s="588">
        <f t="shared" ca="1" si="65"/>
        <v>553.40621766666675</v>
      </c>
      <c r="C81" s="584" t="s">
        <v>195</v>
      </c>
      <c r="D81" s="585">
        <f ca="1">SUM(D57:D80)/12</f>
        <v>57836.128333333349</v>
      </c>
      <c r="E81" s="586">
        <f ca="1">F81</f>
        <v>65301.93368466667</v>
      </c>
      <c r="F81" s="590">
        <f t="shared" ref="F81:AH81" ca="1" si="122">SUM(F57:F80)</f>
        <v>65301.93368466667</v>
      </c>
      <c r="G81" s="590">
        <f t="shared" ca="1" si="122"/>
        <v>64141.67342502666</v>
      </c>
      <c r="H81" s="590">
        <f t="shared" ca="1" si="122"/>
        <v>65573.58464152721</v>
      </c>
      <c r="I81" s="590">
        <f t="shared" ca="1" si="122"/>
        <v>67043.042135437732</v>
      </c>
      <c r="J81" s="590">
        <f t="shared" ca="1" si="122"/>
        <v>68509.859858462092</v>
      </c>
      <c r="K81" s="590">
        <f t="shared" ca="1" si="122"/>
        <v>69968.744386913735</v>
      </c>
      <c r="L81" s="590">
        <f t="shared" ca="1" si="122"/>
        <v>71460.345657869606</v>
      </c>
      <c r="M81" s="590">
        <f t="shared" ca="1" si="122"/>
        <v>72985.459315017753</v>
      </c>
      <c r="N81" s="590">
        <f t="shared" ca="1" si="122"/>
        <v>74544.90255967628</v>
      </c>
      <c r="O81" s="590">
        <f t="shared" ca="1" si="122"/>
        <v>76139.514807508283</v>
      </c>
      <c r="P81" s="590">
        <f t="shared" ca="1" si="122"/>
        <v>77770.158367386874</v>
      </c>
      <c r="Q81" s="590">
        <f t="shared" ca="1" si="122"/>
        <v>79437.719143213297</v>
      </c>
      <c r="R81" s="590">
        <f t="shared" ca="1" si="122"/>
        <v>81143.107359522517</v>
      </c>
      <c r="S81" s="590">
        <f t="shared" ca="1" si="122"/>
        <v>82887.258311741723</v>
      </c>
      <c r="T81" s="590">
        <f t="shared" ca="1" si="122"/>
        <v>84671.133141999802</v>
      </c>
      <c r="U81" s="590">
        <f t="shared" ca="1" si="122"/>
        <v>86495.719641421092</v>
      </c>
      <c r="V81" s="590">
        <f t="shared" ca="1" si="122"/>
        <v>88362.033079871195</v>
      </c>
      <c r="W81" s="590">
        <f t="shared" ca="1" si="122"/>
        <v>90271.117064159509</v>
      </c>
      <c r="X81" s="590">
        <f t="shared" ca="1" si="122"/>
        <v>92224.044425742904</v>
      </c>
      <c r="Y81" s="590">
        <f t="shared" ca="1" si="122"/>
        <v>94221.918139012749</v>
      </c>
      <c r="Z81" s="590">
        <f t="shared" ca="1" si="122"/>
        <v>96265.872271290253</v>
      </c>
      <c r="AA81" s="590">
        <f t="shared" ca="1" si="122"/>
        <v>98357.072965697764</v>
      </c>
      <c r="AB81" s="590">
        <f t="shared" ca="1" si="122"/>
        <v>100496.71945811843</v>
      </c>
      <c r="AC81" s="590">
        <f t="shared" ca="1" si="122"/>
        <v>102686.04512950254</v>
      </c>
      <c r="AD81" s="590">
        <f t="shared" ca="1" si="122"/>
        <v>104926.31859482759</v>
      </c>
      <c r="AE81" s="590">
        <f t="shared" ca="1" si="122"/>
        <v>107218.84483006975</v>
      </c>
      <c r="AF81" s="590">
        <f t="shared" ca="1" si="122"/>
        <v>109564.96633859474</v>
      </c>
      <c r="AG81" s="590">
        <f t="shared" ca="1" si="122"/>
        <v>111966.06435843269</v>
      </c>
      <c r="AH81" s="590">
        <f t="shared" ca="1" si="122"/>
        <v>114423.56011195562</v>
      </c>
      <c r="AI81" s="590">
        <f t="shared" ref="AI81:AJ81" ca="1" si="123">SUM(AI57:AI80)</f>
        <v>116938.91609953556</v>
      </c>
      <c r="AJ81" s="590">
        <f t="shared" ca="1" si="123"/>
        <v>119513.63743882316</v>
      </c>
      <c r="AK81" s="500"/>
      <c r="AL81" s="500"/>
      <c r="AM81" s="500"/>
      <c r="AN81" s="500"/>
      <c r="AO81" s="500"/>
      <c r="AP81" s="500"/>
      <c r="AQ81" s="500"/>
      <c r="AR81" s="500"/>
      <c r="AS81" s="500"/>
      <c r="AT81" s="500"/>
      <c r="AU81" s="500"/>
      <c r="AV81" s="500"/>
      <c r="AW81" s="500"/>
      <c r="AX81" s="500"/>
      <c r="AY81" s="500"/>
      <c r="AZ81" s="500"/>
      <c r="BA81" s="500"/>
      <c r="BB81" s="500"/>
      <c r="BC81" s="500"/>
      <c r="BD81" s="500"/>
      <c r="BE81" s="500"/>
      <c r="BF81" s="500"/>
      <c r="BG81" s="500"/>
      <c r="BH81" s="500"/>
      <c r="BI81" s="500"/>
      <c r="BJ81" s="500"/>
      <c r="BK81" s="500"/>
      <c r="BL81" s="500"/>
      <c r="BM81" s="500"/>
      <c r="BN81" s="500"/>
      <c r="BO81" s="500"/>
      <c r="BP81" s="500"/>
      <c r="BQ81" s="500"/>
      <c r="BR81" s="500"/>
      <c r="BS81" s="500"/>
      <c r="BT81" s="500"/>
      <c r="BU81" s="500"/>
      <c r="BV81" s="500"/>
      <c r="BW81" s="500"/>
      <c r="BX81" s="500"/>
      <c r="BY81" s="500"/>
      <c r="BZ81" s="500"/>
    </row>
    <row r="82" spans="1:78" ht="13.5" thickTop="1" x14ac:dyDescent="0.2">
      <c r="A82" s="500"/>
      <c r="C82" s="14"/>
      <c r="D82" s="275" t="str">
        <f ca="1">TEXT(SUM(D57:D80),"0,0")&amp;"  ("&amp;TEXT((SUM(D57:D80)/D53),"0%")&amp;")"</f>
        <v>694,034  (62%)</v>
      </c>
      <c r="E82" s="324">
        <f ca="1">E81*12</f>
        <v>783623.20421600004</v>
      </c>
      <c r="F82" s="286" t="str">
        <f t="shared" ref="F82:K82" ca="1" si="124">"Ratio= "&amp;TEXT(F81/F54,"0%")</f>
        <v>Ratio= 54%</v>
      </c>
      <c r="G82" s="286" t="str">
        <f t="shared" ca="1" si="124"/>
        <v>Ratio= 50%</v>
      </c>
      <c r="H82" s="286" t="str">
        <f t="shared" ca="1" si="124"/>
        <v>Ratio= 49%</v>
      </c>
      <c r="I82" s="286" t="str">
        <f t="shared" ca="1" si="124"/>
        <v>Ratio= 47%</v>
      </c>
      <c r="J82" s="286" t="str">
        <f t="shared" ca="1" si="124"/>
        <v>Ratio= 46%</v>
      </c>
      <c r="K82" s="286" t="str">
        <f t="shared" ca="1" si="124"/>
        <v>Ratio= 46%</v>
      </c>
      <c r="L82" s="327"/>
      <c r="M82" s="500"/>
      <c r="N82" s="500"/>
      <c r="O82" s="500"/>
      <c r="P82" s="500"/>
      <c r="Q82" s="500"/>
      <c r="R82" s="500"/>
      <c r="S82" s="500"/>
      <c r="T82" s="500"/>
      <c r="U82" s="500"/>
      <c r="V82" s="500"/>
      <c r="W82" s="500"/>
      <c r="X82" s="500"/>
      <c r="Y82" s="500"/>
      <c r="Z82" s="500"/>
      <c r="AA82" s="500"/>
      <c r="AB82" s="500"/>
      <c r="AC82" s="500"/>
      <c r="AD82" s="500"/>
      <c r="AE82" s="500"/>
      <c r="AF82" s="500"/>
      <c r="AG82" s="500"/>
      <c r="AH82" s="500"/>
      <c r="AI82" s="500"/>
      <c r="AJ82" s="500"/>
      <c r="AK82" s="500"/>
      <c r="AL82" s="500"/>
      <c r="AM82" s="500"/>
      <c r="AN82" s="500"/>
      <c r="AO82" s="500"/>
      <c r="AP82" s="500"/>
      <c r="AQ82" s="500"/>
      <c r="AR82" s="500"/>
      <c r="AS82" s="500"/>
      <c r="AT82" s="500"/>
      <c r="AU82" s="500"/>
      <c r="AV82" s="500"/>
      <c r="AW82" s="500"/>
      <c r="AX82" s="500"/>
      <c r="AY82" s="500"/>
      <c r="AZ82" s="500"/>
      <c r="BA82" s="500"/>
      <c r="BB82" s="500"/>
      <c r="BC82" s="500"/>
      <c r="BD82" s="500"/>
      <c r="BE82" s="500"/>
      <c r="BF82" s="500"/>
      <c r="BG82" s="500"/>
      <c r="BH82" s="500"/>
      <c r="BI82" s="500"/>
      <c r="BJ82" s="500"/>
      <c r="BK82" s="500"/>
      <c r="BL82" s="500"/>
      <c r="BM82" s="500"/>
      <c r="BN82" s="500"/>
      <c r="BO82" s="500"/>
      <c r="BP82" s="500"/>
      <c r="BQ82" s="500"/>
      <c r="BR82" s="500"/>
      <c r="BS82" s="500"/>
      <c r="BT82" s="500"/>
      <c r="BU82" s="500"/>
      <c r="BV82" s="500"/>
      <c r="BW82" s="500"/>
      <c r="BX82" s="500"/>
      <c r="BY82" s="500"/>
      <c r="BZ82" s="500"/>
    </row>
    <row r="83" spans="1:78" ht="6.75" customHeight="1" x14ac:dyDescent="0.2">
      <c r="A83" s="500"/>
      <c r="C83" s="14"/>
      <c r="D83" s="139"/>
      <c r="E83" s="322"/>
      <c r="F83" s="328"/>
      <c r="G83" s="328"/>
      <c r="H83" s="328"/>
      <c r="I83" s="328"/>
      <c r="J83" s="328"/>
      <c r="K83" s="500"/>
      <c r="L83" s="327"/>
      <c r="M83" s="500"/>
      <c r="N83" s="500"/>
      <c r="O83" s="500"/>
      <c r="P83" s="500"/>
      <c r="Q83" s="500"/>
      <c r="R83" s="500"/>
      <c r="S83" s="500"/>
      <c r="T83" s="500"/>
      <c r="U83" s="500"/>
      <c r="V83" s="500"/>
      <c r="W83" s="500"/>
      <c r="X83" s="500"/>
      <c r="Y83" s="500"/>
      <c r="Z83" s="500"/>
      <c r="AA83" s="500"/>
      <c r="AB83" s="500"/>
      <c r="AC83" s="500"/>
      <c r="AD83" s="500"/>
      <c r="AE83" s="500"/>
      <c r="AF83" s="500"/>
      <c r="AG83" s="500"/>
      <c r="AH83" s="500"/>
      <c r="AI83" s="500"/>
      <c r="AJ83" s="500"/>
      <c r="AK83" s="500"/>
      <c r="AL83" s="500"/>
      <c r="AM83" s="500"/>
      <c r="AN83" s="500"/>
      <c r="AO83" s="500"/>
      <c r="AP83" s="500"/>
      <c r="AQ83" s="500"/>
      <c r="AR83" s="500"/>
      <c r="AS83" s="500"/>
      <c r="AT83" s="500"/>
      <c r="AU83" s="500"/>
      <c r="AV83" s="500"/>
      <c r="AW83" s="500"/>
      <c r="AX83" s="500"/>
      <c r="AY83" s="500"/>
      <c r="AZ83" s="500"/>
      <c r="BA83" s="500"/>
      <c r="BB83" s="500"/>
      <c r="BC83" s="500"/>
      <c r="BD83" s="500"/>
      <c r="BE83" s="500"/>
      <c r="BF83" s="500"/>
      <c r="BG83" s="500"/>
      <c r="BH83" s="500"/>
      <c r="BI83" s="500"/>
      <c r="BJ83" s="500"/>
      <c r="BK83" s="500"/>
      <c r="BL83" s="500"/>
      <c r="BM83" s="500"/>
      <c r="BN83" s="500"/>
      <c r="BO83" s="500"/>
      <c r="BP83" s="500"/>
      <c r="BQ83" s="500"/>
      <c r="BR83" s="500"/>
      <c r="BS83" s="500"/>
      <c r="BT83" s="500"/>
      <c r="BU83" s="500"/>
      <c r="BV83" s="500"/>
      <c r="BW83" s="500"/>
      <c r="BX83" s="500"/>
      <c r="BY83" s="500"/>
      <c r="BZ83" s="500"/>
    </row>
    <row r="84" spans="1:78" x14ac:dyDescent="0.2">
      <c r="A84" s="500"/>
      <c r="C84" s="11" t="s">
        <v>196</v>
      </c>
      <c r="D84" s="133">
        <f ca="1">(D54)-D81</f>
        <v>35623.948333333326</v>
      </c>
      <c r="E84" s="322">
        <f t="shared" ref="E84:AH84" ca="1" si="125">E54-E81</f>
        <v>54632.68218199999</v>
      </c>
      <c r="F84" s="265">
        <f t="shared" ca="1" si="125"/>
        <v>54632.68218199999</v>
      </c>
      <c r="G84" s="265">
        <f t="shared" ca="1" si="125"/>
        <v>64617.494758973335</v>
      </c>
      <c r="H84" s="265">
        <f t="shared" ca="1" si="125"/>
        <v>69487.710606152803</v>
      </c>
      <c r="I84" s="265">
        <f t="shared" ca="1" si="125"/>
        <v>74669.12404419588</v>
      </c>
      <c r="J84" s="265">
        <f t="shared" ca="1" si="125"/>
        <v>79185.471652654203</v>
      </c>
      <c r="K84" s="265">
        <f t="shared" ca="1" si="125"/>
        <v>82897.677036484398</v>
      </c>
      <c r="L84" s="265">
        <f t="shared" ca="1" si="125"/>
        <v>86769.063774436465</v>
      </c>
      <c r="M84" s="265">
        <f t="shared" ca="1" si="125"/>
        <v>90806.206905703133</v>
      </c>
      <c r="N84" s="265">
        <f t="shared" ca="1" si="125"/>
        <v>95015.948444412861</v>
      </c>
      <c r="O84" s="265">
        <f t="shared" ca="1" si="125"/>
        <v>99405.408132624856</v>
      </c>
      <c r="P84" s="265">
        <f t="shared" ca="1" si="125"/>
        <v>103981.99462475936</v>
      </c>
      <c r="Q84" s="265">
        <f t="shared" ca="1" si="125"/>
        <v>108753.41712074276</v>
      </c>
      <c r="R84" s="265">
        <f t="shared" ca="1" si="125"/>
        <v>113727.69746583712</v>
      </c>
      <c r="S84" s="265">
        <f t="shared" ca="1" si="125"/>
        <v>118913.18273584376</v>
      </c>
      <c r="T84" s="265">
        <f t="shared" ca="1" si="125"/>
        <v>124318.55832711852</v>
      </c>
      <c r="U84" s="265">
        <f t="shared" ca="1" si="125"/>
        <v>129952.8615716127</v>
      </c>
      <c r="V84" s="265">
        <f t="shared" ca="1" si="125"/>
        <v>135825.49589796428</v>
      </c>
      <c r="W84" s="265">
        <f t="shared" ca="1" si="125"/>
        <v>141946.2455605047</v>
      </c>
      <c r="X84" s="265">
        <f t="shared" ca="1" si="125"/>
        <v>148325.29095892014</v>
      </c>
      <c r="Y84" s="265">
        <f t="shared" ca="1" si="125"/>
        <v>154973.22457221837</v>
      </c>
      <c r="Z84" s="265">
        <f t="shared" ca="1" si="125"/>
        <v>161901.06753159623</v>
      </c>
      <c r="AA84" s="265">
        <f t="shared" ca="1" si="125"/>
        <v>169120.28685778947</v>
      </c>
      <c r="AB84" s="265">
        <f t="shared" ca="1" si="125"/>
        <v>176642.81338950683</v>
      </c>
      <c r="AC84" s="265">
        <f t="shared" ca="1" si="125"/>
        <v>184481.06043061806</v>
      </c>
      <c r="AD84" s="265">
        <f t="shared" ca="1" si="125"/>
        <v>192647.94314487075</v>
      </c>
      <c r="AE84" s="265">
        <f t="shared" ca="1" si="125"/>
        <v>201156.89872806211</v>
      </c>
      <c r="AF84" s="265">
        <f t="shared" ca="1" si="125"/>
        <v>210021.90738878993</v>
      </c>
      <c r="AG84" s="265">
        <f t="shared" ca="1" si="125"/>
        <v>219257.5141701517</v>
      </c>
      <c r="AH84" s="265">
        <f t="shared" ca="1" si="125"/>
        <v>228878.8516460557</v>
      </c>
      <c r="AI84" s="265">
        <f t="shared" ref="AI84:AJ84" ca="1" si="126">AI54-AI81</f>
        <v>238901.66352715707</v>
      </c>
      <c r="AJ84" s="265">
        <f t="shared" ca="1" si="126"/>
        <v>249342.32921282604</v>
      </c>
      <c r="AK84" s="530"/>
      <c r="AL84" s="530"/>
      <c r="AM84" s="530"/>
      <c r="AN84" s="530"/>
      <c r="AO84" s="530"/>
      <c r="AP84" s="530"/>
      <c r="AQ84" s="530"/>
      <c r="AR84" s="530"/>
      <c r="AS84" s="530"/>
      <c r="AT84" s="530"/>
      <c r="AU84" s="530"/>
      <c r="AV84" s="530"/>
      <c r="AW84" s="530"/>
      <c r="AX84" s="530"/>
      <c r="AY84" s="530"/>
      <c r="AZ84" s="530"/>
      <c r="BA84" s="530"/>
      <c r="BB84" s="530"/>
      <c r="BC84" s="530"/>
      <c r="BD84" s="530"/>
      <c r="BE84" s="530"/>
      <c r="BF84" s="530"/>
      <c r="BG84" s="530"/>
      <c r="BH84" s="530"/>
      <c r="BI84" s="530"/>
      <c r="BJ84" s="530"/>
      <c r="BK84" s="530"/>
      <c r="BL84" s="530"/>
      <c r="BM84" s="530"/>
      <c r="BN84" s="530"/>
      <c r="BO84" s="530"/>
      <c r="BP84" s="530"/>
      <c r="BQ84" s="530"/>
      <c r="BR84" s="530"/>
      <c r="BS84" s="530"/>
      <c r="BT84" s="530"/>
      <c r="BU84" s="530"/>
      <c r="BV84" s="530"/>
      <c r="BW84" s="530"/>
      <c r="BX84" s="530"/>
      <c r="BY84" s="530"/>
      <c r="BZ84" s="530"/>
    </row>
    <row r="85" spans="1:78" ht="4.5" customHeight="1" x14ac:dyDescent="0.2">
      <c r="A85" s="500"/>
      <c r="C85" s="500"/>
      <c r="D85" s="133"/>
      <c r="E85" s="329"/>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530"/>
      <c r="AL85" s="530"/>
      <c r="AM85" s="530"/>
      <c r="AN85" s="530"/>
      <c r="AO85" s="530"/>
      <c r="AP85" s="530"/>
      <c r="AQ85" s="530"/>
      <c r="AR85" s="530"/>
      <c r="AS85" s="530"/>
      <c r="AT85" s="530"/>
      <c r="AU85" s="530"/>
      <c r="AV85" s="530"/>
      <c r="AW85" s="530"/>
      <c r="AX85" s="530"/>
      <c r="AY85" s="530"/>
      <c r="AZ85" s="530"/>
      <c r="BA85" s="530"/>
      <c r="BB85" s="530"/>
      <c r="BC85" s="530"/>
      <c r="BD85" s="530"/>
      <c r="BE85" s="530"/>
      <c r="BF85" s="530"/>
      <c r="BG85" s="530"/>
      <c r="BH85" s="530"/>
      <c r="BI85" s="530"/>
      <c r="BJ85" s="530"/>
      <c r="BK85" s="530"/>
      <c r="BL85" s="530"/>
      <c r="BM85" s="530"/>
      <c r="BN85" s="530"/>
      <c r="BO85" s="530"/>
      <c r="BP85" s="530"/>
      <c r="BQ85" s="530"/>
      <c r="BR85" s="530"/>
      <c r="BS85" s="530"/>
      <c r="BT85" s="530"/>
      <c r="BU85" s="530"/>
      <c r="BV85" s="530"/>
      <c r="BW85" s="530"/>
      <c r="BX85" s="530"/>
      <c r="BY85" s="530"/>
      <c r="BZ85" s="530"/>
    </row>
    <row r="86" spans="1:78" ht="13.5" thickBot="1" x14ac:dyDescent="0.25">
      <c r="A86" s="500"/>
      <c r="B86" s="588">
        <f ca="1">E86/NoOfSpaces</f>
        <v>5555.8659846101682</v>
      </c>
      <c r="C86" s="575" t="s">
        <v>197</v>
      </c>
      <c r="D86" s="591">
        <f t="shared" ref="D86:AH86" ca="1" si="127">D84*12</f>
        <v>427487.37999999989</v>
      </c>
      <c r="E86" s="592">
        <f t="shared" ca="1" si="127"/>
        <v>655592.18618399987</v>
      </c>
      <c r="F86" s="593">
        <f t="shared" ca="1" si="127"/>
        <v>655592.18618399987</v>
      </c>
      <c r="G86" s="593">
        <f t="shared" ca="1" si="127"/>
        <v>775409.93710768002</v>
      </c>
      <c r="H86" s="593">
        <f t="shared" ca="1" si="127"/>
        <v>833852.52727383364</v>
      </c>
      <c r="I86" s="593">
        <f t="shared" ca="1" si="127"/>
        <v>896029.48853035062</v>
      </c>
      <c r="J86" s="593">
        <f t="shared" ca="1" si="127"/>
        <v>950225.65983185044</v>
      </c>
      <c r="K86" s="593">
        <f t="shared" ca="1" si="127"/>
        <v>994772.12443781272</v>
      </c>
      <c r="L86" s="593">
        <f t="shared" ca="1" si="127"/>
        <v>1041228.7652932375</v>
      </c>
      <c r="M86" s="593">
        <f t="shared" ca="1" si="127"/>
        <v>1089674.4828684377</v>
      </c>
      <c r="N86" s="593">
        <f t="shared" ca="1" si="127"/>
        <v>1140191.3813329544</v>
      </c>
      <c r="O86" s="593">
        <f t="shared" ca="1" si="127"/>
        <v>1192864.8975914982</v>
      </c>
      <c r="P86" s="593">
        <f t="shared" ca="1" si="127"/>
        <v>1247783.9354971123</v>
      </c>
      <c r="Q86" s="593">
        <f t="shared" ca="1" si="127"/>
        <v>1305041.0054489132</v>
      </c>
      <c r="R86" s="593">
        <f t="shared" ca="1" si="127"/>
        <v>1364732.3695900454</v>
      </c>
      <c r="S86" s="593">
        <f t="shared" ca="1" si="127"/>
        <v>1426958.1928301251</v>
      </c>
      <c r="T86" s="593">
        <f t="shared" ca="1" si="127"/>
        <v>1491822.6999254222</v>
      </c>
      <c r="U86" s="593">
        <f t="shared" ca="1" si="127"/>
        <v>1559434.3388593523</v>
      </c>
      <c r="V86" s="593">
        <f t="shared" ca="1" si="127"/>
        <v>1629905.9507755714</v>
      </c>
      <c r="W86" s="593">
        <f t="shared" ca="1" si="127"/>
        <v>1703354.9467260563</v>
      </c>
      <c r="X86" s="593">
        <f t="shared" ca="1" si="127"/>
        <v>1779903.4915070417</v>
      </c>
      <c r="Y86" s="593">
        <f t="shared" ca="1" si="127"/>
        <v>1859678.6948666205</v>
      </c>
      <c r="Z86" s="593">
        <f t="shared" ca="1" si="127"/>
        <v>1942812.8103791547</v>
      </c>
      <c r="AA86" s="593">
        <f t="shared" ca="1" si="127"/>
        <v>2029443.4422934735</v>
      </c>
      <c r="AB86" s="593">
        <f t="shared" ca="1" si="127"/>
        <v>2119713.7606740817</v>
      </c>
      <c r="AC86" s="593">
        <f t="shared" ca="1" si="127"/>
        <v>2213772.725167417</v>
      </c>
      <c r="AD86" s="593">
        <f t="shared" ca="1" si="127"/>
        <v>2311775.3177384492</v>
      </c>
      <c r="AE86" s="593">
        <f t="shared" ca="1" si="127"/>
        <v>2413882.7847367451</v>
      </c>
      <c r="AF86" s="593">
        <f t="shared" ca="1" si="127"/>
        <v>2520262.8886654791</v>
      </c>
      <c r="AG86" s="593">
        <f t="shared" ca="1" si="127"/>
        <v>2631090.1700418205</v>
      </c>
      <c r="AH86" s="593">
        <f t="shared" ca="1" si="127"/>
        <v>2746546.2197526684</v>
      </c>
      <c r="AI86" s="593">
        <f t="shared" ref="AI86:AJ86" ca="1" si="128">AI84*12</f>
        <v>2866819.962325885</v>
      </c>
      <c r="AJ86" s="593">
        <f t="shared" ca="1" si="128"/>
        <v>2992107.9505539127</v>
      </c>
      <c r="AK86" s="530"/>
      <c r="AL86" s="530"/>
      <c r="AM86" s="530"/>
      <c r="AN86" s="530"/>
      <c r="AO86" s="530"/>
      <c r="AP86" s="530"/>
      <c r="AQ86" s="530"/>
      <c r="AR86" s="530"/>
      <c r="AS86" s="530"/>
      <c r="AT86" s="530"/>
      <c r="AU86" s="530"/>
      <c r="AV86" s="530"/>
      <c r="AW86" s="530"/>
      <c r="AX86" s="530"/>
      <c r="AY86" s="530"/>
      <c r="AZ86" s="530"/>
      <c r="BA86" s="530"/>
      <c r="BB86" s="530"/>
      <c r="BC86" s="530"/>
      <c r="BD86" s="530"/>
      <c r="BE86" s="530"/>
      <c r="BF86" s="530"/>
      <c r="BG86" s="530"/>
      <c r="BH86" s="530"/>
      <c r="BI86" s="530"/>
      <c r="BJ86" s="530"/>
      <c r="BK86" s="530"/>
      <c r="BL86" s="530"/>
      <c r="BM86" s="530"/>
      <c r="BN86" s="530"/>
      <c r="BO86" s="530"/>
      <c r="BP86" s="530"/>
      <c r="BQ86" s="530"/>
      <c r="BR86" s="530"/>
      <c r="BS86" s="530"/>
      <c r="BT86" s="530"/>
      <c r="BU86" s="530"/>
      <c r="BV86" s="530"/>
      <c r="BW86" s="530"/>
      <c r="BX86" s="530"/>
      <c r="BY86" s="530"/>
      <c r="BZ86" s="530"/>
    </row>
    <row r="87" spans="1:78" ht="13.5" thickTop="1" x14ac:dyDescent="0.2">
      <c r="A87" s="500"/>
      <c r="C87" s="14"/>
      <c r="D87" s="500"/>
      <c r="E87" s="500"/>
      <c r="F87" s="270"/>
      <c r="G87" s="16"/>
      <c r="H87" s="16"/>
      <c r="I87" s="16"/>
      <c r="J87" s="16"/>
      <c r="K87" s="16"/>
      <c r="L87" s="16"/>
      <c r="M87" s="16"/>
      <c r="N87" s="16"/>
      <c r="O87" s="16"/>
      <c r="P87" s="16"/>
      <c r="Q87" s="16"/>
      <c r="R87" s="16"/>
      <c r="S87" s="530"/>
      <c r="T87" s="530"/>
      <c r="U87" s="530"/>
      <c r="V87" s="530"/>
      <c r="W87" s="530"/>
      <c r="X87" s="530"/>
      <c r="Y87" s="530"/>
      <c r="Z87" s="530"/>
      <c r="AA87" s="530"/>
      <c r="AB87" s="530"/>
      <c r="AC87" s="530"/>
      <c r="AD87" s="530"/>
      <c r="AE87" s="530"/>
      <c r="AF87" s="530"/>
      <c r="AG87" s="530"/>
      <c r="AH87" s="530"/>
      <c r="AI87" s="530"/>
      <c r="AJ87" s="530"/>
      <c r="AK87" s="530"/>
      <c r="AL87" s="530"/>
      <c r="AM87" s="530"/>
      <c r="AN87" s="530"/>
      <c r="AO87" s="530"/>
      <c r="AP87" s="530"/>
      <c r="AQ87" s="530"/>
      <c r="AR87" s="530"/>
      <c r="AS87" s="530"/>
      <c r="AT87" s="530"/>
      <c r="AU87" s="530"/>
      <c r="AV87" s="530"/>
      <c r="AW87" s="530"/>
      <c r="AX87" s="530"/>
      <c r="AY87" s="530"/>
      <c r="AZ87" s="530"/>
      <c r="BA87" s="530"/>
      <c r="BB87" s="530"/>
      <c r="BC87" s="530"/>
      <c r="BD87" s="530"/>
      <c r="BE87" s="530"/>
      <c r="BF87" s="530"/>
      <c r="BG87" s="530"/>
      <c r="BH87" s="530"/>
      <c r="BI87" s="530"/>
      <c r="BJ87" s="530"/>
      <c r="BK87" s="530"/>
      <c r="BL87" s="530"/>
      <c r="BM87" s="530"/>
      <c r="BN87" s="530"/>
      <c r="BO87" s="530"/>
      <c r="BP87" s="530"/>
      <c r="BQ87" s="530"/>
      <c r="BR87" s="530"/>
      <c r="BS87" s="530"/>
      <c r="BT87" s="530"/>
      <c r="BU87" s="530"/>
      <c r="BV87" s="530"/>
      <c r="BW87" s="530"/>
      <c r="BX87" s="530"/>
      <c r="BY87" s="530"/>
      <c r="BZ87" s="530"/>
    </row>
    <row r="88" spans="1:78" x14ac:dyDescent="0.2">
      <c r="A88" s="500"/>
      <c r="C88" s="14"/>
      <c r="D88" s="500"/>
      <c r="E88" s="315" t="s">
        <v>198</v>
      </c>
      <c r="F88" s="311">
        <f t="shared" ref="F88:M88" ca="1" si="129">+F86/$D$6</f>
        <v>6.0367604620994463E-2</v>
      </c>
      <c r="G88" s="311">
        <f t="shared" ca="1" si="129"/>
        <v>7.1400546694998165E-2</v>
      </c>
      <c r="H88" s="311">
        <f t="shared" ca="1" si="129"/>
        <v>7.6782000669782108E-2</v>
      </c>
      <c r="I88" s="311">
        <f t="shared" ca="1" si="129"/>
        <v>8.2507319385851804E-2</v>
      </c>
      <c r="J88" s="311">
        <f t="shared" ca="1" si="129"/>
        <v>8.7497758732214589E-2</v>
      </c>
      <c r="K88" s="311">
        <f t="shared" ca="1" si="129"/>
        <v>9.1599643134236894E-2</v>
      </c>
      <c r="L88" s="311">
        <f t="shared" ca="1" si="129"/>
        <v>9.5877418535288902E-2</v>
      </c>
      <c r="M88" s="311">
        <f t="shared" ca="1" si="129"/>
        <v>0.10033835017204766</v>
      </c>
      <c r="N88" s="16"/>
      <c r="O88" s="16"/>
      <c r="P88" s="16"/>
      <c r="Q88" s="16"/>
      <c r="R88" s="16"/>
      <c r="S88" s="530"/>
      <c r="T88" s="530"/>
      <c r="U88" s="530"/>
      <c r="V88" s="530"/>
      <c r="W88" s="530"/>
      <c r="X88" s="530"/>
      <c r="Y88" s="530"/>
      <c r="Z88" s="530"/>
      <c r="AA88" s="530"/>
      <c r="AB88" s="530"/>
      <c r="AC88" s="530"/>
      <c r="AD88" s="530"/>
      <c r="AE88" s="530"/>
      <c r="AF88" s="530"/>
      <c r="AG88" s="530"/>
      <c r="AH88" s="530"/>
      <c r="AI88" s="530"/>
      <c r="AJ88" s="530"/>
      <c r="AK88" s="530"/>
      <c r="AL88" s="530"/>
      <c r="AM88" s="530"/>
      <c r="AN88" s="530"/>
      <c r="AO88" s="530"/>
      <c r="AP88" s="530"/>
      <c r="AQ88" s="530"/>
      <c r="AR88" s="530"/>
      <c r="AS88" s="530"/>
      <c r="AT88" s="530"/>
      <c r="AU88" s="530"/>
      <c r="AV88" s="530"/>
      <c r="AW88" s="530"/>
      <c r="AX88" s="530"/>
      <c r="AY88" s="530"/>
      <c r="AZ88" s="530"/>
      <c r="BA88" s="530"/>
      <c r="BB88" s="530"/>
      <c r="BC88" s="530"/>
      <c r="BD88" s="530"/>
      <c r="BE88" s="530"/>
      <c r="BF88" s="530"/>
      <c r="BG88" s="530"/>
      <c r="BH88" s="530"/>
      <c r="BI88" s="530"/>
      <c r="BJ88" s="530"/>
      <c r="BK88" s="530"/>
      <c r="BL88" s="530"/>
      <c r="BM88" s="530"/>
      <c r="BN88" s="530"/>
      <c r="BO88" s="530"/>
      <c r="BP88" s="530"/>
      <c r="BQ88" s="530"/>
      <c r="BR88" s="530"/>
      <c r="BS88" s="530"/>
      <c r="BT88" s="530"/>
      <c r="BU88" s="530"/>
      <c r="BV88" s="530"/>
      <c r="BW88" s="530"/>
      <c r="BX88" s="530"/>
      <c r="BY88" s="530"/>
      <c r="BZ88" s="530"/>
    </row>
    <row r="89" spans="1:78" s="60" customFormat="1" ht="12" hidden="1" x14ac:dyDescent="0.2">
      <c r="B89" s="453"/>
      <c r="C89" s="278"/>
      <c r="E89" s="315" t="s">
        <v>198</v>
      </c>
      <c r="F89" s="311">
        <f ca="1">+F86/($D$6-SUM(F86-F86))</f>
        <v>6.0367604620994463E-2</v>
      </c>
      <c r="G89" s="311">
        <f ca="1">+G86/($D$6-SUM($F$86:F86))</f>
        <v>7.5987744830996795E-2</v>
      </c>
      <c r="H89" s="311">
        <f ca="1">+H86/($D$6-SUM($F$86:G86))</f>
        <v>8.8434904554770474E-2</v>
      </c>
      <c r="I89" s="311">
        <f ca="1">+I86/($D$6-SUM($F$86:H86))</f>
        <v>0.10424832298959369</v>
      </c>
      <c r="J89" s="311">
        <f ca="1">+J86/($D$6-SUM($F$86:I86))</f>
        <v>0.12342010134658006</v>
      </c>
      <c r="K89" s="311">
        <f ca="1">+K86/($D$6-SUM($F$86:J86))</f>
        <v>0.14739788243699092</v>
      </c>
      <c r="L89" s="311">
        <f ca="1">+L86/($D$6-SUM($F$86:K86))</f>
        <v>0.18095366682190889</v>
      </c>
      <c r="M89" s="311">
        <f ca="1">+M86/($D$6-SUM($F$86:L86))</f>
        <v>0.23121155853293926</v>
      </c>
      <c r="N89" s="279"/>
      <c r="O89" s="280"/>
      <c r="P89" s="279"/>
      <c r="Q89" s="279"/>
      <c r="R89" s="27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row>
    <row r="90" spans="1:78" x14ac:dyDescent="0.2">
      <c r="A90" s="500"/>
      <c r="C90" s="14"/>
      <c r="D90" s="221" t="s">
        <v>199</v>
      </c>
      <c r="E90" s="221" t="s">
        <v>200</v>
      </c>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530"/>
      <c r="AL90" s="530"/>
      <c r="AM90" s="530"/>
      <c r="AN90" s="530"/>
      <c r="AO90" s="530"/>
      <c r="AP90" s="530"/>
      <c r="AQ90" s="530"/>
      <c r="AR90" s="530"/>
      <c r="AS90" s="530"/>
      <c r="AT90" s="530"/>
      <c r="AU90" s="530"/>
      <c r="AV90" s="530"/>
      <c r="AW90" s="530"/>
      <c r="AX90" s="530"/>
      <c r="AY90" s="530"/>
      <c r="AZ90" s="530"/>
      <c r="BA90" s="530"/>
      <c r="BB90" s="530"/>
      <c r="BC90" s="530"/>
      <c r="BD90" s="530"/>
      <c r="BE90" s="530"/>
      <c r="BF90" s="530"/>
      <c r="BG90" s="530"/>
      <c r="BH90" s="530"/>
      <c r="BI90" s="530"/>
      <c r="BJ90" s="530"/>
      <c r="BK90" s="530"/>
      <c r="BL90" s="530"/>
      <c r="BM90" s="530"/>
      <c r="BN90" s="530"/>
      <c r="BO90" s="530"/>
      <c r="BP90" s="530"/>
      <c r="BQ90" s="530"/>
      <c r="BR90" s="530"/>
      <c r="BS90" s="530"/>
      <c r="BT90" s="530"/>
      <c r="BU90" s="530"/>
      <c r="BV90" s="530"/>
      <c r="BW90" s="530"/>
      <c r="BX90" s="530"/>
      <c r="BY90" s="530"/>
      <c r="BZ90" s="530"/>
    </row>
    <row r="91" spans="1:78" x14ac:dyDescent="0.2">
      <c r="A91" s="500"/>
      <c r="C91" s="268"/>
      <c r="D91" s="706" t="s">
        <v>201</v>
      </c>
      <c r="E91" s="707" t="s">
        <v>201</v>
      </c>
      <c r="F91" s="219">
        <v>1</v>
      </c>
      <c r="G91" s="219">
        <f t="shared" ref="G91:AH91" si="130">F91+1</f>
        <v>2</v>
      </c>
      <c r="H91" s="219">
        <f t="shared" si="130"/>
        <v>3</v>
      </c>
      <c r="I91" s="219">
        <f t="shared" si="130"/>
        <v>4</v>
      </c>
      <c r="J91" s="219">
        <f t="shared" si="130"/>
        <v>5</v>
      </c>
      <c r="K91" s="219">
        <f t="shared" si="130"/>
        <v>6</v>
      </c>
      <c r="L91" s="219">
        <f t="shared" si="130"/>
        <v>7</v>
      </c>
      <c r="M91" s="219">
        <f t="shared" si="130"/>
        <v>8</v>
      </c>
      <c r="N91" s="219">
        <f t="shared" si="130"/>
        <v>9</v>
      </c>
      <c r="O91" s="219">
        <f t="shared" si="130"/>
        <v>10</v>
      </c>
      <c r="P91" s="219">
        <f t="shared" si="130"/>
        <v>11</v>
      </c>
      <c r="Q91" s="219">
        <f t="shared" si="130"/>
        <v>12</v>
      </c>
      <c r="R91" s="219">
        <f t="shared" si="130"/>
        <v>13</v>
      </c>
      <c r="S91" s="219">
        <f t="shared" si="130"/>
        <v>14</v>
      </c>
      <c r="T91" s="219">
        <f t="shared" si="130"/>
        <v>15</v>
      </c>
      <c r="U91" s="219">
        <f t="shared" si="130"/>
        <v>16</v>
      </c>
      <c r="V91" s="219">
        <f t="shared" si="130"/>
        <v>17</v>
      </c>
      <c r="W91" s="219">
        <f t="shared" si="130"/>
        <v>18</v>
      </c>
      <c r="X91" s="219">
        <f t="shared" si="130"/>
        <v>19</v>
      </c>
      <c r="Y91" s="219">
        <f t="shared" si="130"/>
        <v>20</v>
      </c>
      <c r="Z91" s="219">
        <f t="shared" si="130"/>
        <v>21</v>
      </c>
      <c r="AA91" s="219">
        <f t="shared" si="130"/>
        <v>22</v>
      </c>
      <c r="AB91" s="219">
        <f t="shared" si="130"/>
        <v>23</v>
      </c>
      <c r="AC91" s="219">
        <f t="shared" si="130"/>
        <v>24</v>
      </c>
      <c r="AD91" s="219">
        <f t="shared" si="130"/>
        <v>25</v>
      </c>
      <c r="AE91" s="219">
        <f t="shared" si="130"/>
        <v>26</v>
      </c>
      <c r="AF91" s="219">
        <f t="shared" si="130"/>
        <v>27</v>
      </c>
      <c r="AG91" s="219">
        <f t="shared" si="130"/>
        <v>28</v>
      </c>
      <c r="AH91" s="219">
        <f t="shared" si="130"/>
        <v>29</v>
      </c>
      <c r="AI91" s="219">
        <f t="shared" ref="AI91" si="131">AH91+1</f>
        <v>30</v>
      </c>
      <c r="AJ91" s="219">
        <f t="shared" ref="AJ91" si="132">AI91+1</f>
        <v>31</v>
      </c>
      <c r="AK91" s="530"/>
      <c r="AL91" s="530"/>
      <c r="AM91" s="530"/>
      <c r="AN91" s="530"/>
      <c r="AO91" s="530"/>
      <c r="AP91" s="530"/>
      <c r="AQ91" s="530"/>
      <c r="AR91" s="530"/>
      <c r="AS91" s="530"/>
      <c r="AT91" s="530"/>
      <c r="AU91" s="530"/>
      <c r="AV91" s="530"/>
      <c r="AW91" s="530"/>
      <c r="AX91" s="530"/>
      <c r="AY91" s="530"/>
      <c r="AZ91" s="530"/>
      <c r="BA91" s="530"/>
      <c r="BB91" s="530"/>
      <c r="BC91" s="530"/>
      <c r="BD91" s="530"/>
      <c r="BE91" s="530"/>
      <c r="BF91" s="530"/>
      <c r="BG91" s="530"/>
      <c r="BH91" s="530"/>
      <c r="BI91" s="530"/>
      <c r="BJ91" s="530"/>
      <c r="BK91" s="530"/>
      <c r="BL91" s="530"/>
      <c r="BM91" s="530"/>
      <c r="BN91" s="530"/>
      <c r="BO91" s="530"/>
      <c r="BP91" s="530"/>
      <c r="BQ91" s="530"/>
      <c r="BR91" s="530"/>
      <c r="BS91" s="530"/>
      <c r="BT91" s="530"/>
      <c r="BU91" s="530"/>
      <c r="BV91" s="530"/>
      <c r="BW91" s="530"/>
      <c r="BX91" s="530"/>
      <c r="BY91" s="530"/>
      <c r="BZ91" s="530"/>
    </row>
    <row r="92" spans="1:78" x14ac:dyDescent="0.2">
      <c r="A92" s="500"/>
      <c r="C92" s="11" t="s">
        <v>202</v>
      </c>
      <c r="D92" s="285">
        <v>0.64809384164222872</v>
      </c>
      <c r="E92" s="285">
        <v>0.6</v>
      </c>
      <c r="F92" s="220" t="str">
        <f>IF(F94&gt;0,SUM(F93:F94),"")</f>
        <v/>
      </c>
      <c r="G92" s="220" t="str">
        <f t="shared" ref="G92" si="133">IF(G94&lt;&gt;0,SUM(G93:G94),IF(H94&lt;&gt;0,"Refinance",""))</f>
        <v/>
      </c>
      <c r="H92" s="220" t="str">
        <f t="shared" ref="H92" si="134">IF(H94&lt;&gt;0,SUM(H93:H94),IF(I94&lt;&gt;0,"Refinance",""))</f>
        <v/>
      </c>
      <c r="I92" s="220" t="str">
        <f t="shared" ref="I92" si="135">IF(I94&lt;&gt;0,SUM(I93:I94),IF(J94&lt;&gt;0,"Refinance",""))</f>
        <v/>
      </c>
      <c r="J92" s="220" t="str">
        <f>IF(J94&lt;&gt;0,SUM(J93:J94),IF(K94&lt;&gt;0,"Refinance",""))</f>
        <v/>
      </c>
      <c r="K92" s="220" t="str">
        <f t="shared" ref="K92" ca="1" si="136">IF(K94&lt;&gt;0,SUM(K93:K94),IF(L94&lt;&gt;0,"Refinance",""))</f>
        <v>Refinance</v>
      </c>
      <c r="L92" s="220">
        <f t="shared" ref="L92" ca="1" si="137">IF(L94&lt;&gt;0,SUM(L93:L94),IF(M94&lt;&gt;0,"Refinance",""))</f>
        <v>10852059.539321592</v>
      </c>
      <c r="M92" s="220" t="str">
        <f t="shared" ref="M92" si="138">IF(M94&lt;&gt;0,SUM(M93:M94),IF(N94&lt;&gt;0,"Refinance",""))</f>
        <v/>
      </c>
      <c r="N92" s="220" t="str">
        <f t="shared" ref="N92" si="139">IF(N94&lt;&gt;0,SUM(N93:N94),IF(O94&lt;&gt;0,"Refinance",""))</f>
        <v/>
      </c>
      <c r="O92" s="220" t="str">
        <f t="shared" ref="O92" si="140">IF(O94&lt;&gt;0,SUM(O93:O94),IF(P94&lt;&gt;0,"Refinance",""))</f>
        <v/>
      </c>
      <c r="P92" s="220" t="str">
        <f t="shared" ref="P92" si="141">IF(P94&lt;&gt;0,SUM(P93:P94),IF(Q94&lt;&gt;0,"Refinance",""))</f>
        <v/>
      </c>
      <c r="Q92" s="220" t="str">
        <f t="shared" ref="Q92" si="142">IF(Q94&lt;&gt;0,SUM(Q93:Q94),IF(R94&lt;&gt;0,"Refinance",""))</f>
        <v/>
      </c>
      <c r="R92" s="220" t="str">
        <f t="shared" ref="R92" si="143">IF(R94&lt;&gt;0,SUM(R93:R94),IF(S94&lt;&gt;0,"Refinance",""))</f>
        <v/>
      </c>
      <c r="S92" s="220" t="str">
        <f t="shared" ref="S92" si="144">IF(S94&lt;&gt;0,SUM(S93:S94),IF(T94&lt;&gt;0,"Refinance",""))</f>
        <v/>
      </c>
      <c r="T92" s="220" t="str">
        <f t="shared" ref="T92" si="145">IF(T94&lt;&gt;0,SUM(T93:T94),IF(U94&lt;&gt;0,"Refinance",""))</f>
        <v/>
      </c>
      <c r="U92" s="220" t="str">
        <f t="shared" ref="U92" si="146">IF(U94&lt;&gt;0,SUM(U93:U94),IF(V94&lt;&gt;0,"Refinance",""))</f>
        <v/>
      </c>
      <c r="V92" s="220" t="str">
        <f t="shared" ref="V92" si="147">IF(V94&lt;&gt;0,SUM(V93:V94),IF(W94&lt;&gt;0,"Refinance",""))</f>
        <v/>
      </c>
      <c r="W92" s="220" t="str">
        <f t="shared" ref="W92" si="148">IF(W94&lt;&gt;0,SUM(W93:W94),IF(X94&lt;&gt;0,"Refinance",""))</f>
        <v/>
      </c>
      <c r="X92" s="220" t="str">
        <f t="shared" ref="X92" si="149">IF(X94&lt;&gt;0,SUM(X93:X94),IF(Y94&lt;&gt;0,"Refinance",""))</f>
        <v/>
      </c>
      <c r="Y92" s="220" t="str">
        <f t="shared" ref="Y92" si="150">IF(Y94&lt;&gt;0,SUM(Y93:Y94),IF(Z94&lt;&gt;0,"Refinance",""))</f>
        <v/>
      </c>
      <c r="Z92" s="220" t="str">
        <f t="shared" ref="Z92" si="151">IF(Z94&lt;&gt;0,SUM(Z93:Z94),IF(AA94&lt;&gt;0,"Refinance",""))</f>
        <v/>
      </c>
      <c r="AA92" s="220" t="str">
        <f t="shared" ref="AA92" si="152">IF(AA94&lt;&gt;0,SUM(AA93:AA94),IF(AB94&lt;&gt;0,"Refinance",""))</f>
        <v/>
      </c>
      <c r="AB92" s="220" t="str">
        <f t="shared" ref="AB92" si="153">IF(AB94&lt;&gt;0,SUM(AB93:AB94),IF(AC94&lt;&gt;0,"Refinance",""))</f>
        <v/>
      </c>
      <c r="AC92" s="220" t="str">
        <f t="shared" ref="AC92" si="154">IF(AC94&lt;&gt;0,SUM(AC93:AC94),IF(AD94&lt;&gt;0,"Refinance",""))</f>
        <v/>
      </c>
      <c r="AD92" s="220" t="str">
        <f t="shared" ref="AD92" si="155">IF(AD94&lt;&gt;0,SUM(AD93:AD94),IF(AE94&lt;&gt;0,"Refinance",""))</f>
        <v/>
      </c>
      <c r="AE92" s="220" t="str">
        <f t="shared" ref="AE92" si="156">IF(AE94&lt;&gt;0,SUM(AE93:AE94),IF(AF94&lt;&gt;0,"Refinance",""))</f>
        <v/>
      </c>
      <c r="AF92" s="220" t="str">
        <f t="shared" ref="AF92" si="157">IF(AF94&lt;&gt;0,SUM(AF93:AF94),IF(AG94&lt;&gt;0,"Refinance",""))</f>
        <v/>
      </c>
      <c r="AG92" s="220" t="str">
        <f t="shared" ref="AG92" si="158">IF(AG94&lt;&gt;0,SUM(AG93:AG94),IF(AH94&lt;&gt;0,"Refinance",""))</f>
        <v/>
      </c>
      <c r="AH92" s="220" t="str">
        <f>IF(AH94&lt;&gt;0,SUM(AH93:AH94),IF(AJ94&lt;&gt;0,"Refinance",""))</f>
        <v/>
      </c>
      <c r="AI92" s="220" t="str">
        <f t="shared" ref="AI92:AJ92" si="159">IF(AI94&lt;&gt;0,SUM(AI93:AI94),IF(AK94&lt;&gt;0,"Refinance",""))</f>
        <v/>
      </c>
      <c r="AJ92" s="220" t="str">
        <f t="shared" si="159"/>
        <v/>
      </c>
      <c r="AK92" s="530"/>
      <c r="AL92" s="530"/>
      <c r="AM92" s="530"/>
      <c r="AN92" s="530"/>
      <c r="AO92" s="530"/>
      <c r="AP92" s="530"/>
      <c r="AQ92" s="530"/>
      <c r="AR92" s="530"/>
      <c r="AS92" s="530"/>
      <c r="AT92" s="530"/>
      <c r="AU92" s="530"/>
      <c r="AV92" s="530"/>
      <c r="AW92" s="530"/>
      <c r="AX92" s="530"/>
      <c r="AY92" s="530"/>
      <c r="AZ92" s="530"/>
      <c r="BA92" s="530"/>
      <c r="BB92" s="530"/>
      <c r="BC92" s="530"/>
      <c r="BD92" s="530"/>
      <c r="BE92" s="530"/>
      <c r="BF92" s="530"/>
      <c r="BG92" s="530"/>
      <c r="BH92" s="530"/>
      <c r="BI92" s="530"/>
      <c r="BJ92" s="530"/>
      <c r="BK92" s="530"/>
      <c r="BL92" s="530"/>
      <c r="BM92" s="530"/>
      <c r="BN92" s="530"/>
      <c r="BO92" s="530"/>
      <c r="BP92" s="530"/>
      <c r="BQ92" s="530"/>
      <c r="BR92" s="530"/>
      <c r="BS92" s="530"/>
      <c r="BT92" s="530"/>
      <c r="BU92" s="530"/>
      <c r="BV92" s="530"/>
      <c r="BW92" s="530"/>
      <c r="BX92" s="530"/>
      <c r="BY92" s="530"/>
      <c r="BZ92" s="530"/>
    </row>
    <row r="93" spans="1:78" x14ac:dyDescent="0.2">
      <c r="A93" s="500"/>
      <c r="C93" s="32" t="s">
        <v>203</v>
      </c>
      <c r="D93" s="706" t="s">
        <v>204</v>
      </c>
      <c r="E93" s="706" t="s">
        <v>204</v>
      </c>
      <c r="F93" s="33">
        <f>D4*D92</f>
        <v>6630000</v>
      </c>
      <c r="G93" s="33">
        <f t="shared" ref="G93" si="160">F98</f>
        <v>6555827.3689279072</v>
      </c>
      <c r="H93" s="33">
        <f t="shared" ref="H93" si="161">G98</f>
        <v>6476951.343151113</v>
      </c>
      <c r="I93" s="33">
        <f t="shared" ref="I93" si="162">H98</f>
        <v>6393073.6735522747</v>
      </c>
      <c r="J93" s="33">
        <f t="shared" ref="J93" si="163">I98</f>
        <v>6303877.1986025721</v>
      </c>
      <c r="K93" s="33">
        <f t="shared" ref="K93" si="164">J98</f>
        <v>6209024.6450981162</v>
      </c>
      <c r="L93" s="33">
        <f t="shared" ref="L93" si="165">K98</f>
        <v>6108157.3528493028</v>
      </c>
      <c r="M93" s="33">
        <f t="shared" ref="M93" ca="1" si="166">L98</f>
        <v>10736486.573752841</v>
      </c>
      <c r="N93" s="33">
        <f t="shared" ref="N93" ca="1" si="167">M98</f>
        <v>10613291.811881842</v>
      </c>
      <c r="O93" s="33">
        <f t="shared" ref="O93" ca="1" si="168">N98</f>
        <v>10481972.612121204</v>
      </c>
      <c r="P93" s="33">
        <f t="shared" ref="P93" ca="1" si="169">O98</f>
        <v>10341993.184718018</v>
      </c>
      <c r="Q93" s="33">
        <f t="shared" ref="Q93" ca="1" si="170">P98</f>
        <v>10192782.405701401</v>
      </c>
      <c r="R93" s="33">
        <f t="shared" ref="R93" ca="1" si="171">Q98</f>
        <v>10033731.486664426</v>
      </c>
      <c r="S93" s="33">
        <f t="shared" ref="S93" ca="1" si="172">R98</f>
        <v>9864191.4908730444</v>
      </c>
      <c r="T93" s="33">
        <f t="shared" ref="T93" ca="1" si="173">S98</f>
        <v>9683470.6855675448</v>
      </c>
      <c r="U93" s="33">
        <f t="shared" ref="U93" ca="1" si="174">T98</f>
        <v>9490831.7196538262</v>
      </c>
      <c r="V93" s="33">
        <f t="shared" ref="V93" ca="1" si="175">U98</f>
        <v>9285488.6152692772</v>
      </c>
      <c r="W93" s="33">
        <f t="shared" ref="W93" ca="1" si="176">V98</f>
        <v>9066603.5609487016</v>
      </c>
      <c r="X93" s="33">
        <f t="shared" ref="X93" ca="1" si="177">W98</f>
        <v>8833283.4933062121</v>
      </c>
      <c r="Y93" s="33">
        <f t="shared" ref="Y93" ca="1" si="178">X98</f>
        <v>8584576.4532861765</v>
      </c>
      <c r="Z93" s="33">
        <f t="shared" ref="Z93" ca="1" si="179">Y98</f>
        <v>8319467.7021164857</v>
      </c>
      <c r="AA93" s="33">
        <f t="shared" ref="AA93" ca="1" si="180">Z98</f>
        <v>8036875.5811170517</v>
      </c>
      <c r="AB93" s="33">
        <f t="shared" ref="AB93" ca="1" si="181">AA98</f>
        <v>7735647.0984712904</v>
      </c>
      <c r="AC93" s="33">
        <f t="shared" ref="AC93" ca="1" si="182">AB98</f>
        <v>7414553.2249543797</v>
      </c>
      <c r="AD93" s="33">
        <f t="shared" ref="AD93" ca="1" si="183">AC98</f>
        <v>7072283.879424599</v>
      </c>
      <c r="AE93" s="33">
        <f t="shared" ref="AE93" ca="1" si="184">AD98</f>
        <v>6707442.5836182656</v>
      </c>
      <c r="AF93" s="33">
        <f t="shared" ref="AF93" ca="1" si="185">AE98</f>
        <v>6318540.7644395372</v>
      </c>
      <c r="AG93" s="33">
        <f t="shared" ref="AG93" ca="1" si="186">AF98</f>
        <v>5903991.6804980952</v>
      </c>
      <c r="AH93" s="33">
        <f t="shared" ref="AH93" ca="1" si="187">AG98</f>
        <v>5462103.9481146401</v>
      </c>
      <c r="AI93" s="33">
        <f t="shared" ref="AI93" ca="1" si="188">AH98</f>
        <v>4991074.6403799383</v>
      </c>
      <c r="AJ93" s="33">
        <f t="shared" ref="AJ93" ca="1" si="189">AI98</f>
        <v>4488981.9311111914</v>
      </c>
      <c r="AK93" s="530"/>
      <c r="AL93" s="530"/>
      <c r="AM93" s="530"/>
      <c r="AN93" s="530"/>
      <c r="AO93" s="530"/>
      <c r="AP93" s="530"/>
      <c r="AQ93" s="530"/>
      <c r="AR93" s="530"/>
      <c r="AS93" s="530"/>
      <c r="AT93" s="530"/>
      <c r="AU93" s="530"/>
      <c r="AV93" s="530"/>
      <c r="AW93" s="530"/>
      <c r="AX93" s="530"/>
      <c r="AY93" s="530"/>
      <c r="AZ93" s="530"/>
      <c r="BA93" s="530"/>
      <c r="BB93" s="530"/>
      <c r="BC93" s="530"/>
      <c r="BD93" s="530"/>
      <c r="BE93" s="530"/>
      <c r="BF93" s="530"/>
      <c r="BG93" s="530"/>
      <c r="BH93" s="530"/>
      <c r="BI93" s="530"/>
      <c r="BJ93" s="530"/>
      <c r="BK93" s="530"/>
      <c r="BL93" s="530"/>
      <c r="BM93" s="530"/>
      <c r="BN93" s="530"/>
      <c r="BO93" s="530"/>
      <c r="BP93" s="530"/>
      <c r="BQ93" s="530"/>
      <c r="BR93" s="530"/>
      <c r="BS93" s="530"/>
      <c r="BT93" s="530"/>
      <c r="BU93" s="530"/>
      <c r="BV93" s="530"/>
      <c r="BW93" s="530"/>
      <c r="BX93" s="530"/>
      <c r="BY93" s="530"/>
      <c r="BZ93" s="530"/>
    </row>
    <row r="94" spans="1:78" x14ac:dyDescent="0.2">
      <c r="A94" s="500"/>
      <c r="C94" s="503" t="s">
        <v>203</v>
      </c>
      <c r="D94" s="281">
        <v>360</v>
      </c>
      <c r="E94" s="281">
        <v>360</v>
      </c>
      <c r="F94" s="33"/>
      <c r="G94" s="274">
        <f>IF(G91=$D$98+1,(F103*$E$92)-G93,IF(G91=$E$98+1,(F103*$E$92)-G93,0))</f>
        <v>0</v>
      </c>
      <c r="H94" s="274">
        <f t="shared" ref="H94:M94" si="190">IF(H91=$D$98+1,(G103*$E$92)-H93,IF(H91=$E$98+1,(G103*$E$92)-H93,0))</f>
        <v>0</v>
      </c>
      <c r="I94" s="274">
        <f t="shared" si="190"/>
        <v>0</v>
      </c>
      <c r="J94" s="274">
        <f>IF(J91=$D$98+1,(I103*$E$92)-J93,IF(J91=$E$98+1,(I103*$E$92)-J93,0))</f>
        <v>0</v>
      </c>
      <c r="K94" s="274">
        <f t="shared" si="190"/>
        <v>0</v>
      </c>
      <c r="L94" s="274">
        <f t="shared" ca="1" si="190"/>
        <v>4743902.1864722893</v>
      </c>
      <c r="M94" s="274">
        <f t="shared" si="190"/>
        <v>0</v>
      </c>
      <c r="N94" s="274">
        <f t="shared" ref="N94" si="191">IF(N91=$D$98+1,(M103*$E$92)-N93,IF(N91=$E$98+1,(M103*$E$92)-N93,0))</f>
        <v>0</v>
      </c>
      <c r="O94" s="274">
        <f t="shared" ref="O94" si="192">IF(O91=$D$98+1,(N103*$E$92)-O93,IF(O91=$E$98+1,(N103*$E$92)-O93,0))</f>
        <v>0</v>
      </c>
      <c r="P94" s="274">
        <f t="shared" ref="P94" si="193">IF(P91=$D$98+1,(O103*$E$92)-P93,IF(P91=$E$98+1,(O103*$E$92)-P93,0))</f>
        <v>0</v>
      </c>
      <c r="Q94" s="274">
        <f t="shared" ref="Q94" si="194">IF(Q91=$D$98+1,(P103*$E$92)-Q93,IF(Q91=$E$98+1,(P103*$E$92)-Q93,0))</f>
        <v>0</v>
      </c>
      <c r="R94" s="274">
        <f t="shared" ref="R94" si="195">IF(R91=$D$98+1,(Q103*$E$92)-R93,IF(R91=$E$98+1,(Q103*$E$92)-R93,0))</f>
        <v>0</v>
      </c>
      <c r="S94" s="274">
        <f t="shared" ref="S94" si="196">IF(S91=$D$98+1,(R103*$E$92)-S93,IF(S91=$E$98+1,(R103*$E$92)-S93,0))</f>
        <v>0</v>
      </c>
      <c r="T94" s="274">
        <f t="shared" ref="T94" si="197">IF(T91=$D$98+1,(S103*$E$92)-T93,IF(T91=$E$98+1,(S103*$E$92)-T93,0))</f>
        <v>0</v>
      </c>
      <c r="U94" s="274">
        <f t="shared" ref="U94" si="198">IF(U91=$D$98+1,(T103*$E$92)-U93,IF(U91=$E$98+1,(T103*$E$92)-U93,0))</f>
        <v>0</v>
      </c>
      <c r="V94" s="274">
        <f t="shared" ref="V94" si="199">IF(V91=$D$98+1,(U103*$E$92)-V93,IF(V91=$E$98+1,(U103*$E$92)-V93,0))</f>
        <v>0</v>
      </c>
      <c r="W94" s="274">
        <f t="shared" ref="W94" si="200">IF(W91=$D$98+1,(V103*$E$92)-W93,IF(W91=$E$98+1,(V103*$E$92)-W93,0))</f>
        <v>0</v>
      </c>
      <c r="X94" s="274">
        <f t="shared" ref="X94" si="201">IF(X91=$D$98+1,(W103*$E$92)-X93,IF(X91=$E$98+1,(W103*$E$92)-X93,0))</f>
        <v>0</v>
      </c>
      <c r="Y94" s="274">
        <f t="shared" ref="Y94" si="202">IF(Y91=$D$98+1,(X103*$E$92)-Y93,IF(Y91=$E$98+1,(X103*$E$92)-Y93,0))</f>
        <v>0</v>
      </c>
      <c r="Z94" s="274">
        <f t="shared" ref="Z94" si="203">IF(Z91=$D$98+1,(Y103*$E$92)-Z93,IF(Z91=$E$98+1,(Y103*$E$92)-Z93,0))</f>
        <v>0</v>
      </c>
      <c r="AA94" s="274">
        <f t="shared" ref="AA94" si="204">IF(AA91=$D$98+1,(Z103*$E$92)-AA93,IF(AA91=$E$98+1,(Z103*$E$92)-AA93,0))</f>
        <v>0</v>
      </c>
      <c r="AB94" s="274">
        <f t="shared" ref="AB94" si="205">IF(AB91=$D$98+1,(AA103*$E$92)-AB93,IF(AB91=$E$98+1,(AA103*$E$92)-AB93,0))</f>
        <v>0</v>
      </c>
      <c r="AC94" s="274">
        <f t="shared" ref="AC94" si="206">IF(AC91=$D$98+1,(AB103*$E$92)-AC93,IF(AC91=$E$98+1,(AB103*$E$92)-AC93,0))</f>
        <v>0</v>
      </c>
      <c r="AD94" s="274">
        <f t="shared" ref="AD94" si="207">IF(AD91=$D$98+1,(AC103*$E$92)-AD93,IF(AD91=$E$98+1,(AC103*$E$92)-AD93,0))</f>
        <v>0</v>
      </c>
      <c r="AE94" s="274">
        <f t="shared" ref="AE94" si="208">IF(AE91=$D$98+1,(AD103*$E$92)-AE93,IF(AE91=$E$98+1,(AD103*$E$92)-AE93,0))</f>
        <v>0</v>
      </c>
      <c r="AF94" s="274">
        <f t="shared" ref="AF94" si="209">IF(AF91=$D$98+1,(AE103*$E$92)-AF93,IF(AF91=$E$98+1,(AE103*$E$92)-AF93,0))</f>
        <v>0</v>
      </c>
      <c r="AG94" s="274">
        <f t="shared" ref="AG94" si="210">IF(AG91=$D$98+1,(AF103*$E$92)-AG93,IF(AG91=$E$98+1,(AF103*$E$92)-AG93,0))</f>
        <v>0</v>
      </c>
      <c r="AH94" s="274">
        <f t="shared" ref="AH94" si="211">IF(AH91=$D$98+1,(AG103*$E$92)-AH93,IF(AH91=$E$98+1,(AG103*$E$92)-AH93,0))</f>
        <v>0</v>
      </c>
      <c r="AI94" s="274">
        <f t="shared" ref="AI94" si="212">IF(AI91=$D$98+1,(AH103*$E$92)-AI93,IF(AI91=$E$98+1,(AH103*$E$92)-AI93,0))</f>
        <v>0</v>
      </c>
      <c r="AJ94" s="274">
        <f t="shared" ref="AJ94" si="213">IF(AJ91=$D$98+1,(AI103*$E$92)-AJ93,IF(AJ91=$E$98+1,(AI103*$E$92)-AJ93,0))</f>
        <v>0</v>
      </c>
      <c r="AK94" s="530"/>
      <c r="AL94" s="530"/>
      <c r="AM94" s="530"/>
      <c r="AN94" s="530"/>
      <c r="AO94" s="530"/>
      <c r="AP94" s="530"/>
      <c r="AQ94" s="530"/>
      <c r="AR94" s="530"/>
      <c r="AS94" s="530"/>
      <c r="AT94" s="530"/>
      <c r="AU94" s="530"/>
      <c r="AV94" s="530"/>
      <c r="AW94" s="530"/>
      <c r="AX94" s="530"/>
      <c r="AY94" s="530"/>
      <c r="AZ94" s="530"/>
      <c r="BA94" s="530"/>
      <c r="BB94" s="530"/>
      <c r="BC94" s="530"/>
      <c r="BD94" s="530"/>
      <c r="BE94" s="530"/>
      <c r="BF94" s="530"/>
      <c r="BG94" s="530"/>
      <c r="BH94" s="530"/>
      <c r="BI94" s="530"/>
      <c r="BJ94" s="530"/>
      <c r="BK94" s="530"/>
      <c r="BL94" s="530"/>
      <c r="BM94" s="530"/>
      <c r="BN94" s="530"/>
      <c r="BO94" s="530"/>
      <c r="BP94" s="530"/>
      <c r="BQ94" s="530"/>
      <c r="BR94" s="530"/>
      <c r="BS94" s="530"/>
      <c r="BT94" s="530"/>
      <c r="BU94" s="530"/>
      <c r="BV94" s="530"/>
      <c r="BW94" s="530"/>
      <c r="BX94" s="530"/>
      <c r="BY94" s="530"/>
      <c r="BZ94" s="530"/>
    </row>
    <row r="95" spans="1:78" x14ac:dyDescent="0.2">
      <c r="A95" s="500"/>
      <c r="C95" s="32" t="s">
        <v>205</v>
      </c>
      <c r="D95" s="706" t="s">
        <v>206</v>
      </c>
      <c r="E95" s="706" t="s">
        <v>206</v>
      </c>
      <c r="F95" s="33">
        <f>IF(D101&lt;F91,-PMT((($D$96/360)*365.25/12),$D$94,InitialLoan,,0)*12,F97)</f>
        <v>494590.59982209268</v>
      </c>
      <c r="G95" s="274">
        <f t="shared" ref="G95:AJ95" si="214">IF(G91&gt;$E$98,-PMT((($E$96/360)*365.25/12),$E$94,INDEX($F$92:$AH$92,1,$E$98+1),,0)*12,IF(G91&gt;$D$98,-PMT((($E$96/360)*365.25/12),$E$94,INDEX($F$92:$AH$92,1,$D$98+1),,0)*12,IF($D$101&gt;=G91,G97,-PMT((($D$96/360)*365.25/12),$D$94,InitialLoan,,0)*12)))</f>
        <v>494590.59982209268</v>
      </c>
      <c r="H95" s="274">
        <f t="shared" si="214"/>
        <v>494590.59982209268</v>
      </c>
      <c r="I95" s="274">
        <f t="shared" si="214"/>
        <v>494590.59982209268</v>
      </c>
      <c r="J95" s="274">
        <f t="shared" si="214"/>
        <v>494590.59982209268</v>
      </c>
      <c r="K95" s="274">
        <f t="shared" si="214"/>
        <v>494590.59982209268</v>
      </c>
      <c r="L95" s="274">
        <f t="shared" ca="1" si="214"/>
        <v>831243.68372963683</v>
      </c>
      <c r="M95" s="274">
        <f t="shared" ca="1" si="214"/>
        <v>831243.68372963683</v>
      </c>
      <c r="N95" s="274">
        <f t="shared" ca="1" si="214"/>
        <v>831243.68372963683</v>
      </c>
      <c r="O95" s="274">
        <f t="shared" ca="1" si="214"/>
        <v>831243.68372963683</v>
      </c>
      <c r="P95" s="274">
        <f t="shared" ca="1" si="214"/>
        <v>831243.68372963683</v>
      </c>
      <c r="Q95" s="274">
        <f t="shared" ca="1" si="214"/>
        <v>831243.68372963683</v>
      </c>
      <c r="R95" s="274">
        <f t="shared" ca="1" si="214"/>
        <v>831243.68372963683</v>
      </c>
      <c r="S95" s="274">
        <f t="shared" ca="1" si="214"/>
        <v>831243.68372963683</v>
      </c>
      <c r="T95" s="274">
        <f t="shared" ca="1" si="214"/>
        <v>831243.68372963683</v>
      </c>
      <c r="U95" s="274">
        <f t="shared" ca="1" si="214"/>
        <v>831243.68372963683</v>
      </c>
      <c r="V95" s="274">
        <f t="shared" ca="1" si="214"/>
        <v>831243.68372963683</v>
      </c>
      <c r="W95" s="274">
        <f t="shared" ca="1" si="214"/>
        <v>831243.68372963683</v>
      </c>
      <c r="X95" s="274">
        <f t="shared" ca="1" si="214"/>
        <v>831243.68372963683</v>
      </c>
      <c r="Y95" s="274">
        <f t="shared" ca="1" si="214"/>
        <v>831243.68372963683</v>
      </c>
      <c r="Z95" s="274">
        <f t="shared" ca="1" si="214"/>
        <v>831243.68372963683</v>
      </c>
      <c r="AA95" s="274">
        <f t="shared" ca="1" si="214"/>
        <v>831243.68372963683</v>
      </c>
      <c r="AB95" s="274">
        <f t="shared" ca="1" si="214"/>
        <v>831243.68372963683</v>
      </c>
      <c r="AC95" s="274">
        <f t="shared" ca="1" si="214"/>
        <v>831243.68372963683</v>
      </c>
      <c r="AD95" s="274">
        <f t="shared" ca="1" si="214"/>
        <v>831243.68372963683</v>
      </c>
      <c r="AE95" s="274">
        <f t="shared" ca="1" si="214"/>
        <v>831243.68372963683</v>
      </c>
      <c r="AF95" s="274">
        <f t="shared" ca="1" si="214"/>
        <v>831243.68372963683</v>
      </c>
      <c r="AG95" s="274">
        <f t="shared" ca="1" si="214"/>
        <v>831243.68372963683</v>
      </c>
      <c r="AH95" s="274">
        <f t="shared" ca="1" si="214"/>
        <v>831243.68372963683</v>
      </c>
      <c r="AI95" s="274">
        <f t="shared" ca="1" si="214"/>
        <v>831243.68372963683</v>
      </c>
      <c r="AJ95" s="274">
        <f t="shared" ca="1" si="214"/>
        <v>831243.68372963683</v>
      </c>
      <c r="AK95" s="530"/>
      <c r="AL95" s="530"/>
      <c r="AM95" s="530"/>
      <c r="AN95" s="530"/>
      <c r="AO95" s="530"/>
      <c r="AP95" s="530"/>
      <c r="AQ95" s="530"/>
      <c r="AR95" s="530"/>
      <c r="AS95" s="530"/>
      <c r="AT95" s="530"/>
      <c r="AU95" s="530"/>
      <c r="AV95" s="530"/>
      <c r="AW95" s="530"/>
      <c r="AX95" s="530"/>
      <c r="AY95" s="530"/>
      <c r="AZ95" s="530"/>
      <c r="BA95" s="530"/>
      <c r="BB95" s="530"/>
      <c r="BC95" s="530"/>
      <c r="BD95" s="530"/>
      <c r="BE95" s="530"/>
      <c r="BF95" s="530"/>
      <c r="BG95" s="530"/>
      <c r="BH95" s="530"/>
      <c r="BI95" s="530"/>
      <c r="BJ95" s="530"/>
      <c r="BK95" s="530"/>
      <c r="BL95" s="530"/>
      <c r="BM95" s="530"/>
      <c r="BN95" s="530"/>
      <c r="BO95" s="530"/>
      <c r="BP95" s="530"/>
      <c r="BQ95" s="530"/>
      <c r="BR95" s="530"/>
      <c r="BS95" s="530"/>
      <c r="BT95" s="530"/>
      <c r="BU95" s="530"/>
      <c r="BV95" s="530"/>
      <c r="BW95" s="530"/>
      <c r="BX95" s="530"/>
      <c r="BY95" s="530"/>
      <c r="BZ95" s="530"/>
    </row>
    <row r="96" spans="1:78" x14ac:dyDescent="0.2">
      <c r="A96" s="500"/>
      <c r="C96" s="32" t="s">
        <v>207</v>
      </c>
      <c r="D96" s="283">
        <v>6.25E-2</v>
      </c>
      <c r="E96" s="284">
        <v>6.5000000000000002E-2</v>
      </c>
      <c r="F96" s="33">
        <f t="shared" ref="F96" si="215">F95-F97</f>
        <v>74172.631072092685</v>
      </c>
      <c r="G96" s="33">
        <f t="shared" ref="G96:AH96" si="216">G95-G97</f>
        <v>78876.025776794355</v>
      </c>
      <c r="H96" s="33">
        <f t="shared" si="216"/>
        <v>83877.669598838489</v>
      </c>
      <c r="I96" s="33">
        <f t="shared" si="216"/>
        <v>89196.474949702329</v>
      </c>
      <c r="J96" s="33">
        <f t="shared" si="216"/>
        <v>94852.553504455602</v>
      </c>
      <c r="K96" s="33">
        <f t="shared" si="216"/>
        <v>100867.29224881367</v>
      </c>
      <c r="L96" s="33">
        <f t="shared" ca="1" si="216"/>
        <v>115572.96556875133</v>
      </c>
      <c r="M96" s="33">
        <f t="shared" ca="1" si="216"/>
        <v>123194.76187099889</v>
      </c>
      <c r="N96" s="33">
        <f t="shared" ca="1" si="216"/>
        <v>131319.19976063736</v>
      </c>
      <c r="O96" s="33">
        <f t="shared" ca="1" si="216"/>
        <v>139979.42740318528</v>
      </c>
      <c r="P96" s="33">
        <f t="shared" ca="1" si="216"/>
        <v>149210.77901661827</v>
      </c>
      <c r="Q96" s="33">
        <f t="shared" ca="1" si="216"/>
        <v>159050.91903697455</v>
      </c>
      <c r="R96" s="33">
        <f t="shared" ca="1" si="216"/>
        <v>169539.99579138181</v>
      </c>
      <c r="S96" s="33">
        <f t="shared" ca="1" si="216"/>
        <v>180720.80530549877</v>
      </c>
      <c r="T96" s="33">
        <f t="shared" ca="1" si="216"/>
        <v>192638.9659137188</v>
      </c>
      <c r="U96" s="33">
        <f t="shared" ca="1" si="216"/>
        <v>205343.10438454954</v>
      </c>
      <c r="V96" s="33">
        <f t="shared" ca="1" si="216"/>
        <v>218885.05432057637</v>
      </c>
      <c r="W96" s="33">
        <f t="shared" ca="1" si="216"/>
        <v>233320.06764248852</v>
      </c>
      <c r="X96" s="33">
        <f t="shared" ca="1" si="216"/>
        <v>248707.04002003639</v>
      </c>
      <c r="Y96" s="33">
        <f t="shared" ca="1" si="216"/>
        <v>265108.7511696911</v>
      </c>
      <c r="Z96" s="33">
        <f t="shared" ca="1" si="216"/>
        <v>282592.12099943392</v>
      </c>
      <c r="AA96" s="33">
        <f t="shared" ca="1" si="216"/>
        <v>301228.48264576122</v>
      </c>
      <c r="AB96" s="33">
        <f t="shared" ca="1" si="216"/>
        <v>321093.8735169103</v>
      </c>
      <c r="AC96" s="33">
        <f t="shared" ca="1" si="216"/>
        <v>342269.34552978072</v>
      </c>
      <c r="AD96" s="33">
        <f t="shared" ca="1" si="216"/>
        <v>364841.29580633325</v>
      </c>
      <c r="AE96" s="33">
        <f t="shared" ca="1" si="216"/>
        <v>388901.81917872804</v>
      </c>
      <c r="AF96" s="33">
        <f t="shared" ca="1" si="216"/>
        <v>414549.0839414419</v>
      </c>
      <c r="AG96" s="33">
        <f t="shared" ca="1" si="216"/>
        <v>441887.73238345509</v>
      </c>
      <c r="AH96" s="33">
        <f t="shared" ca="1" si="216"/>
        <v>471029.30773470149</v>
      </c>
      <c r="AI96" s="33">
        <f t="shared" ref="AI96:AJ96" ca="1" si="217">AI95-AI97</f>
        <v>502092.70926874731</v>
      </c>
      <c r="AJ96" s="33">
        <f t="shared" ca="1" si="217"/>
        <v>535204.67741854349</v>
      </c>
      <c r="AK96" s="530"/>
      <c r="AL96" s="530"/>
      <c r="AM96" s="530"/>
      <c r="AN96" s="530"/>
      <c r="AO96" s="530"/>
      <c r="AP96" s="530"/>
      <c r="AQ96" s="530"/>
      <c r="AR96" s="530"/>
      <c r="AS96" s="530"/>
      <c r="AT96" s="530"/>
      <c r="AU96" s="530"/>
      <c r="AV96" s="530"/>
      <c r="AW96" s="530"/>
      <c r="AX96" s="530"/>
      <c r="AY96" s="530"/>
      <c r="AZ96" s="530"/>
      <c r="BA96" s="530"/>
      <c r="BB96" s="530"/>
      <c r="BC96" s="530"/>
      <c r="BD96" s="530"/>
      <c r="BE96" s="530"/>
      <c r="BF96" s="530"/>
      <c r="BG96" s="530"/>
      <c r="BH96" s="530"/>
      <c r="BI96" s="530"/>
      <c r="BJ96" s="530"/>
      <c r="BK96" s="530"/>
      <c r="BL96" s="530"/>
      <c r="BM96" s="530"/>
      <c r="BN96" s="530"/>
      <c r="BO96" s="530"/>
      <c r="BP96" s="530"/>
      <c r="BQ96" s="530"/>
      <c r="BR96" s="530"/>
      <c r="BS96" s="530"/>
      <c r="BT96" s="530"/>
      <c r="BU96" s="530"/>
      <c r="BV96" s="530"/>
      <c r="BW96" s="530"/>
      <c r="BX96" s="530"/>
      <c r="BY96" s="530"/>
      <c r="BZ96" s="530"/>
    </row>
    <row r="97" spans="3:78" x14ac:dyDescent="0.2">
      <c r="C97" s="32" t="s">
        <v>208</v>
      </c>
      <c r="D97" s="706" t="s">
        <v>209</v>
      </c>
      <c r="E97" s="706" t="s">
        <v>210</v>
      </c>
      <c r="F97" s="33">
        <f>IF(F91&gt;=$D$98+1,(F93+F94)*(($E$96/360)*365.25),(F93+F94)*(($D$96/360)*365.25))</f>
        <v>420417.96875</v>
      </c>
      <c r="G97" s="33">
        <f t="shared" ref="G97:AH97" si="218">IF(G91&gt;=$D$98+1,(G93+G94)*(($E$96/360)*365.25),(G93+G94)*(($D$96/360)*365.25))</f>
        <v>415714.57404529833</v>
      </c>
      <c r="H97" s="33">
        <f t="shared" si="218"/>
        <v>410712.9302232542</v>
      </c>
      <c r="I97" s="33">
        <f t="shared" si="218"/>
        <v>405394.12487239036</v>
      </c>
      <c r="J97" s="33">
        <f t="shared" si="218"/>
        <v>399738.04631763708</v>
      </c>
      <c r="K97" s="33">
        <f t="shared" si="218"/>
        <v>393723.30757327902</v>
      </c>
      <c r="L97" s="33">
        <f t="shared" ca="1" si="218"/>
        <v>715670.7181608855</v>
      </c>
      <c r="M97" s="33">
        <f t="shared" ca="1" si="218"/>
        <v>708048.92185863794</v>
      </c>
      <c r="N97" s="33">
        <f t="shared" ca="1" si="218"/>
        <v>699924.48396899947</v>
      </c>
      <c r="O97" s="33">
        <f t="shared" ca="1" si="218"/>
        <v>691264.25632645155</v>
      </c>
      <c r="P97" s="33">
        <f t="shared" ca="1" si="218"/>
        <v>682032.90471301856</v>
      </c>
      <c r="Q97" s="33">
        <f t="shared" ca="1" si="218"/>
        <v>672192.76469266228</v>
      </c>
      <c r="R97" s="33">
        <f t="shared" ca="1" si="218"/>
        <v>661703.68793825503</v>
      </c>
      <c r="S97" s="33">
        <f t="shared" ca="1" si="218"/>
        <v>650522.87842413806</v>
      </c>
      <c r="T97" s="33">
        <f t="shared" ca="1" si="218"/>
        <v>638604.71781591803</v>
      </c>
      <c r="U97" s="33">
        <f t="shared" ca="1" si="218"/>
        <v>625900.57934508729</v>
      </c>
      <c r="V97" s="33">
        <f t="shared" ca="1" si="218"/>
        <v>612358.62940906046</v>
      </c>
      <c r="W97" s="33">
        <f t="shared" ca="1" si="218"/>
        <v>597923.61608714832</v>
      </c>
      <c r="X97" s="33">
        <f t="shared" ca="1" si="218"/>
        <v>582536.64370960044</v>
      </c>
      <c r="Y97" s="33">
        <f t="shared" ca="1" si="218"/>
        <v>566134.93255994574</v>
      </c>
      <c r="Z97" s="33">
        <f t="shared" ca="1" si="218"/>
        <v>548651.56273020292</v>
      </c>
      <c r="AA97" s="33">
        <f t="shared" ca="1" si="218"/>
        <v>530015.20108387561</v>
      </c>
      <c r="AB97" s="33">
        <f t="shared" ca="1" si="218"/>
        <v>510149.81021272653</v>
      </c>
      <c r="AC97" s="33">
        <f t="shared" ca="1" si="218"/>
        <v>488974.33819985611</v>
      </c>
      <c r="AD97" s="33">
        <f t="shared" ca="1" si="218"/>
        <v>466402.38792330358</v>
      </c>
      <c r="AE97" s="33">
        <f t="shared" ca="1" si="218"/>
        <v>442341.86455090879</v>
      </c>
      <c r="AF97" s="33">
        <f t="shared" ca="1" si="218"/>
        <v>416694.59978819493</v>
      </c>
      <c r="AG97" s="33">
        <f t="shared" ca="1" si="218"/>
        <v>389355.95134618174</v>
      </c>
      <c r="AH97" s="33">
        <f t="shared" ca="1" si="218"/>
        <v>360214.37599493534</v>
      </c>
      <c r="AI97" s="33">
        <f t="shared" ref="AI97:AJ97" ca="1" si="219">IF(AI91&gt;=$D$98+1,(AI93+AI94)*(($E$96/360)*365.25),(AI93+AI94)*(($D$96/360)*365.25))</f>
        <v>329150.97446088953</v>
      </c>
      <c r="AJ97" s="33">
        <f t="shared" ca="1" si="219"/>
        <v>296039.00631109328</v>
      </c>
      <c r="AK97" s="530"/>
      <c r="AL97" s="530"/>
      <c r="AM97" s="530"/>
      <c r="AN97" s="530"/>
      <c r="AO97" s="530"/>
      <c r="AP97" s="530"/>
      <c r="AQ97" s="530"/>
      <c r="AR97" s="530"/>
      <c r="AS97" s="530"/>
      <c r="AT97" s="530"/>
      <c r="AU97" s="530"/>
      <c r="AV97" s="530"/>
      <c r="AW97" s="530"/>
      <c r="AX97" s="530"/>
      <c r="AY97" s="530"/>
      <c r="AZ97" s="530"/>
      <c r="BA97" s="530"/>
      <c r="BB97" s="530"/>
      <c r="BC97" s="530"/>
      <c r="BD97" s="530"/>
      <c r="BE97" s="530"/>
      <c r="BF97" s="530"/>
      <c r="BG97" s="530"/>
      <c r="BH97" s="530"/>
      <c r="BI97" s="530"/>
      <c r="BJ97" s="530"/>
      <c r="BK97" s="530"/>
      <c r="BL97" s="530"/>
      <c r="BM97" s="530"/>
      <c r="BN97" s="530"/>
      <c r="BO97" s="530"/>
      <c r="BP97" s="530"/>
      <c r="BQ97" s="530"/>
      <c r="BR97" s="530"/>
      <c r="BS97" s="530"/>
      <c r="BT97" s="530"/>
      <c r="BU97" s="530"/>
      <c r="BV97" s="530"/>
      <c r="BW97" s="530"/>
      <c r="BX97" s="530"/>
      <c r="BY97" s="530"/>
      <c r="BZ97" s="530"/>
    </row>
    <row r="98" spans="3:78" ht="13.5" thickBot="1" x14ac:dyDescent="0.25">
      <c r="C98" s="32" t="s">
        <v>211</v>
      </c>
      <c r="D98" s="282">
        <v>6</v>
      </c>
      <c r="E98" s="281">
        <v>31</v>
      </c>
      <c r="F98" s="594">
        <f t="shared" ref="F98:AH98" si="220">F93-F96+F94</f>
        <v>6555827.3689279072</v>
      </c>
      <c r="G98" s="595">
        <f t="shared" si="220"/>
        <v>6476951.343151113</v>
      </c>
      <c r="H98" s="595">
        <f t="shared" si="220"/>
        <v>6393073.6735522747</v>
      </c>
      <c r="I98" s="595">
        <f t="shared" si="220"/>
        <v>6303877.1986025721</v>
      </c>
      <c r="J98" s="595">
        <f t="shared" si="220"/>
        <v>6209024.6450981162</v>
      </c>
      <c r="K98" s="596">
        <f t="shared" si="220"/>
        <v>6108157.3528493028</v>
      </c>
      <c r="L98" s="596">
        <f t="shared" ca="1" si="220"/>
        <v>10736486.573752841</v>
      </c>
      <c r="M98" s="596">
        <f t="shared" ca="1" si="220"/>
        <v>10613291.811881842</v>
      </c>
      <c r="N98" s="596">
        <f t="shared" ca="1" si="220"/>
        <v>10481972.612121204</v>
      </c>
      <c r="O98" s="596">
        <f t="shared" ca="1" si="220"/>
        <v>10341993.184718018</v>
      </c>
      <c r="P98" s="596">
        <f t="shared" ca="1" si="220"/>
        <v>10192782.405701401</v>
      </c>
      <c r="Q98" s="596">
        <f t="shared" ca="1" si="220"/>
        <v>10033731.486664426</v>
      </c>
      <c r="R98" s="596">
        <f t="shared" ca="1" si="220"/>
        <v>9864191.4908730444</v>
      </c>
      <c r="S98" s="596">
        <f t="shared" ca="1" si="220"/>
        <v>9683470.6855675448</v>
      </c>
      <c r="T98" s="596">
        <f t="shared" ca="1" si="220"/>
        <v>9490831.7196538262</v>
      </c>
      <c r="U98" s="596">
        <f t="shared" ca="1" si="220"/>
        <v>9285488.6152692772</v>
      </c>
      <c r="V98" s="596">
        <f t="shared" ca="1" si="220"/>
        <v>9066603.5609487016</v>
      </c>
      <c r="W98" s="596">
        <f t="shared" ca="1" si="220"/>
        <v>8833283.4933062121</v>
      </c>
      <c r="X98" s="596">
        <f t="shared" ca="1" si="220"/>
        <v>8584576.4532861765</v>
      </c>
      <c r="Y98" s="596">
        <f t="shared" ca="1" si="220"/>
        <v>8319467.7021164857</v>
      </c>
      <c r="Z98" s="596">
        <f t="shared" ca="1" si="220"/>
        <v>8036875.5811170517</v>
      </c>
      <c r="AA98" s="596">
        <f t="shared" ca="1" si="220"/>
        <v>7735647.0984712904</v>
      </c>
      <c r="AB98" s="596">
        <f t="shared" ca="1" si="220"/>
        <v>7414553.2249543797</v>
      </c>
      <c r="AC98" s="596">
        <f t="shared" ca="1" si="220"/>
        <v>7072283.879424599</v>
      </c>
      <c r="AD98" s="596">
        <f t="shared" ca="1" si="220"/>
        <v>6707442.5836182656</v>
      </c>
      <c r="AE98" s="596">
        <f t="shared" ca="1" si="220"/>
        <v>6318540.7644395372</v>
      </c>
      <c r="AF98" s="596">
        <f t="shared" ca="1" si="220"/>
        <v>5903991.6804980952</v>
      </c>
      <c r="AG98" s="596">
        <f t="shared" ca="1" si="220"/>
        <v>5462103.9481146401</v>
      </c>
      <c r="AH98" s="596">
        <f t="shared" ca="1" si="220"/>
        <v>4991074.6403799383</v>
      </c>
      <c r="AI98" s="596">
        <f t="shared" ref="AI98:AJ98" ca="1" si="221">AI93-AI96+AI94</f>
        <v>4488981.9311111914</v>
      </c>
      <c r="AJ98" s="596">
        <f t="shared" ca="1" si="221"/>
        <v>3953777.2536926479</v>
      </c>
      <c r="AK98" s="530"/>
      <c r="AL98" s="530"/>
      <c r="AM98" s="530"/>
      <c r="AN98" s="530"/>
      <c r="AO98" s="530"/>
      <c r="AP98" s="530"/>
      <c r="AQ98" s="530"/>
      <c r="AR98" s="530"/>
      <c r="AS98" s="530"/>
      <c r="AT98" s="530"/>
      <c r="AU98" s="530"/>
      <c r="AV98" s="530"/>
      <c r="AW98" s="530"/>
      <c r="AX98" s="530"/>
      <c r="AY98" s="530"/>
      <c r="AZ98" s="530"/>
      <c r="BA98" s="530"/>
      <c r="BB98" s="530"/>
      <c r="BC98" s="530"/>
      <c r="BD98" s="530"/>
      <c r="BE98" s="530"/>
      <c r="BF98" s="530"/>
      <c r="BG98" s="530"/>
      <c r="BH98" s="530"/>
      <c r="BI98" s="530"/>
      <c r="BJ98" s="530"/>
      <c r="BK98" s="530"/>
      <c r="BL98" s="530"/>
      <c r="BM98" s="530"/>
      <c r="BN98" s="530"/>
      <c r="BO98" s="530"/>
      <c r="BP98" s="530"/>
      <c r="BQ98" s="530"/>
      <c r="BR98" s="530"/>
      <c r="BS98" s="530"/>
      <c r="BT98" s="530"/>
      <c r="BU98" s="530"/>
      <c r="BV98" s="530"/>
      <c r="BW98" s="530"/>
      <c r="BX98" s="530"/>
      <c r="BY98" s="530"/>
      <c r="BZ98" s="530"/>
    </row>
    <row r="99" spans="3:78" ht="13.5" thickTop="1" x14ac:dyDescent="0.2">
      <c r="C99" s="500"/>
      <c r="D99" s="706" t="s">
        <v>212</v>
      </c>
      <c r="E99" s="222" t="s">
        <v>213</v>
      </c>
      <c r="F99" s="223">
        <f t="shared" ref="F99:L99" ca="1" si="222">F84/(F95/12)</f>
        <v>1.3255249623017915</v>
      </c>
      <c r="G99" s="223">
        <f t="shared" ca="1" si="222"/>
        <v>1.5677813880542812</v>
      </c>
      <c r="H99" s="223">
        <f t="shared" ca="1" si="222"/>
        <v>1.6859449564423092</v>
      </c>
      <c r="I99" s="223">
        <f t="shared" ca="1" si="222"/>
        <v>1.8116589535924419</v>
      </c>
      <c r="J99" s="223">
        <f t="shared" ca="1" si="222"/>
        <v>1.9212367970067619</v>
      </c>
      <c r="K99" s="223">
        <f ca="1">J84/(K95/12)</f>
        <v>1.9212367970067619</v>
      </c>
      <c r="L99" s="223">
        <f t="shared" ca="1" si="222"/>
        <v>1.2526155514607178</v>
      </c>
      <c r="M99" s="223">
        <f ca="1">L84/(M95/12)</f>
        <v>1.2526155514607178</v>
      </c>
      <c r="N99" s="223">
        <f t="shared" ref="N99:AH99" ca="1" si="223">N84/(N95/12)</f>
        <v>1.3716692272681414</v>
      </c>
      <c r="O99" s="223">
        <f t="shared" ca="1" si="223"/>
        <v>1.4350363448650025</v>
      </c>
      <c r="P99" s="223">
        <f t="shared" ca="1" si="223"/>
        <v>1.5011048624135541</v>
      </c>
      <c r="Q99" s="223">
        <f t="shared" ca="1" si="223"/>
        <v>1.569986071465151</v>
      </c>
      <c r="R99" s="223">
        <f t="shared" ca="1" si="223"/>
        <v>1.6417957769817191</v>
      </c>
      <c r="S99" s="223">
        <f t="shared" ca="1" si="223"/>
        <v>1.7166544790182674</v>
      </c>
      <c r="T99" s="223">
        <f t="shared" ca="1" si="223"/>
        <v>1.7946875616929676</v>
      </c>
      <c r="U99" s="223">
        <f t="shared" ca="1" si="223"/>
        <v>1.876025489736606</v>
      </c>
      <c r="V99" s="223">
        <f t="shared" ca="1" si="223"/>
        <v>1.9608040129249278</v>
      </c>
      <c r="W99" s="223">
        <f t="shared" ca="1" si="223"/>
        <v>2.0491643787095231</v>
      </c>
      <c r="X99" s="223">
        <f t="shared" ca="1" si="223"/>
        <v>2.1412535533755199</v>
      </c>
      <c r="Y99" s="223">
        <f t="shared" ca="1" si="223"/>
        <v>2.2372244520675162</v>
      </c>
      <c r="Z99" s="223">
        <f t="shared" ca="1" si="223"/>
        <v>2.3372361780388062</v>
      </c>
      <c r="AA99" s="223">
        <f t="shared" ca="1" si="223"/>
        <v>2.4414542714932113</v>
      </c>
      <c r="AB99" s="223">
        <f t="shared" ca="1" si="223"/>
        <v>2.5500509684035348</v>
      </c>
      <c r="AC99" s="223">
        <f t="shared" ca="1" si="223"/>
        <v>2.6632054697061007</v>
      </c>
      <c r="AD99" s="223">
        <f t="shared" ca="1" si="223"/>
        <v>2.7811042212867596</v>
      </c>
      <c r="AE99" s="223">
        <f t="shared" ca="1" si="223"/>
        <v>2.903941205190395</v>
      </c>
      <c r="AF99" s="223">
        <f t="shared" ca="1" si="223"/>
        <v>3.0319182425032394</v>
      </c>
      <c r="AG99" s="223">
        <f t="shared" ca="1" si="223"/>
        <v>3.1652453083752827</v>
      </c>
      <c r="AH99" s="223">
        <f t="shared" ca="1" si="223"/>
        <v>3.3041408596687591</v>
      </c>
      <c r="AI99" s="223">
        <f t="shared" ref="AI99:AJ99" ca="1" si="224">AI84/(AI95/12)</f>
        <v>3.4488321757381581</v>
      </c>
      <c r="AJ99" s="223">
        <f t="shared" ca="1" si="224"/>
        <v>3.599555712867347</v>
      </c>
      <c r="AK99" s="530"/>
      <c r="AL99" s="530"/>
      <c r="AM99" s="530"/>
      <c r="AN99" s="530"/>
      <c r="AO99" s="530"/>
      <c r="AP99" s="530"/>
      <c r="AQ99" s="530"/>
      <c r="AR99" s="530"/>
      <c r="AS99" s="530"/>
      <c r="AT99" s="530"/>
      <c r="AU99" s="530"/>
      <c r="AV99" s="530"/>
      <c r="AW99" s="530"/>
      <c r="AX99" s="530"/>
      <c r="AY99" s="530"/>
      <c r="AZ99" s="530"/>
      <c r="BA99" s="530"/>
      <c r="BB99" s="530"/>
      <c r="BC99" s="530"/>
      <c r="BD99" s="530"/>
      <c r="BE99" s="530"/>
      <c r="BF99" s="530"/>
      <c r="BG99" s="530"/>
      <c r="BH99" s="530"/>
      <c r="BI99" s="530"/>
      <c r="BJ99" s="530"/>
      <c r="BK99" s="530"/>
      <c r="BL99" s="530"/>
      <c r="BM99" s="530"/>
      <c r="BN99" s="530"/>
      <c r="BO99" s="530"/>
      <c r="BP99" s="530"/>
      <c r="BQ99" s="530"/>
      <c r="BR99" s="530"/>
      <c r="BS99" s="530"/>
      <c r="BT99" s="530"/>
      <c r="BU99" s="530"/>
      <c r="BV99" s="530"/>
      <c r="BW99" s="530"/>
      <c r="BX99" s="530"/>
      <c r="BY99" s="530"/>
      <c r="BZ99" s="530"/>
    </row>
    <row r="100" spans="3:78" hidden="1" x14ac:dyDescent="0.2">
      <c r="C100" s="269" t="s">
        <v>214</v>
      </c>
      <c r="D100" s="332"/>
      <c r="E100" s="222" t="s">
        <v>215</v>
      </c>
      <c r="F100" s="223">
        <f t="shared" ref="F100:AH100" ca="1" si="225">(F84+((F107+F108)/12))/(F95/12)</f>
        <v>1.3255249623017915</v>
      </c>
      <c r="G100" s="223">
        <f t="shared" ca="1" si="225"/>
        <v>1.5677813880542812</v>
      </c>
      <c r="H100" s="223">
        <f t="shared" ca="1" si="225"/>
        <v>1.6859449564423092</v>
      </c>
      <c r="I100" s="223">
        <f t="shared" ca="1" si="225"/>
        <v>1.8116589535924419</v>
      </c>
      <c r="J100" s="223">
        <f t="shared" ca="1" si="225"/>
        <v>1.9212367970067619</v>
      </c>
      <c r="K100" s="223">
        <f t="shared" ca="1" si="225"/>
        <v>2.0113041468957125</v>
      </c>
      <c r="L100" s="223">
        <f t="shared" ca="1" si="225"/>
        <v>1.2526155514607178</v>
      </c>
      <c r="M100" s="223">
        <f t="shared" ca="1" si="225"/>
        <v>1.3108965568066269</v>
      </c>
      <c r="N100" s="223">
        <f t="shared" ca="1" si="225"/>
        <v>1.3716692272681414</v>
      </c>
      <c r="O100" s="223">
        <f t="shared" ca="1" si="225"/>
        <v>1.4350363448650025</v>
      </c>
      <c r="P100" s="223">
        <f t="shared" ca="1" si="225"/>
        <v>1.5011048624135541</v>
      </c>
      <c r="Q100" s="223">
        <f t="shared" ca="1" si="225"/>
        <v>1.569986071465151</v>
      </c>
      <c r="R100" s="223">
        <f t="shared" ca="1" si="225"/>
        <v>1.6417957769817191</v>
      </c>
      <c r="S100" s="223">
        <f t="shared" ca="1" si="225"/>
        <v>1.7166544790182674</v>
      </c>
      <c r="T100" s="223">
        <f t="shared" ca="1" si="225"/>
        <v>1.7946875616929676</v>
      </c>
      <c r="U100" s="223">
        <f t="shared" ca="1" si="225"/>
        <v>1.876025489736606</v>
      </c>
      <c r="V100" s="223">
        <f t="shared" ca="1" si="225"/>
        <v>1.9608040129249278</v>
      </c>
      <c r="W100" s="223">
        <f t="shared" ca="1" si="225"/>
        <v>2.0491643787095231</v>
      </c>
      <c r="X100" s="223">
        <f t="shared" ca="1" si="225"/>
        <v>2.1412535533755199</v>
      </c>
      <c r="Y100" s="223">
        <f t="shared" ca="1" si="225"/>
        <v>2.2372244520675162</v>
      </c>
      <c r="Z100" s="223">
        <f t="shared" ca="1" si="225"/>
        <v>2.3372361780388062</v>
      </c>
      <c r="AA100" s="223">
        <f t="shared" ca="1" si="225"/>
        <v>2.4414542714932113</v>
      </c>
      <c r="AB100" s="223">
        <f t="shared" ca="1" si="225"/>
        <v>2.5500509684035348</v>
      </c>
      <c r="AC100" s="223">
        <f t="shared" ca="1" si="225"/>
        <v>2.6632054697061007</v>
      </c>
      <c r="AD100" s="223">
        <f t="shared" ca="1" si="225"/>
        <v>2.7811042212867596</v>
      </c>
      <c r="AE100" s="223">
        <f t="shared" ca="1" si="225"/>
        <v>2.903941205190395</v>
      </c>
      <c r="AF100" s="223">
        <f t="shared" ca="1" si="225"/>
        <v>3.0319182425032394</v>
      </c>
      <c r="AG100" s="223">
        <f t="shared" ca="1" si="225"/>
        <v>3.1652453083752827</v>
      </c>
      <c r="AH100" s="223">
        <f t="shared" ca="1" si="225"/>
        <v>3.3041408596687591</v>
      </c>
      <c r="AI100" s="223">
        <f t="shared" ref="AI100:AJ100" ca="1" si="226">(AI84+((AI107+AI108)/12))/(AI95/12)</f>
        <v>3.4488321757381581</v>
      </c>
      <c r="AJ100" s="223">
        <f t="shared" ca="1" si="226"/>
        <v>3.599555712867347</v>
      </c>
      <c r="AK100" s="530"/>
      <c r="AL100" s="530"/>
      <c r="AM100" s="530"/>
      <c r="AN100" s="530"/>
      <c r="AO100" s="530"/>
      <c r="AP100" s="530"/>
      <c r="AQ100" s="530"/>
      <c r="AR100" s="530"/>
      <c r="AS100" s="530"/>
      <c r="AT100" s="530"/>
      <c r="AU100" s="530"/>
      <c r="AV100" s="530"/>
      <c r="AW100" s="530"/>
      <c r="AX100" s="530"/>
      <c r="AY100" s="530"/>
      <c r="AZ100" s="530"/>
      <c r="BA100" s="530"/>
      <c r="BB100" s="530"/>
      <c r="BC100" s="530"/>
      <c r="BD100" s="530"/>
      <c r="BE100" s="530"/>
      <c r="BF100" s="530"/>
      <c r="BG100" s="530"/>
      <c r="BH100" s="530"/>
      <c r="BI100" s="530"/>
      <c r="BJ100" s="530"/>
      <c r="BK100" s="530"/>
      <c r="BL100" s="530"/>
      <c r="BM100" s="530"/>
      <c r="BN100" s="530"/>
      <c r="BO100" s="530"/>
      <c r="BP100" s="530"/>
      <c r="BQ100" s="530"/>
      <c r="BR100" s="530"/>
      <c r="BS100" s="530"/>
      <c r="BT100" s="530"/>
      <c r="BU100" s="530"/>
      <c r="BV100" s="530"/>
      <c r="BW100" s="530"/>
      <c r="BX100" s="530"/>
      <c r="BY100" s="530"/>
      <c r="BZ100" s="530"/>
    </row>
    <row r="101" spans="3:78" x14ac:dyDescent="0.2">
      <c r="C101" s="333" t="str">
        <f>IF(D101&gt;D98,"IO Years cannont be greater than 1st Refi Year","")</f>
        <v/>
      </c>
      <c r="D101" s="281">
        <v>0</v>
      </c>
      <c r="E101" s="222"/>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530"/>
      <c r="AL101" s="530"/>
      <c r="AM101" s="530"/>
      <c r="AN101" s="530"/>
      <c r="AO101" s="530"/>
      <c r="AP101" s="530"/>
      <c r="AQ101" s="530"/>
      <c r="AR101" s="530"/>
      <c r="AS101" s="530"/>
      <c r="AT101" s="530"/>
      <c r="AU101" s="530"/>
      <c r="AV101" s="530"/>
      <c r="AW101" s="530"/>
      <c r="AX101" s="530"/>
      <c r="AY101" s="530"/>
      <c r="AZ101" s="530"/>
      <c r="BA101" s="530"/>
      <c r="BB101" s="530"/>
      <c r="BC101" s="530"/>
      <c r="BD101" s="530"/>
      <c r="BE101" s="530"/>
      <c r="BF101" s="530"/>
      <c r="BG101" s="530"/>
      <c r="BH101" s="530"/>
      <c r="BI101" s="530"/>
      <c r="BJ101" s="530"/>
      <c r="BK101" s="530"/>
      <c r="BL101" s="530"/>
      <c r="BM101" s="530"/>
      <c r="BN101" s="530"/>
      <c r="BO101" s="530"/>
      <c r="BP101" s="530"/>
      <c r="BQ101" s="530"/>
      <c r="BR101" s="530"/>
      <c r="BS101" s="530"/>
      <c r="BT101" s="530"/>
      <c r="BU101" s="530"/>
      <c r="BV101" s="530"/>
      <c r="BW101" s="530"/>
      <c r="BX101" s="530"/>
      <c r="BY101" s="530"/>
      <c r="BZ101" s="530"/>
    </row>
    <row r="102" spans="3:78" x14ac:dyDescent="0.2">
      <c r="C102" s="500"/>
      <c r="D102" s="28"/>
      <c r="E102" s="1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530"/>
      <c r="AL102" s="530"/>
      <c r="AM102" s="530"/>
      <c r="AN102" s="530"/>
      <c r="AO102" s="530"/>
      <c r="AP102" s="530"/>
      <c r="AQ102" s="530"/>
      <c r="AR102" s="530"/>
      <c r="AS102" s="530"/>
      <c r="AT102" s="530"/>
      <c r="AU102" s="530"/>
      <c r="AV102" s="530"/>
      <c r="AW102" s="530"/>
      <c r="AX102" s="530"/>
      <c r="AY102" s="530"/>
      <c r="AZ102" s="530"/>
      <c r="BA102" s="530"/>
      <c r="BB102" s="530"/>
      <c r="BC102" s="530"/>
      <c r="BD102" s="530"/>
      <c r="BE102" s="530"/>
      <c r="BF102" s="530"/>
      <c r="BG102" s="530"/>
      <c r="BH102" s="530"/>
      <c r="BI102" s="530"/>
      <c r="BJ102" s="530"/>
      <c r="BK102" s="530"/>
      <c r="BL102" s="530"/>
      <c r="BM102" s="530"/>
      <c r="BN102" s="530"/>
      <c r="BO102" s="530"/>
      <c r="BP102" s="530"/>
      <c r="BQ102" s="530"/>
      <c r="BR102" s="530"/>
      <c r="BS102" s="530"/>
      <c r="BT102" s="530"/>
      <c r="BU102" s="530"/>
      <c r="BV102" s="530"/>
      <c r="BW102" s="530"/>
      <c r="BX102" s="530"/>
      <c r="BY102" s="530"/>
      <c r="BZ102" s="530"/>
    </row>
    <row r="103" spans="3:78" x14ac:dyDescent="0.2">
      <c r="C103" s="36" t="s">
        <v>216</v>
      </c>
      <c r="D103" s="597" t="s">
        <v>217</v>
      </c>
      <c r="E103" s="598">
        <v>5.5E-2</v>
      </c>
      <c r="F103" s="140">
        <f t="shared" ref="F103:AH103" ca="1" si="227">(F86/$E$103)</f>
        <v>11919857.93061818</v>
      </c>
      <c r="G103" s="140">
        <f t="shared" ca="1" si="227"/>
        <v>14098362.492866909</v>
      </c>
      <c r="H103" s="140">
        <f t="shared" ca="1" si="227"/>
        <v>15160955.04134243</v>
      </c>
      <c r="I103" s="140">
        <f t="shared" ca="1" si="227"/>
        <v>16291445.246006375</v>
      </c>
      <c r="J103" s="140">
        <f t="shared" ca="1" si="227"/>
        <v>17276830.178760916</v>
      </c>
      <c r="K103" s="140">
        <f t="shared" ca="1" si="227"/>
        <v>18086765.898869321</v>
      </c>
      <c r="L103" s="140">
        <f t="shared" ca="1" si="227"/>
        <v>18931432.096240681</v>
      </c>
      <c r="M103" s="140">
        <f t="shared" ca="1" si="227"/>
        <v>19812263.324880686</v>
      </c>
      <c r="N103" s="140">
        <f t="shared" ca="1" si="227"/>
        <v>20730752.387871899</v>
      </c>
      <c r="O103" s="140">
        <f t="shared" ca="1" si="227"/>
        <v>21688452.683481786</v>
      </c>
      <c r="P103" s="140">
        <f t="shared" ca="1" si="227"/>
        <v>22686980.645402044</v>
      </c>
      <c r="Q103" s="140">
        <f t="shared" ca="1" si="227"/>
        <v>23728018.280889332</v>
      </c>
      <c r="R103" s="140">
        <f t="shared" ca="1" si="227"/>
        <v>24813315.810728099</v>
      </c>
      <c r="S103" s="140">
        <f t="shared" ca="1" si="227"/>
        <v>25944694.415093184</v>
      </c>
      <c r="T103" s="140">
        <f t="shared" ca="1" si="227"/>
        <v>27124049.089553133</v>
      </c>
      <c r="U103" s="140">
        <f t="shared" ca="1" si="227"/>
        <v>28353351.615624588</v>
      </c>
      <c r="V103" s="140">
        <f t="shared" ca="1" si="227"/>
        <v>29634653.650464933</v>
      </c>
      <c r="W103" s="140">
        <f t="shared" ca="1" si="227"/>
        <v>30970089.94047375</v>
      </c>
      <c r="X103" s="140">
        <f t="shared" ca="1" si="227"/>
        <v>32361881.663764395</v>
      </c>
      <c r="Y103" s="140">
        <f t="shared" ca="1" si="227"/>
        <v>33812339.906665824</v>
      </c>
      <c r="Z103" s="140">
        <f t="shared" ca="1" si="227"/>
        <v>35323869.279620998</v>
      </c>
      <c r="AA103" s="140">
        <f t="shared" ca="1" si="227"/>
        <v>36898971.678063154</v>
      </c>
      <c r="AB103" s="140">
        <f t="shared" ca="1" si="227"/>
        <v>38540250.194074214</v>
      </c>
      <c r="AC103" s="140">
        <f t="shared" ca="1" si="227"/>
        <v>40250413.184862129</v>
      </c>
      <c r="AD103" s="140">
        <f t="shared" ca="1" si="227"/>
        <v>42032278.504335441</v>
      </c>
      <c r="AE103" s="140">
        <f t="shared" ca="1" si="227"/>
        <v>43888777.904304452</v>
      </c>
      <c r="AF103" s="140">
        <f t="shared" ca="1" si="227"/>
        <v>45822961.612099618</v>
      </c>
      <c r="AG103" s="140">
        <f t="shared" ca="1" si="227"/>
        <v>47838003.091669463</v>
      </c>
      <c r="AH103" s="140">
        <f t="shared" ca="1" si="227"/>
        <v>49937203.995503061</v>
      </c>
      <c r="AI103" s="140">
        <f t="shared" ref="AI103:AJ103" ca="1" si="228">(AI86/$E$103)</f>
        <v>52123999.315016091</v>
      </c>
      <c r="AJ103" s="140">
        <f t="shared" ca="1" si="228"/>
        <v>54401962.73734387</v>
      </c>
      <c r="AK103" s="530"/>
      <c r="AL103" s="530"/>
      <c r="AM103" s="530"/>
      <c r="AN103" s="530"/>
      <c r="AO103" s="530"/>
      <c r="AP103" s="530"/>
      <c r="AQ103" s="530"/>
      <c r="AR103" s="530"/>
      <c r="AS103" s="530"/>
      <c r="AT103" s="530"/>
      <c r="AU103" s="530"/>
      <c r="AV103" s="530"/>
      <c r="AW103" s="530"/>
      <c r="AX103" s="530"/>
      <c r="AY103" s="530"/>
      <c r="AZ103" s="530"/>
      <c r="BA103" s="530"/>
      <c r="BB103" s="530"/>
      <c r="BC103" s="530"/>
      <c r="BD103" s="530"/>
      <c r="BE103" s="530"/>
      <c r="BF103" s="530"/>
      <c r="BG103" s="530"/>
      <c r="BH103" s="530"/>
      <c r="BI103" s="530"/>
      <c r="BJ103" s="530"/>
      <c r="BK103" s="530"/>
      <c r="BL103" s="530"/>
      <c r="BM103" s="530"/>
      <c r="BN103" s="530"/>
      <c r="BO103" s="530"/>
      <c r="BP103" s="530"/>
      <c r="BQ103" s="530"/>
      <c r="BR103" s="530"/>
      <c r="BS103" s="530"/>
      <c r="BT103" s="530"/>
      <c r="BU103" s="530"/>
      <c r="BV103" s="530"/>
      <c r="BW103" s="530"/>
      <c r="BX103" s="530"/>
      <c r="BY103" s="530"/>
      <c r="BZ103" s="530"/>
    </row>
    <row r="104" spans="3:78" x14ac:dyDescent="0.2">
      <c r="C104" s="35"/>
      <c r="D104" s="28"/>
      <c r="E104" s="500"/>
      <c r="F104" s="314" t="str">
        <f t="shared" ref="F104:AH104" ca="1" si="229">"$/Sp="&amp;TEXT(ROUND((F103/NoOfSpaces),-2),"$0,0")</f>
        <v>$/Sp=$101,000</v>
      </c>
      <c r="G104" s="314" t="str">
        <f t="shared" ca="1" si="229"/>
        <v>$/Sp=$119,500</v>
      </c>
      <c r="H104" s="314" t="str">
        <f t="shared" ca="1" si="229"/>
        <v>$/Sp=$128,500</v>
      </c>
      <c r="I104" s="314" t="str">
        <f t="shared" ca="1" si="229"/>
        <v>$/Sp=$138,100</v>
      </c>
      <c r="J104" s="314" t="str">
        <f t="shared" ca="1" si="229"/>
        <v>$/Sp=$146,400</v>
      </c>
      <c r="K104" s="314" t="str">
        <f t="shared" ca="1" si="229"/>
        <v>$/Sp=$153,300</v>
      </c>
      <c r="L104" s="314" t="str">
        <f t="shared" ca="1" si="229"/>
        <v>$/Sp=$160,400</v>
      </c>
      <c r="M104" s="314" t="str">
        <f t="shared" ca="1" si="229"/>
        <v>$/Sp=$167,900</v>
      </c>
      <c r="N104" s="314" t="str">
        <f t="shared" ca="1" si="229"/>
        <v>$/Sp=$175,700</v>
      </c>
      <c r="O104" s="314" t="str">
        <f t="shared" ca="1" si="229"/>
        <v>$/Sp=$183,800</v>
      </c>
      <c r="P104" s="314" t="str">
        <f t="shared" ca="1" si="229"/>
        <v>$/Sp=$192,300</v>
      </c>
      <c r="Q104" s="314" t="str">
        <f t="shared" ca="1" si="229"/>
        <v>$/Sp=$201,100</v>
      </c>
      <c r="R104" s="314" t="str">
        <f t="shared" ca="1" si="229"/>
        <v>$/Sp=$210,300</v>
      </c>
      <c r="S104" s="314" t="str">
        <f t="shared" ca="1" si="229"/>
        <v>$/Sp=$219,900</v>
      </c>
      <c r="T104" s="314" t="str">
        <f t="shared" ca="1" si="229"/>
        <v>$/Sp=$229,900</v>
      </c>
      <c r="U104" s="314" t="str">
        <f t="shared" ca="1" si="229"/>
        <v>$/Sp=$240,300</v>
      </c>
      <c r="V104" s="314" t="str">
        <f t="shared" ca="1" si="229"/>
        <v>$/Sp=$251,100</v>
      </c>
      <c r="W104" s="314" t="str">
        <f t="shared" ca="1" si="229"/>
        <v>$/Sp=$262,500</v>
      </c>
      <c r="X104" s="314" t="str">
        <f t="shared" ca="1" si="229"/>
        <v>$/Sp=$274,300</v>
      </c>
      <c r="Y104" s="314" t="str">
        <f t="shared" ca="1" si="229"/>
        <v>$/Sp=$286,500</v>
      </c>
      <c r="Z104" s="314" t="str">
        <f t="shared" ca="1" si="229"/>
        <v>$/Sp=$299,400</v>
      </c>
      <c r="AA104" s="314" t="str">
        <f t="shared" ca="1" si="229"/>
        <v>$/Sp=$312,700</v>
      </c>
      <c r="AB104" s="314" t="str">
        <f t="shared" ca="1" si="229"/>
        <v>$/Sp=$326,600</v>
      </c>
      <c r="AC104" s="314" t="str">
        <f t="shared" ca="1" si="229"/>
        <v>$/Sp=$341,100</v>
      </c>
      <c r="AD104" s="314" t="str">
        <f t="shared" ca="1" si="229"/>
        <v>$/Sp=$356,200</v>
      </c>
      <c r="AE104" s="314" t="str">
        <f t="shared" ca="1" si="229"/>
        <v>$/Sp=$371,900</v>
      </c>
      <c r="AF104" s="314" t="str">
        <f t="shared" ca="1" si="229"/>
        <v>$/Sp=$388,300</v>
      </c>
      <c r="AG104" s="314" t="str">
        <f t="shared" ca="1" si="229"/>
        <v>$/Sp=$405,400</v>
      </c>
      <c r="AH104" s="314" t="str">
        <f t="shared" ca="1" si="229"/>
        <v>$/Sp=$423,200</v>
      </c>
      <c r="AI104" s="314" t="str">
        <f t="shared" ref="AI104:AJ104" ca="1" si="230">"$/Sp="&amp;TEXT(ROUND((AI103/NoOfSpaces),-2),"$0,0")</f>
        <v>$/Sp=$441,700</v>
      </c>
      <c r="AJ104" s="314" t="str">
        <f t="shared" ca="1" si="230"/>
        <v>$/Sp=$461,000</v>
      </c>
      <c r="AK104" s="530"/>
      <c r="AL104" s="530"/>
      <c r="AM104" s="530"/>
      <c r="AN104" s="530"/>
      <c r="AO104" s="530"/>
      <c r="AP104" s="530"/>
      <c r="AQ104" s="530"/>
      <c r="AR104" s="530"/>
      <c r="AS104" s="530"/>
      <c r="AT104" s="530"/>
      <c r="AU104" s="530"/>
      <c r="AV104" s="530"/>
      <c r="AW104" s="530"/>
      <c r="AX104" s="530"/>
      <c r="AY104" s="530"/>
      <c r="AZ104" s="530"/>
      <c r="BA104" s="530"/>
      <c r="BB104" s="530"/>
      <c r="BC104" s="530"/>
      <c r="BD104" s="530"/>
      <c r="BE104" s="530"/>
      <c r="BF104" s="530"/>
      <c r="BG104" s="530"/>
      <c r="BH104" s="530"/>
      <c r="BI104" s="530"/>
      <c r="BJ104" s="530"/>
      <c r="BK104" s="530"/>
      <c r="BL104" s="530"/>
      <c r="BM104" s="530"/>
      <c r="BN104" s="530"/>
      <c r="BO104" s="530"/>
      <c r="BP104" s="530"/>
      <c r="BQ104" s="530"/>
      <c r="BR104" s="530"/>
      <c r="BS104" s="530"/>
      <c r="BT104" s="530"/>
      <c r="BU104" s="530"/>
      <c r="BV104" s="530"/>
      <c r="BW104" s="530"/>
      <c r="BX104" s="530"/>
      <c r="BY104" s="530"/>
      <c r="BZ104" s="530"/>
    </row>
    <row r="105" spans="3:78" x14ac:dyDescent="0.2">
      <c r="C105" s="503" t="s">
        <v>59</v>
      </c>
      <c r="D105" s="28"/>
      <c r="E105" s="500"/>
      <c r="F105" s="12">
        <f t="shared" ref="F105:AH105" ca="1" si="231">F86-F95</f>
        <v>161001.58636190719</v>
      </c>
      <c r="G105" s="12">
        <f t="shared" ca="1" si="231"/>
        <v>280819.33728558733</v>
      </c>
      <c r="H105" s="12">
        <f t="shared" ca="1" si="231"/>
        <v>339261.92745174095</v>
      </c>
      <c r="I105" s="12">
        <f t="shared" ca="1" si="231"/>
        <v>401438.88870825793</v>
      </c>
      <c r="J105" s="12">
        <f t="shared" ca="1" si="231"/>
        <v>455635.06000975776</v>
      </c>
      <c r="K105" s="12">
        <f t="shared" ca="1" si="231"/>
        <v>500181.52461572003</v>
      </c>
      <c r="L105" s="12">
        <f t="shared" ca="1" si="231"/>
        <v>209985.08156360069</v>
      </c>
      <c r="M105" s="12">
        <f t="shared" ca="1" si="231"/>
        <v>258430.79913880082</v>
      </c>
      <c r="N105" s="12">
        <f t="shared" ca="1" si="231"/>
        <v>308947.69760331756</v>
      </c>
      <c r="O105" s="12">
        <f t="shared" ca="1" si="231"/>
        <v>361621.21386186138</v>
      </c>
      <c r="P105" s="12">
        <f t="shared" ca="1" si="231"/>
        <v>416540.25176747551</v>
      </c>
      <c r="Q105" s="12">
        <f t="shared" ca="1" si="231"/>
        <v>473797.32171927637</v>
      </c>
      <c r="R105" s="12">
        <f t="shared" ca="1" si="231"/>
        <v>533488.68586040859</v>
      </c>
      <c r="S105" s="12">
        <f t="shared" ca="1" si="231"/>
        <v>595714.50910048827</v>
      </c>
      <c r="T105" s="12">
        <f t="shared" ca="1" si="231"/>
        <v>660579.01619578537</v>
      </c>
      <c r="U105" s="12">
        <f t="shared" ca="1" si="231"/>
        <v>728190.65512971545</v>
      </c>
      <c r="V105" s="12">
        <f t="shared" ca="1" si="231"/>
        <v>798662.26704593457</v>
      </c>
      <c r="W105" s="12">
        <f t="shared" ca="1" si="231"/>
        <v>872111.26299641945</v>
      </c>
      <c r="X105" s="12">
        <f t="shared" ca="1" si="231"/>
        <v>948659.8077774049</v>
      </c>
      <c r="Y105" s="12">
        <f t="shared" ca="1" si="231"/>
        <v>1028435.0111369836</v>
      </c>
      <c r="Z105" s="12">
        <f t="shared" ca="1" si="231"/>
        <v>1111569.126649518</v>
      </c>
      <c r="AA105" s="12">
        <f t="shared" ca="1" si="231"/>
        <v>1198199.7585638366</v>
      </c>
      <c r="AB105" s="12">
        <f t="shared" ca="1" si="231"/>
        <v>1288470.0769444448</v>
      </c>
      <c r="AC105" s="12">
        <f t="shared" ca="1" si="231"/>
        <v>1382529.04143778</v>
      </c>
      <c r="AD105" s="12">
        <f t="shared" ca="1" si="231"/>
        <v>1480531.6340088123</v>
      </c>
      <c r="AE105" s="12">
        <f t="shared" ca="1" si="231"/>
        <v>1582639.1010071081</v>
      </c>
      <c r="AF105" s="12">
        <f t="shared" ca="1" si="231"/>
        <v>1689019.2049358422</v>
      </c>
      <c r="AG105" s="12">
        <f t="shared" ca="1" si="231"/>
        <v>1799846.4863121836</v>
      </c>
      <c r="AH105" s="12">
        <f t="shared" ca="1" si="231"/>
        <v>1915302.5360230315</v>
      </c>
      <c r="AI105" s="12">
        <f t="shared" ref="AI105:AJ105" ca="1" si="232">AI86-AI95</f>
        <v>2035576.278596248</v>
      </c>
      <c r="AJ105" s="12">
        <f t="shared" ca="1" si="232"/>
        <v>2160864.2668242757</v>
      </c>
      <c r="AK105" s="530"/>
      <c r="AL105" s="530"/>
      <c r="AM105" s="530"/>
      <c r="AN105" s="530"/>
      <c r="AO105" s="530"/>
      <c r="AP105" s="530"/>
      <c r="AQ105" s="530"/>
      <c r="AR105" s="530"/>
      <c r="AS105" s="530"/>
      <c r="AT105" s="530"/>
      <c r="AU105" s="530"/>
      <c r="AV105" s="530"/>
      <c r="AW105" s="530"/>
      <c r="AX105" s="530"/>
      <c r="AY105" s="530"/>
      <c r="AZ105" s="530"/>
      <c r="BA105" s="530"/>
      <c r="BB105" s="530"/>
      <c r="BC105" s="530"/>
      <c r="BD105" s="530"/>
      <c r="BE105" s="530"/>
      <c r="BF105" s="530"/>
      <c r="BG105" s="530"/>
      <c r="BH105" s="530"/>
      <c r="BI105" s="530"/>
      <c r="BJ105" s="530"/>
      <c r="BK105" s="530"/>
      <c r="BL105" s="530"/>
      <c r="BM105" s="530"/>
      <c r="BN105" s="530"/>
      <c r="BO105" s="530"/>
      <c r="BP105" s="530"/>
      <c r="BQ105" s="530"/>
      <c r="BR105" s="530"/>
      <c r="BS105" s="530"/>
      <c r="BT105" s="530"/>
      <c r="BU105" s="530"/>
      <c r="BV105" s="530"/>
      <c r="BW105" s="530"/>
      <c r="BX105" s="530"/>
      <c r="BY105" s="530"/>
      <c r="BZ105" s="530"/>
    </row>
    <row r="106" spans="3:78" x14ac:dyDescent="0.2">
      <c r="C106" s="503" t="s">
        <v>60</v>
      </c>
      <c r="D106" s="599" t="s">
        <v>218</v>
      </c>
      <c r="E106" s="600"/>
      <c r="F106" s="141">
        <v>0</v>
      </c>
      <c r="G106" s="141">
        <v>0</v>
      </c>
      <c r="H106" s="141">
        <v>0</v>
      </c>
      <c r="I106" s="141">
        <v>0</v>
      </c>
      <c r="J106" s="141">
        <v>0</v>
      </c>
      <c r="K106" s="141">
        <v>0</v>
      </c>
      <c r="L106" s="141">
        <v>0</v>
      </c>
      <c r="M106" s="141">
        <v>0</v>
      </c>
      <c r="N106" s="141">
        <v>0</v>
      </c>
      <c r="O106" s="141">
        <v>0</v>
      </c>
      <c r="P106" s="141">
        <v>0</v>
      </c>
      <c r="Q106" s="141">
        <v>0</v>
      </c>
      <c r="R106" s="141">
        <v>0</v>
      </c>
      <c r="S106" s="141">
        <v>0</v>
      </c>
      <c r="T106" s="141">
        <v>0</v>
      </c>
      <c r="U106" s="141">
        <v>0</v>
      </c>
      <c r="V106" s="141">
        <v>0</v>
      </c>
      <c r="W106" s="141">
        <v>0</v>
      </c>
      <c r="X106" s="141">
        <v>0</v>
      </c>
      <c r="Y106" s="141">
        <v>0</v>
      </c>
      <c r="Z106" s="141">
        <v>0</v>
      </c>
      <c r="AA106" s="141">
        <v>0</v>
      </c>
      <c r="AB106" s="141">
        <v>0</v>
      </c>
      <c r="AC106" s="141">
        <v>0</v>
      </c>
      <c r="AD106" s="141">
        <v>0</v>
      </c>
      <c r="AE106" s="141">
        <v>0</v>
      </c>
      <c r="AF106" s="141">
        <v>0</v>
      </c>
      <c r="AG106" s="141">
        <v>0</v>
      </c>
      <c r="AH106" s="141">
        <v>0</v>
      </c>
      <c r="AI106" s="141">
        <v>0</v>
      </c>
      <c r="AJ106" s="141">
        <v>0</v>
      </c>
      <c r="AK106" s="530"/>
      <c r="AL106" s="530"/>
      <c r="AM106" s="530"/>
      <c r="AN106" s="530"/>
      <c r="AO106" s="530"/>
      <c r="AP106" s="530"/>
      <c r="AQ106" s="530"/>
      <c r="AR106" s="530"/>
      <c r="AS106" s="530"/>
      <c r="AT106" s="530"/>
      <c r="AU106" s="530"/>
      <c r="AV106" s="530"/>
      <c r="AW106" s="530"/>
      <c r="AX106" s="530"/>
      <c r="AY106" s="530"/>
      <c r="AZ106" s="530"/>
      <c r="BA106" s="530"/>
      <c r="BB106" s="530"/>
      <c r="BC106" s="530"/>
      <c r="BD106" s="530"/>
      <c r="BE106" s="530"/>
      <c r="BF106" s="530"/>
      <c r="BG106" s="530"/>
      <c r="BH106" s="530"/>
      <c r="BI106" s="530"/>
      <c r="BJ106" s="530"/>
      <c r="BK106" s="530"/>
      <c r="BL106" s="530"/>
      <c r="BM106" s="530"/>
      <c r="BN106" s="530"/>
      <c r="BO106" s="530"/>
      <c r="BP106" s="530"/>
      <c r="BQ106" s="530"/>
      <c r="BR106" s="530"/>
      <c r="BS106" s="530"/>
      <c r="BT106" s="530"/>
      <c r="BU106" s="530"/>
      <c r="BV106" s="530"/>
      <c r="BW106" s="530"/>
      <c r="BX106" s="530"/>
      <c r="BY106" s="530"/>
      <c r="BZ106" s="530"/>
    </row>
    <row r="107" spans="3:78" x14ac:dyDescent="0.2">
      <c r="C107" s="503" t="s">
        <v>219</v>
      </c>
      <c r="D107" s="28"/>
      <c r="E107" s="500"/>
      <c r="F107" s="141">
        <f>O23</f>
        <v>0</v>
      </c>
      <c r="G107" s="141">
        <f>F107</f>
        <v>0</v>
      </c>
      <c r="H107" s="141">
        <f t="shared" ref="H107:J107" si="233">G107</f>
        <v>0</v>
      </c>
      <c r="I107" s="141">
        <f t="shared" si="233"/>
        <v>0</v>
      </c>
      <c r="J107" s="141">
        <f t="shared" si="233"/>
        <v>0</v>
      </c>
      <c r="K107" s="141">
        <v>0</v>
      </c>
      <c r="L107" s="141">
        <v>0</v>
      </c>
      <c r="M107" s="141">
        <v>0</v>
      </c>
      <c r="N107" s="141">
        <v>0</v>
      </c>
      <c r="O107" s="141">
        <v>0</v>
      </c>
      <c r="P107" s="141">
        <v>0</v>
      </c>
      <c r="Q107" s="141">
        <v>0</v>
      </c>
      <c r="R107" s="141">
        <v>0</v>
      </c>
      <c r="S107" s="141">
        <v>0</v>
      </c>
      <c r="T107" s="141">
        <v>0</v>
      </c>
      <c r="U107" s="141">
        <v>0</v>
      </c>
      <c r="V107" s="141">
        <v>0</v>
      </c>
      <c r="W107" s="141">
        <v>0</v>
      </c>
      <c r="X107" s="141">
        <v>0</v>
      </c>
      <c r="Y107" s="141">
        <v>0</v>
      </c>
      <c r="Z107" s="141">
        <v>0</v>
      </c>
      <c r="AA107" s="141">
        <v>0</v>
      </c>
      <c r="AB107" s="141">
        <v>0</v>
      </c>
      <c r="AC107" s="141">
        <v>0</v>
      </c>
      <c r="AD107" s="141">
        <v>0</v>
      </c>
      <c r="AE107" s="141">
        <v>0</v>
      </c>
      <c r="AF107" s="141">
        <v>0</v>
      </c>
      <c r="AG107" s="141">
        <v>0</v>
      </c>
      <c r="AH107" s="141">
        <v>0</v>
      </c>
      <c r="AI107" s="141">
        <v>0</v>
      </c>
      <c r="AJ107" s="141">
        <v>0</v>
      </c>
      <c r="AK107" s="530"/>
      <c r="AL107" s="530"/>
      <c r="AM107" s="530"/>
      <c r="AN107" s="530"/>
      <c r="AO107" s="530"/>
      <c r="AP107" s="530"/>
      <c r="AQ107" s="530"/>
      <c r="AR107" s="530"/>
      <c r="AS107" s="530"/>
      <c r="AT107" s="530"/>
      <c r="AU107" s="530"/>
      <c r="AV107" s="530"/>
      <c r="AW107" s="530"/>
      <c r="AX107" s="530"/>
      <c r="AY107" s="530"/>
      <c r="AZ107" s="530"/>
      <c r="BA107" s="530"/>
      <c r="BB107" s="530"/>
      <c r="BC107" s="530"/>
      <c r="BD107" s="530"/>
      <c r="BE107" s="530"/>
      <c r="BF107" s="530"/>
      <c r="BG107" s="530"/>
      <c r="BH107" s="530"/>
      <c r="BI107" s="530"/>
      <c r="BJ107" s="530"/>
      <c r="BK107" s="530"/>
      <c r="BL107" s="530"/>
      <c r="BM107" s="530"/>
      <c r="BN107" s="530"/>
      <c r="BO107" s="530"/>
      <c r="BP107" s="530"/>
      <c r="BQ107" s="530"/>
      <c r="BR107" s="530"/>
      <c r="BS107" s="530"/>
      <c r="BT107" s="530"/>
      <c r="BU107" s="530"/>
      <c r="BV107" s="530"/>
      <c r="BW107" s="530"/>
      <c r="BX107" s="530"/>
      <c r="BY107" s="530"/>
      <c r="BZ107" s="530"/>
    </row>
    <row r="108" spans="3:78" x14ac:dyDescent="0.2">
      <c r="C108" s="503" t="s">
        <v>220</v>
      </c>
      <c r="D108" s="28"/>
      <c r="E108" s="500"/>
      <c r="F108" s="141">
        <v>0</v>
      </c>
      <c r="G108" s="141">
        <v>0</v>
      </c>
      <c r="H108" s="141">
        <v>0</v>
      </c>
      <c r="I108" s="141">
        <v>0</v>
      </c>
      <c r="J108" s="141">
        <v>0</v>
      </c>
      <c r="K108" s="141">
        <v>0</v>
      </c>
      <c r="L108" s="141">
        <v>0</v>
      </c>
      <c r="M108" s="141">
        <v>0</v>
      </c>
      <c r="N108" s="141">
        <v>0</v>
      </c>
      <c r="O108" s="141">
        <v>0</v>
      </c>
      <c r="P108" s="141">
        <v>0</v>
      </c>
      <c r="Q108" s="141">
        <v>0</v>
      </c>
      <c r="R108" s="141">
        <v>0</v>
      </c>
      <c r="S108" s="141">
        <v>0</v>
      </c>
      <c r="T108" s="141">
        <v>0</v>
      </c>
      <c r="U108" s="141">
        <v>0</v>
      </c>
      <c r="V108" s="141">
        <v>0</v>
      </c>
      <c r="W108" s="141">
        <v>0</v>
      </c>
      <c r="X108" s="141">
        <v>0</v>
      </c>
      <c r="Y108" s="141">
        <v>0</v>
      </c>
      <c r="Z108" s="141">
        <v>0</v>
      </c>
      <c r="AA108" s="141">
        <v>0</v>
      </c>
      <c r="AB108" s="141">
        <v>0</v>
      </c>
      <c r="AC108" s="141">
        <v>0</v>
      </c>
      <c r="AD108" s="141">
        <v>0</v>
      </c>
      <c r="AE108" s="141">
        <v>0</v>
      </c>
      <c r="AF108" s="141">
        <v>0</v>
      </c>
      <c r="AG108" s="141">
        <v>0</v>
      </c>
      <c r="AH108" s="141">
        <v>0</v>
      </c>
      <c r="AI108" s="141">
        <v>0</v>
      </c>
      <c r="AJ108" s="141">
        <v>0</v>
      </c>
      <c r="AK108" s="530"/>
      <c r="AL108" s="530"/>
      <c r="AM108" s="530"/>
      <c r="AN108" s="530"/>
      <c r="AO108" s="530"/>
      <c r="AP108" s="530"/>
      <c r="AQ108" s="530"/>
      <c r="AR108" s="530"/>
      <c r="AS108" s="530"/>
      <c r="AT108" s="530"/>
      <c r="AU108" s="530"/>
      <c r="AV108" s="530"/>
      <c r="AW108" s="530"/>
      <c r="AX108" s="530"/>
      <c r="AY108" s="530"/>
      <c r="AZ108" s="530"/>
      <c r="BA108" s="530"/>
      <c r="BB108" s="530"/>
      <c r="BC108" s="530"/>
      <c r="BD108" s="530"/>
      <c r="BE108" s="530"/>
      <c r="BF108" s="530"/>
      <c r="BG108" s="530"/>
      <c r="BH108" s="530"/>
      <c r="BI108" s="530"/>
      <c r="BJ108" s="530"/>
      <c r="BK108" s="530"/>
      <c r="BL108" s="530"/>
      <c r="BM108" s="530"/>
      <c r="BN108" s="530"/>
      <c r="BO108" s="530"/>
      <c r="BP108" s="530"/>
      <c r="BQ108" s="530"/>
      <c r="BR108" s="530"/>
      <c r="BS108" s="530"/>
      <c r="BT108" s="530"/>
      <c r="BU108" s="530"/>
      <c r="BV108" s="530"/>
      <c r="BW108" s="530"/>
      <c r="BX108" s="530"/>
      <c r="BY108" s="530"/>
      <c r="BZ108" s="530"/>
    </row>
    <row r="109" spans="3:78" x14ac:dyDescent="0.2">
      <c r="C109" s="503" t="s">
        <v>221</v>
      </c>
      <c r="D109" s="28"/>
      <c r="E109" s="500"/>
      <c r="F109" s="141">
        <v>0</v>
      </c>
      <c r="G109" s="141">
        <v>0</v>
      </c>
      <c r="H109" s="141">
        <v>0</v>
      </c>
      <c r="I109" s="141">
        <v>0</v>
      </c>
      <c r="J109" s="141">
        <v>0</v>
      </c>
      <c r="K109" s="141">
        <v>0</v>
      </c>
      <c r="L109" s="141">
        <v>0</v>
      </c>
      <c r="M109" s="141">
        <v>0</v>
      </c>
      <c r="N109" s="141">
        <v>0</v>
      </c>
      <c r="O109" s="141">
        <v>0</v>
      </c>
      <c r="P109" s="141">
        <v>0</v>
      </c>
      <c r="Q109" s="141">
        <v>0</v>
      </c>
      <c r="R109" s="141">
        <v>0</v>
      </c>
      <c r="S109" s="141">
        <v>0</v>
      </c>
      <c r="T109" s="141">
        <v>0</v>
      </c>
      <c r="U109" s="141">
        <v>0</v>
      </c>
      <c r="V109" s="141">
        <v>0</v>
      </c>
      <c r="W109" s="141">
        <v>0</v>
      </c>
      <c r="X109" s="141">
        <v>0</v>
      </c>
      <c r="Y109" s="141">
        <v>0</v>
      </c>
      <c r="Z109" s="141">
        <v>0</v>
      </c>
      <c r="AA109" s="141">
        <v>0</v>
      </c>
      <c r="AB109" s="141">
        <v>0</v>
      </c>
      <c r="AC109" s="141">
        <v>0</v>
      </c>
      <c r="AD109" s="141">
        <v>0</v>
      </c>
      <c r="AE109" s="141">
        <v>0</v>
      </c>
      <c r="AF109" s="141">
        <v>0</v>
      </c>
      <c r="AG109" s="141">
        <v>0</v>
      </c>
      <c r="AH109" s="141">
        <v>0</v>
      </c>
      <c r="AI109" s="141">
        <v>0</v>
      </c>
      <c r="AJ109" s="141">
        <v>0</v>
      </c>
      <c r="AK109" s="530"/>
      <c r="AL109" s="530"/>
      <c r="AM109" s="530"/>
      <c r="AN109" s="530"/>
      <c r="AO109" s="530"/>
      <c r="AP109" s="530"/>
      <c r="AQ109" s="530"/>
      <c r="AR109" s="530"/>
      <c r="AS109" s="530"/>
      <c r="AT109" s="530"/>
      <c r="AU109" s="530"/>
      <c r="AV109" s="530"/>
      <c r="AW109" s="530"/>
      <c r="AX109" s="530"/>
      <c r="AY109" s="530"/>
      <c r="AZ109" s="530"/>
      <c r="BA109" s="530"/>
      <c r="BB109" s="530"/>
      <c r="BC109" s="530"/>
      <c r="BD109" s="530"/>
      <c r="BE109" s="530"/>
      <c r="BF109" s="530"/>
      <c r="BG109" s="530"/>
      <c r="BH109" s="530"/>
      <c r="BI109" s="530"/>
      <c r="BJ109" s="530"/>
      <c r="BK109" s="530"/>
      <c r="BL109" s="530"/>
      <c r="BM109" s="530"/>
      <c r="BN109" s="530"/>
      <c r="BO109" s="530"/>
      <c r="BP109" s="530"/>
      <c r="BQ109" s="530"/>
      <c r="BR109" s="530"/>
      <c r="BS109" s="530"/>
      <c r="BT109" s="530"/>
      <c r="BU109" s="530"/>
      <c r="BV109" s="530"/>
      <c r="BW109" s="530"/>
      <c r="BX109" s="530"/>
      <c r="BY109" s="530"/>
      <c r="BZ109" s="530"/>
    </row>
    <row r="110" spans="3:78" x14ac:dyDescent="0.2">
      <c r="C110" s="503" t="s">
        <v>86</v>
      </c>
      <c r="D110" s="28"/>
      <c r="E110" s="141">
        <f>-AcquisitionFee*Purchase_Price</f>
        <v>0</v>
      </c>
      <c r="F110" s="141">
        <v>0</v>
      </c>
      <c r="G110" s="141">
        <v>0</v>
      </c>
      <c r="H110" s="141">
        <v>0</v>
      </c>
      <c r="I110" s="141">
        <v>0</v>
      </c>
      <c r="J110" s="141">
        <v>0</v>
      </c>
      <c r="K110" s="141">
        <v>0</v>
      </c>
      <c r="L110" s="141">
        <v>0</v>
      </c>
      <c r="M110" s="141">
        <v>0</v>
      </c>
      <c r="N110" s="141">
        <v>0</v>
      </c>
      <c r="O110" s="141">
        <v>0</v>
      </c>
      <c r="P110" s="141">
        <v>0</v>
      </c>
      <c r="Q110" s="141">
        <v>0</v>
      </c>
      <c r="R110" s="141">
        <v>0</v>
      </c>
      <c r="S110" s="141">
        <v>0</v>
      </c>
      <c r="T110" s="141">
        <v>0</v>
      </c>
      <c r="U110" s="141">
        <v>0</v>
      </c>
      <c r="V110" s="141">
        <v>0</v>
      </c>
      <c r="W110" s="141">
        <v>0</v>
      </c>
      <c r="X110" s="141">
        <v>0</v>
      </c>
      <c r="Y110" s="141">
        <v>0</v>
      </c>
      <c r="Z110" s="141">
        <v>0</v>
      </c>
      <c r="AA110" s="141">
        <v>0</v>
      </c>
      <c r="AB110" s="141">
        <v>0</v>
      </c>
      <c r="AC110" s="141">
        <v>0</v>
      </c>
      <c r="AD110" s="141">
        <v>0</v>
      </c>
      <c r="AE110" s="141">
        <v>0</v>
      </c>
      <c r="AF110" s="141">
        <v>0</v>
      </c>
      <c r="AG110" s="141">
        <v>0</v>
      </c>
      <c r="AH110" s="141">
        <v>0</v>
      </c>
      <c r="AI110" s="141">
        <v>0</v>
      </c>
      <c r="AJ110" s="141">
        <v>0</v>
      </c>
      <c r="AK110" s="530"/>
      <c r="AL110" s="530"/>
      <c r="AM110" s="530"/>
      <c r="AN110" s="530"/>
      <c r="AO110" s="530"/>
      <c r="AP110" s="530"/>
      <c r="AQ110" s="530"/>
      <c r="AR110" s="530"/>
      <c r="AS110" s="530"/>
      <c r="AT110" s="530"/>
      <c r="AU110" s="530"/>
      <c r="AV110" s="530"/>
      <c r="AW110" s="530"/>
      <c r="AX110" s="530"/>
      <c r="AY110" s="530"/>
      <c r="AZ110" s="530"/>
      <c r="BA110" s="530"/>
      <c r="BB110" s="530"/>
      <c r="BC110" s="530"/>
      <c r="BD110" s="530"/>
      <c r="BE110" s="530"/>
      <c r="BF110" s="530"/>
      <c r="BG110" s="530"/>
      <c r="BH110" s="530"/>
      <c r="BI110" s="530"/>
      <c r="BJ110" s="530"/>
      <c r="BK110" s="530"/>
      <c r="BL110" s="530"/>
      <c r="BM110" s="530"/>
      <c r="BN110" s="530"/>
      <c r="BO110" s="530"/>
      <c r="BP110" s="530"/>
      <c r="BQ110" s="530"/>
      <c r="BR110" s="530"/>
      <c r="BS110" s="530"/>
      <c r="BT110" s="530"/>
      <c r="BU110" s="530"/>
      <c r="BV110" s="530"/>
      <c r="BW110" s="530"/>
      <c r="BX110" s="530"/>
      <c r="BY110" s="530"/>
      <c r="BZ110" s="530"/>
    </row>
    <row r="111" spans="3:78" x14ac:dyDescent="0.2">
      <c r="C111" s="503" t="s">
        <v>90</v>
      </c>
      <c r="D111" s="28"/>
      <c r="E111" s="500"/>
      <c r="F111" s="141">
        <f t="shared" ref="F111:AJ111" si="234">$E$116*AssetMgmtFee</f>
        <v>0</v>
      </c>
      <c r="G111" s="141">
        <f t="shared" si="234"/>
        <v>0</v>
      </c>
      <c r="H111" s="141">
        <f t="shared" si="234"/>
        <v>0</v>
      </c>
      <c r="I111" s="141">
        <f t="shared" si="234"/>
        <v>0</v>
      </c>
      <c r="J111" s="141">
        <f t="shared" si="234"/>
        <v>0</v>
      </c>
      <c r="K111" s="141">
        <f t="shared" si="234"/>
        <v>0</v>
      </c>
      <c r="L111" s="141">
        <f t="shared" si="234"/>
        <v>0</v>
      </c>
      <c r="M111" s="141">
        <f t="shared" si="234"/>
        <v>0</v>
      </c>
      <c r="N111" s="141">
        <f t="shared" si="234"/>
        <v>0</v>
      </c>
      <c r="O111" s="141">
        <f t="shared" si="234"/>
        <v>0</v>
      </c>
      <c r="P111" s="141">
        <f t="shared" si="234"/>
        <v>0</v>
      </c>
      <c r="Q111" s="141">
        <f t="shared" si="234"/>
        <v>0</v>
      </c>
      <c r="R111" s="141">
        <f t="shared" si="234"/>
        <v>0</v>
      </c>
      <c r="S111" s="141">
        <f t="shared" si="234"/>
        <v>0</v>
      </c>
      <c r="T111" s="141">
        <f t="shared" si="234"/>
        <v>0</v>
      </c>
      <c r="U111" s="141">
        <f t="shared" si="234"/>
        <v>0</v>
      </c>
      <c r="V111" s="141">
        <f t="shared" si="234"/>
        <v>0</v>
      </c>
      <c r="W111" s="141">
        <f t="shared" si="234"/>
        <v>0</v>
      </c>
      <c r="X111" s="141">
        <f t="shared" si="234"/>
        <v>0</v>
      </c>
      <c r="Y111" s="141">
        <f t="shared" si="234"/>
        <v>0</v>
      </c>
      <c r="Z111" s="141">
        <f t="shared" si="234"/>
        <v>0</v>
      </c>
      <c r="AA111" s="141">
        <f t="shared" si="234"/>
        <v>0</v>
      </c>
      <c r="AB111" s="141">
        <f t="shared" si="234"/>
        <v>0</v>
      </c>
      <c r="AC111" s="141">
        <f t="shared" si="234"/>
        <v>0</v>
      </c>
      <c r="AD111" s="141">
        <f t="shared" si="234"/>
        <v>0</v>
      </c>
      <c r="AE111" s="141">
        <f t="shared" si="234"/>
        <v>0</v>
      </c>
      <c r="AF111" s="141">
        <f t="shared" si="234"/>
        <v>0</v>
      </c>
      <c r="AG111" s="141">
        <f t="shared" si="234"/>
        <v>0</v>
      </c>
      <c r="AH111" s="141">
        <f t="shared" si="234"/>
        <v>0</v>
      </c>
      <c r="AI111" s="141">
        <f t="shared" si="234"/>
        <v>0</v>
      </c>
      <c r="AJ111" s="141">
        <f t="shared" si="234"/>
        <v>0</v>
      </c>
      <c r="AK111" s="530"/>
      <c r="AL111" s="530"/>
      <c r="AM111" s="530"/>
      <c r="AN111" s="530"/>
      <c r="AO111" s="530"/>
      <c r="AP111" s="530"/>
      <c r="AQ111" s="530"/>
      <c r="AR111" s="530"/>
      <c r="AS111" s="530"/>
      <c r="AT111" s="530"/>
      <c r="AU111" s="530"/>
      <c r="AV111" s="530"/>
      <c r="AW111" s="530"/>
      <c r="AX111" s="530"/>
      <c r="AY111" s="530"/>
      <c r="AZ111" s="530"/>
      <c r="BA111" s="530"/>
      <c r="BB111" s="530"/>
      <c r="BC111" s="530"/>
      <c r="BD111" s="530"/>
      <c r="BE111" s="530"/>
      <c r="BF111" s="530"/>
      <c r="BG111" s="530"/>
      <c r="BH111" s="530"/>
      <c r="BI111" s="530"/>
      <c r="BJ111" s="530"/>
      <c r="BK111" s="530"/>
      <c r="BL111" s="530"/>
      <c r="BM111" s="530"/>
      <c r="BN111" s="530"/>
      <c r="BO111" s="530"/>
      <c r="BP111" s="530"/>
      <c r="BQ111" s="530"/>
      <c r="BR111" s="530"/>
      <c r="BS111" s="530"/>
      <c r="BT111" s="530"/>
      <c r="BU111" s="530"/>
      <c r="BV111" s="530"/>
      <c r="BW111" s="530"/>
      <c r="BX111" s="530"/>
      <c r="BY111" s="530"/>
      <c r="BZ111" s="530"/>
    </row>
    <row r="112" spans="3:78" hidden="1" x14ac:dyDescent="0.2">
      <c r="C112" s="503" t="s">
        <v>1002</v>
      </c>
      <c r="D112" s="28"/>
      <c r="E112" s="500"/>
      <c r="F112" s="141">
        <f t="shared" ref="F112:AJ112" si="235">IF(F92="Refinance",-G92*RefinanceFee,0)</f>
        <v>0</v>
      </c>
      <c r="G112" s="141">
        <f t="shared" si="235"/>
        <v>0</v>
      </c>
      <c r="H112" s="141">
        <f t="shared" si="235"/>
        <v>0</v>
      </c>
      <c r="I112" s="141">
        <f t="shared" si="235"/>
        <v>0</v>
      </c>
      <c r="J112" s="141">
        <f t="shared" si="235"/>
        <v>0</v>
      </c>
      <c r="K112" s="141">
        <f t="shared" ca="1" si="235"/>
        <v>0</v>
      </c>
      <c r="L112" s="141">
        <f t="shared" ca="1" si="235"/>
        <v>0</v>
      </c>
      <c r="M112" s="141">
        <f t="shared" si="235"/>
        <v>0</v>
      </c>
      <c r="N112" s="141">
        <f t="shared" si="235"/>
        <v>0</v>
      </c>
      <c r="O112" s="141">
        <f t="shared" si="235"/>
        <v>0</v>
      </c>
      <c r="P112" s="141">
        <f t="shared" si="235"/>
        <v>0</v>
      </c>
      <c r="Q112" s="141">
        <f t="shared" si="235"/>
        <v>0</v>
      </c>
      <c r="R112" s="141">
        <f t="shared" si="235"/>
        <v>0</v>
      </c>
      <c r="S112" s="141">
        <f t="shared" si="235"/>
        <v>0</v>
      </c>
      <c r="T112" s="141">
        <f t="shared" si="235"/>
        <v>0</v>
      </c>
      <c r="U112" s="141">
        <f t="shared" si="235"/>
        <v>0</v>
      </c>
      <c r="V112" s="141">
        <f t="shared" si="235"/>
        <v>0</v>
      </c>
      <c r="W112" s="141">
        <f t="shared" si="235"/>
        <v>0</v>
      </c>
      <c r="X112" s="141">
        <f t="shared" si="235"/>
        <v>0</v>
      </c>
      <c r="Y112" s="141">
        <f t="shared" si="235"/>
        <v>0</v>
      </c>
      <c r="Z112" s="141">
        <f t="shared" si="235"/>
        <v>0</v>
      </c>
      <c r="AA112" s="141">
        <f t="shared" si="235"/>
        <v>0</v>
      </c>
      <c r="AB112" s="141">
        <f t="shared" si="235"/>
        <v>0</v>
      </c>
      <c r="AC112" s="141">
        <f t="shared" si="235"/>
        <v>0</v>
      </c>
      <c r="AD112" s="141">
        <f t="shared" si="235"/>
        <v>0</v>
      </c>
      <c r="AE112" s="141">
        <f t="shared" si="235"/>
        <v>0</v>
      </c>
      <c r="AF112" s="141">
        <f t="shared" si="235"/>
        <v>0</v>
      </c>
      <c r="AG112" s="141">
        <f t="shared" si="235"/>
        <v>0</v>
      </c>
      <c r="AH112" s="141">
        <f t="shared" si="235"/>
        <v>0</v>
      </c>
      <c r="AI112" s="141">
        <f t="shared" si="235"/>
        <v>0</v>
      </c>
      <c r="AJ112" s="141">
        <f t="shared" si="235"/>
        <v>0</v>
      </c>
      <c r="AK112" s="530"/>
      <c r="AL112" s="530"/>
      <c r="AM112" s="530"/>
      <c r="AN112" s="530"/>
      <c r="AO112" s="530"/>
      <c r="AP112" s="530"/>
      <c r="AQ112" s="530"/>
      <c r="AR112" s="530"/>
      <c r="AS112" s="530"/>
      <c r="AT112" s="530"/>
      <c r="AU112" s="530"/>
      <c r="AV112" s="530"/>
      <c r="AW112" s="530"/>
      <c r="AX112" s="530"/>
      <c r="AY112" s="530"/>
      <c r="AZ112" s="530"/>
      <c r="BA112" s="530"/>
      <c r="BB112" s="530"/>
      <c r="BC112" s="530"/>
      <c r="BD112" s="530"/>
      <c r="BE112" s="530"/>
      <c r="BF112" s="530"/>
      <c r="BG112" s="530"/>
      <c r="BH112" s="530"/>
      <c r="BI112" s="530"/>
      <c r="BJ112" s="530"/>
      <c r="BK112" s="530"/>
      <c r="BL112" s="530"/>
      <c r="BM112" s="530"/>
      <c r="BN112" s="530"/>
      <c r="BO112" s="530"/>
      <c r="BP112" s="530"/>
      <c r="BQ112" s="530"/>
      <c r="BR112" s="530"/>
      <c r="BS112" s="530"/>
      <c r="BT112" s="530"/>
      <c r="BU112" s="530"/>
      <c r="BV112" s="530"/>
      <c r="BW112" s="530"/>
      <c r="BX112" s="530"/>
      <c r="BY112" s="530"/>
      <c r="BZ112" s="530"/>
    </row>
    <row r="113" spans="2:78" x14ac:dyDescent="0.2">
      <c r="C113" s="503" t="s">
        <v>98</v>
      </c>
      <c r="D113" s="28"/>
      <c r="E113" s="500"/>
      <c r="F113" s="141">
        <v>0</v>
      </c>
      <c r="G113" s="141">
        <v>0</v>
      </c>
      <c r="H113" s="141">
        <v>0</v>
      </c>
      <c r="I113" s="141">
        <v>0</v>
      </c>
      <c r="J113" s="141">
        <v>0</v>
      </c>
      <c r="K113" s="141">
        <v>0</v>
      </c>
      <c r="L113" s="141">
        <v>0</v>
      </c>
      <c r="M113" s="141">
        <v>0</v>
      </c>
      <c r="N113" s="141">
        <v>0</v>
      </c>
      <c r="O113" s="141">
        <v>0</v>
      </c>
      <c r="P113" s="141">
        <v>0</v>
      </c>
      <c r="Q113" s="141">
        <v>0</v>
      </c>
      <c r="R113" s="141">
        <v>0</v>
      </c>
      <c r="S113" s="141">
        <v>0</v>
      </c>
      <c r="T113" s="141">
        <v>0</v>
      </c>
      <c r="U113" s="141">
        <v>0</v>
      </c>
      <c r="V113" s="141">
        <v>0</v>
      </c>
      <c r="W113" s="141">
        <v>0</v>
      </c>
      <c r="X113" s="141">
        <v>0</v>
      </c>
      <c r="Y113" s="141">
        <v>0</v>
      </c>
      <c r="Z113" s="141">
        <v>0</v>
      </c>
      <c r="AA113" s="141">
        <v>0</v>
      </c>
      <c r="AB113" s="141">
        <v>0</v>
      </c>
      <c r="AC113" s="141">
        <v>0</v>
      </c>
      <c r="AD113" s="141">
        <v>0</v>
      </c>
      <c r="AE113" s="141">
        <v>0</v>
      </c>
      <c r="AF113" s="141">
        <v>0</v>
      </c>
      <c r="AG113" s="141">
        <v>0</v>
      </c>
      <c r="AH113" s="141">
        <v>0</v>
      </c>
      <c r="AI113" s="141">
        <v>0</v>
      </c>
      <c r="AJ113" s="141">
        <f ca="1">-DispositionFee*AJ103</f>
        <v>0</v>
      </c>
      <c r="AK113" s="530"/>
      <c r="AL113" s="530"/>
      <c r="AM113" s="530"/>
      <c r="AN113" s="530"/>
      <c r="AO113" s="530"/>
      <c r="AP113" s="530"/>
      <c r="AQ113" s="530"/>
      <c r="AR113" s="530"/>
      <c r="AS113" s="530"/>
      <c r="AT113" s="530"/>
      <c r="AU113" s="530"/>
      <c r="AV113" s="530"/>
      <c r="AW113" s="530"/>
      <c r="AX113" s="530"/>
      <c r="AY113" s="530"/>
      <c r="AZ113" s="530"/>
      <c r="BA113" s="530"/>
      <c r="BB113" s="530"/>
      <c r="BC113" s="530"/>
      <c r="BD113" s="530"/>
      <c r="BE113" s="530"/>
      <c r="BF113" s="530"/>
      <c r="BG113" s="530"/>
      <c r="BH113" s="530"/>
      <c r="BI113" s="530"/>
      <c r="BJ113" s="530"/>
      <c r="BK113" s="530"/>
      <c r="BL113" s="530"/>
      <c r="BM113" s="530"/>
      <c r="BN113" s="530"/>
      <c r="BO113" s="530"/>
      <c r="BP113" s="530"/>
      <c r="BQ113" s="530"/>
      <c r="BR113" s="530"/>
      <c r="BS113" s="530"/>
      <c r="BT113" s="530"/>
      <c r="BU113" s="530"/>
      <c r="BV113" s="530"/>
      <c r="BW113" s="530"/>
      <c r="BX113" s="530"/>
      <c r="BY113" s="530"/>
      <c r="BZ113" s="530"/>
    </row>
    <row r="114" spans="2:78" x14ac:dyDescent="0.2">
      <c r="C114" s="503" t="s">
        <v>222</v>
      </c>
      <c r="D114" s="28"/>
      <c r="E114" s="500"/>
      <c r="F114" s="141">
        <f>+G94</f>
        <v>0</v>
      </c>
      <c r="G114" s="141">
        <f>+H94</f>
        <v>0</v>
      </c>
      <c r="H114" s="141">
        <f>+I94</f>
        <v>0</v>
      </c>
      <c r="I114" s="141">
        <f>J94</f>
        <v>0</v>
      </c>
      <c r="J114" s="141">
        <f>K94</f>
        <v>0</v>
      </c>
      <c r="K114" s="141">
        <f t="shared" ref="K114:AG114" ca="1" si="236">L94</f>
        <v>4743902.1864722893</v>
      </c>
      <c r="L114" s="141">
        <f t="shared" si="236"/>
        <v>0</v>
      </c>
      <c r="M114" s="141">
        <f t="shared" si="236"/>
        <v>0</v>
      </c>
      <c r="N114" s="141">
        <f t="shared" si="236"/>
        <v>0</v>
      </c>
      <c r="O114" s="141">
        <f t="shared" si="236"/>
        <v>0</v>
      </c>
      <c r="P114" s="141">
        <f t="shared" si="236"/>
        <v>0</v>
      </c>
      <c r="Q114" s="141">
        <f t="shared" si="236"/>
        <v>0</v>
      </c>
      <c r="R114" s="141">
        <f t="shared" si="236"/>
        <v>0</v>
      </c>
      <c r="S114" s="141">
        <f t="shared" si="236"/>
        <v>0</v>
      </c>
      <c r="T114" s="141">
        <f t="shared" si="236"/>
        <v>0</v>
      </c>
      <c r="U114" s="141">
        <f t="shared" si="236"/>
        <v>0</v>
      </c>
      <c r="V114" s="141">
        <f t="shared" si="236"/>
        <v>0</v>
      </c>
      <c r="W114" s="141">
        <f t="shared" si="236"/>
        <v>0</v>
      </c>
      <c r="X114" s="141">
        <f t="shared" si="236"/>
        <v>0</v>
      </c>
      <c r="Y114" s="141">
        <f t="shared" si="236"/>
        <v>0</v>
      </c>
      <c r="Z114" s="141">
        <f t="shared" si="236"/>
        <v>0</v>
      </c>
      <c r="AA114" s="141">
        <f t="shared" si="236"/>
        <v>0</v>
      </c>
      <c r="AB114" s="141">
        <f t="shared" si="236"/>
        <v>0</v>
      </c>
      <c r="AC114" s="141">
        <f t="shared" si="236"/>
        <v>0</v>
      </c>
      <c r="AD114" s="141">
        <f t="shared" si="236"/>
        <v>0</v>
      </c>
      <c r="AE114" s="141">
        <f t="shared" si="236"/>
        <v>0</v>
      </c>
      <c r="AF114" s="141">
        <f t="shared" si="236"/>
        <v>0</v>
      </c>
      <c r="AG114" s="141">
        <f t="shared" si="236"/>
        <v>0</v>
      </c>
      <c r="AH114" s="141">
        <f>AJ94</f>
        <v>0</v>
      </c>
      <c r="AI114" s="141">
        <f t="shared" ref="AI114:AJ114" si="237">AK94</f>
        <v>0</v>
      </c>
      <c r="AJ114" s="141">
        <f t="shared" si="237"/>
        <v>0</v>
      </c>
      <c r="AK114" s="530"/>
      <c r="AL114" s="530"/>
      <c r="AM114" s="530"/>
      <c r="AN114" s="530"/>
      <c r="AO114" s="530"/>
      <c r="AP114" s="530"/>
      <c r="AQ114" s="530"/>
      <c r="AR114" s="530"/>
      <c r="AS114" s="530"/>
      <c r="AT114" s="530"/>
      <c r="AU114" s="530"/>
      <c r="AV114" s="530"/>
      <c r="AW114" s="530"/>
      <c r="AX114" s="530"/>
      <c r="AY114" s="530"/>
      <c r="AZ114" s="530"/>
      <c r="BA114" s="530"/>
      <c r="BB114" s="530"/>
      <c r="BC114" s="530"/>
      <c r="BD114" s="530"/>
      <c r="BE114" s="530"/>
      <c r="BF114" s="530"/>
      <c r="BG114" s="530"/>
      <c r="BH114" s="530"/>
      <c r="BI114" s="530"/>
      <c r="BJ114" s="530"/>
      <c r="BK114" s="530"/>
      <c r="BL114" s="530"/>
      <c r="BM114" s="530"/>
      <c r="BN114" s="530"/>
      <c r="BO114" s="530"/>
      <c r="BP114" s="530"/>
      <c r="BQ114" s="530"/>
      <c r="BR114" s="530"/>
      <c r="BS114" s="530"/>
      <c r="BT114" s="530"/>
      <c r="BU114" s="530"/>
      <c r="BV114" s="530"/>
      <c r="BW114" s="530"/>
      <c r="BX114" s="530"/>
      <c r="BY114" s="530"/>
      <c r="BZ114" s="530"/>
    </row>
    <row r="115" spans="2:78" x14ac:dyDescent="0.2">
      <c r="C115" s="503" t="s">
        <v>223</v>
      </c>
      <c r="D115" s="28"/>
      <c r="E115" s="95"/>
      <c r="F115" s="141">
        <v>0</v>
      </c>
      <c r="G115" s="141">
        <v>0</v>
      </c>
      <c r="H115" s="141">
        <v>0</v>
      </c>
      <c r="I115" s="141">
        <v>0</v>
      </c>
      <c r="J115" s="141">
        <v>0</v>
      </c>
      <c r="K115" s="141">
        <v>0</v>
      </c>
      <c r="L115" s="141">
        <v>0</v>
      </c>
      <c r="M115" s="141">
        <v>0</v>
      </c>
      <c r="N115" s="141">
        <v>0</v>
      </c>
      <c r="O115" s="141">
        <v>0</v>
      </c>
      <c r="P115" s="141">
        <v>0</v>
      </c>
      <c r="Q115" s="141">
        <v>0</v>
      </c>
      <c r="R115" s="141">
        <v>0</v>
      </c>
      <c r="S115" s="141">
        <v>0</v>
      </c>
      <c r="T115" s="141">
        <v>0</v>
      </c>
      <c r="U115" s="141">
        <v>0</v>
      </c>
      <c r="V115" s="141">
        <v>0</v>
      </c>
      <c r="W115" s="141">
        <v>0</v>
      </c>
      <c r="X115" s="141">
        <v>0</v>
      </c>
      <c r="Y115" s="141">
        <v>0</v>
      </c>
      <c r="Z115" s="141">
        <v>0</v>
      </c>
      <c r="AA115" s="141">
        <v>0</v>
      </c>
      <c r="AB115" s="141">
        <v>0</v>
      </c>
      <c r="AC115" s="141">
        <v>0</v>
      </c>
      <c r="AD115" s="141">
        <v>0</v>
      </c>
      <c r="AE115" s="141">
        <v>0</v>
      </c>
      <c r="AF115" s="141">
        <v>0</v>
      </c>
      <c r="AG115" s="141">
        <v>0</v>
      </c>
      <c r="AH115" s="141">
        <v>0</v>
      </c>
      <c r="AI115" s="141">
        <v>0</v>
      </c>
      <c r="AJ115" s="141">
        <f ca="1">AJ103-AJ98</f>
        <v>50448185.483651221</v>
      </c>
      <c r="AK115" s="530"/>
      <c r="AL115" s="530"/>
      <c r="AM115" s="530"/>
      <c r="AN115" s="530"/>
      <c r="AO115" s="530"/>
      <c r="AP115" s="530"/>
      <c r="AQ115" s="530"/>
      <c r="AR115" s="530"/>
      <c r="AS115" s="530"/>
      <c r="AT115" s="530"/>
      <c r="AU115" s="530"/>
      <c r="AV115" s="530"/>
      <c r="AW115" s="530"/>
      <c r="AX115" s="530"/>
      <c r="AY115" s="530"/>
      <c r="AZ115" s="530"/>
      <c r="BA115" s="530"/>
      <c r="BB115" s="530"/>
      <c r="BC115" s="530"/>
      <c r="BD115" s="530"/>
      <c r="BE115" s="530"/>
      <c r="BF115" s="530"/>
      <c r="BG115" s="530"/>
      <c r="BH115" s="530"/>
      <c r="BI115" s="530"/>
      <c r="BJ115" s="530"/>
      <c r="BK115" s="530"/>
      <c r="BL115" s="530"/>
      <c r="BM115" s="530"/>
      <c r="BN115" s="530"/>
      <c r="BO115" s="530"/>
      <c r="BP115" s="530"/>
      <c r="BQ115" s="530"/>
      <c r="BR115" s="530"/>
      <c r="BS115" s="530"/>
      <c r="BT115" s="530"/>
      <c r="BU115" s="530"/>
      <c r="BV115" s="530"/>
      <c r="BW115" s="530"/>
      <c r="BX115" s="530"/>
      <c r="BY115" s="530"/>
      <c r="BZ115" s="530"/>
    </row>
    <row r="116" spans="2:78" ht="13.5" thickBot="1" x14ac:dyDescent="0.25">
      <c r="C116" s="575" t="s">
        <v>224</v>
      </c>
      <c r="D116" s="601"/>
      <c r="E116" s="602">
        <f>-(D6-F93)+E110</f>
        <v>-4230000</v>
      </c>
      <c r="F116" s="602">
        <f t="shared" ref="F116:AH116" ca="1" si="238">SUM(F105:F115)</f>
        <v>161001.58636190719</v>
      </c>
      <c r="G116" s="602">
        <f t="shared" ca="1" si="238"/>
        <v>280819.33728558733</v>
      </c>
      <c r="H116" s="602">
        <f t="shared" ca="1" si="238"/>
        <v>339261.92745174095</v>
      </c>
      <c r="I116" s="602">
        <f t="shared" ca="1" si="238"/>
        <v>401438.88870825793</v>
      </c>
      <c r="J116" s="602">
        <f t="shared" ca="1" si="238"/>
        <v>455635.06000975776</v>
      </c>
      <c r="K116" s="602">
        <f t="shared" ca="1" si="238"/>
        <v>5244083.7110880092</v>
      </c>
      <c r="L116" s="602">
        <f t="shared" ca="1" si="238"/>
        <v>209985.08156360069</v>
      </c>
      <c r="M116" s="602">
        <f t="shared" ca="1" si="238"/>
        <v>258430.79913880082</v>
      </c>
      <c r="N116" s="602">
        <f t="shared" ca="1" si="238"/>
        <v>308947.69760331756</v>
      </c>
      <c r="O116" s="602">
        <f t="shared" ca="1" si="238"/>
        <v>361621.21386186138</v>
      </c>
      <c r="P116" s="602">
        <f t="shared" ca="1" si="238"/>
        <v>416540.25176747551</v>
      </c>
      <c r="Q116" s="602">
        <f t="shared" ca="1" si="238"/>
        <v>473797.32171927637</v>
      </c>
      <c r="R116" s="602">
        <f t="shared" ca="1" si="238"/>
        <v>533488.68586040859</v>
      </c>
      <c r="S116" s="602">
        <f t="shared" ca="1" si="238"/>
        <v>595714.50910048827</v>
      </c>
      <c r="T116" s="602">
        <f t="shared" ca="1" si="238"/>
        <v>660579.01619578537</v>
      </c>
      <c r="U116" s="602">
        <f t="shared" ca="1" si="238"/>
        <v>728190.65512971545</v>
      </c>
      <c r="V116" s="602">
        <f t="shared" ca="1" si="238"/>
        <v>798662.26704593457</v>
      </c>
      <c r="W116" s="602">
        <f t="shared" ca="1" si="238"/>
        <v>872111.26299641945</v>
      </c>
      <c r="X116" s="602">
        <f t="shared" ca="1" si="238"/>
        <v>948659.8077774049</v>
      </c>
      <c r="Y116" s="602">
        <f t="shared" ca="1" si="238"/>
        <v>1028435.0111369836</v>
      </c>
      <c r="Z116" s="602">
        <f t="shared" ca="1" si="238"/>
        <v>1111569.126649518</v>
      </c>
      <c r="AA116" s="602">
        <f t="shared" ca="1" si="238"/>
        <v>1198199.7585638366</v>
      </c>
      <c r="AB116" s="602">
        <f t="shared" ca="1" si="238"/>
        <v>1288470.0769444448</v>
      </c>
      <c r="AC116" s="602">
        <f t="shared" ca="1" si="238"/>
        <v>1382529.04143778</v>
      </c>
      <c r="AD116" s="602">
        <f t="shared" ca="1" si="238"/>
        <v>1480531.6340088123</v>
      </c>
      <c r="AE116" s="602">
        <f t="shared" ca="1" si="238"/>
        <v>1582639.1010071081</v>
      </c>
      <c r="AF116" s="602">
        <f t="shared" ca="1" si="238"/>
        <v>1689019.2049358422</v>
      </c>
      <c r="AG116" s="602">
        <f t="shared" ca="1" si="238"/>
        <v>1799846.4863121836</v>
      </c>
      <c r="AH116" s="602">
        <f t="shared" ca="1" si="238"/>
        <v>1915302.5360230315</v>
      </c>
      <c r="AI116" s="602">
        <f t="shared" ref="AI116:AJ116" ca="1" si="239">SUM(AI105:AI115)</f>
        <v>2035576.278596248</v>
      </c>
      <c r="AJ116" s="602">
        <f t="shared" ca="1" si="239"/>
        <v>52609049.750475496</v>
      </c>
      <c r="AK116" s="530"/>
      <c r="AL116" s="530"/>
      <c r="AM116" s="530"/>
      <c r="AN116" s="530"/>
      <c r="AO116" s="530"/>
      <c r="AP116" s="530"/>
      <c r="AQ116" s="530"/>
      <c r="AR116" s="530"/>
      <c r="AS116" s="530"/>
      <c r="AT116" s="530"/>
      <c r="AU116" s="530"/>
      <c r="AV116" s="530"/>
      <c r="AW116" s="530"/>
      <c r="AX116" s="530"/>
      <c r="AY116" s="530"/>
      <c r="AZ116" s="530"/>
      <c r="BA116" s="530"/>
      <c r="BB116" s="530"/>
      <c r="BC116" s="530"/>
      <c r="BD116" s="530"/>
      <c r="BE116" s="530"/>
      <c r="BF116" s="530"/>
      <c r="BG116" s="530"/>
      <c r="BH116" s="530"/>
      <c r="BI116" s="530"/>
      <c r="BJ116" s="530"/>
      <c r="BK116" s="530"/>
      <c r="BL116" s="530"/>
      <c r="BM116" s="530"/>
      <c r="BN116" s="530"/>
      <c r="BO116" s="530"/>
      <c r="BP116" s="530"/>
      <c r="BQ116" s="530"/>
      <c r="BR116" s="530"/>
      <c r="BS116" s="530"/>
      <c r="BT116" s="530"/>
      <c r="BU116" s="530"/>
      <c r="BV116" s="530"/>
      <c r="BW116" s="530"/>
      <c r="BX116" s="530"/>
      <c r="BY116" s="530"/>
      <c r="BZ116" s="530"/>
    </row>
    <row r="117" spans="2:78" ht="13.5" thickTop="1" x14ac:dyDescent="0.2">
      <c r="B117" s="831">
        <f>+B116+E116</f>
        <v>-4230000</v>
      </c>
      <c r="C117" s="14"/>
      <c r="D117" s="14"/>
      <c r="E117" s="291" t="s">
        <v>225</v>
      </c>
      <c r="F117" s="271">
        <f t="shared" ref="F117:AH117" ca="1" si="240">F116/-$E$116</f>
        <v>3.8061840747495787E-2</v>
      </c>
      <c r="G117" s="271">
        <f t="shared" ca="1" si="240"/>
        <v>6.6387550185718042E-2</v>
      </c>
      <c r="H117" s="271">
        <f t="shared" ca="1" si="240"/>
        <v>8.0203765355021495E-2</v>
      </c>
      <c r="I117" s="271">
        <f t="shared" ca="1" si="240"/>
        <v>9.4902810569328117E-2</v>
      </c>
      <c r="J117" s="271">
        <f t="shared" ca="1" si="240"/>
        <v>0.10771514421034463</v>
      </c>
      <c r="K117" s="271">
        <f t="shared" ca="1" si="240"/>
        <v>1.239736101912059</v>
      </c>
      <c r="L117" s="271">
        <f t="shared" ca="1" si="240"/>
        <v>4.9641863253806311E-2</v>
      </c>
      <c r="M117" s="271">
        <f t="shared" ca="1" si="240"/>
        <v>6.1094751569456457E-2</v>
      </c>
      <c r="N117" s="271">
        <f t="shared" ca="1" si="240"/>
        <v>7.303728075728548E-2</v>
      </c>
      <c r="O117" s="271">
        <f t="shared" ca="1" si="240"/>
        <v>8.5489648667106705E-2</v>
      </c>
      <c r="P117" s="271">
        <f t="shared" ca="1" si="240"/>
        <v>9.8472872758268437E-2</v>
      </c>
      <c r="Q117" s="271">
        <f t="shared" ca="1" si="240"/>
        <v>0.11200882310148377</v>
      </c>
      <c r="R117" s="271">
        <f t="shared" ca="1" si="240"/>
        <v>0.12612025670458832</v>
      </c>
      <c r="S117" s="271">
        <f t="shared" ca="1" si="240"/>
        <v>0.14083085321524547</v>
      </c>
      <c r="T117" s="271">
        <f t="shared" ca="1" si="240"/>
        <v>0.15616525205574122</v>
      </c>
      <c r="U117" s="271">
        <f t="shared" ca="1" si="240"/>
        <v>0.17214909104721404</v>
      </c>
      <c r="V117" s="271">
        <f t="shared" ca="1" si="240"/>
        <v>0.18880904658296324</v>
      </c>
      <c r="W117" s="271">
        <f t="shared" ca="1" si="240"/>
        <v>0.20617287541286511</v>
      </c>
      <c r="X117" s="271">
        <f t="shared" ca="1" si="240"/>
        <v>0.2242694581034054</v>
      </c>
      <c r="Y117" s="271">
        <f t="shared" ca="1" si="240"/>
        <v>0.24312884424042167</v>
      </c>
      <c r="Z117" s="271">
        <f t="shared" ca="1" si="240"/>
        <v>0.26278229944433051</v>
      </c>
      <c r="AA117" s="271">
        <f t="shared" ca="1" si="240"/>
        <v>0.28326235427041052</v>
      </c>
      <c r="AB117" s="271">
        <f t="shared" ca="1" si="240"/>
        <v>0.30460285506960871</v>
      </c>
      <c r="AC117" s="271">
        <f t="shared" ca="1" si="240"/>
        <v>0.32683901688836409</v>
      </c>
      <c r="AD117" s="271">
        <f t="shared" ca="1" si="240"/>
        <v>0.35000747848908093</v>
      </c>
      <c r="AE117" s="271">
        <f t="shared" ca="1" si="240"/>
        <v>0.3741463595761485</v>
      </c>
      <c r="AF117" s="271">
        <f t="shared" ca="1" si="240"/>
        <v>0.39929532031580195</v>
      </c>
      <c r="AG117" s="271">
        <f t="shared" ca="1" si="240"/>
        <v>0.42549562324165097</v>
      </c>
      <c r="AH117" s="271">
        <f t="shared" ca="1" si="240"/>
        <v>0.45279019764137857</v>
      </c>
      <c r="AI117" s="271">
        <f t="shared" ref="AI117:AJ117" ca="1" si="241">AI116/-$E$116</f>
        <v>0.4812237065239357</v>
      </c>
      <c r="AJ117" s="271">
        <f t="shared" ca="1" si="241"/>
        <v>12.437127600585224</v>
      </c>
      <c r="AK117" s="530"/>
      <c r="AL117" s="530"/>
      <c r="AM117" s="530"/>
      <c r="AN117" s="530"/>
      <c r="AO117" s="530"/>
      <c r="AP117" s="530"/>
      <c r="AQ117" s="530"/>
      <c r="AR117" s="530"/>
      <c r="AS117" s="530"/>
      <c r="AT117" s="530"/>
      <c r="AU117" s="530"/>
      <c r="AV117" s="530"/>
      <c r="AW117" s="530"/>
      <c r="AX117" s="530"/>
      <c r="AY117" s="530"/>
      <c r="AZ117" s="530"/>
      <c r="BA117" s="530"/>
      <c r="BB117" s="530"/>
      <c r="BC117" s="530"/>
      <c r="BD117" s="530"/>
      <c r="BE117" s="530"/>
      <c r="BF117" s="530"/>
      <c r="BG117" s="530"/>
      <c r="BH117" s="530"/>
      <c r="BI117" s="530"/>
      <c r="BJ117" s="530"/>
      <c r="BK117" s="530"/>
      <c r="BL117" s="530"/>
      <c r="BM117" s="530"/>
      <c r="BN117" s="530"/>
      <c r="BO117" s="530"/>
      <c r="BP117" s="530"/>
      <c r="BQ117" s="530"/>
      <c r="BR117" s="530"/>
      <c r="BS117" s="530"/>
      <c r="BT117" s="530"/>
      <c r="BU117" s="530"/>
      <c r="BV117" s="530"/>
      <c r="BW117" s="530"/>
      <c r="BX117" s="530"/>
      <c r="BY117" s="530"/>
      <c r="BZ117" s="530"/>
    </row>
    <row r="118" spans="2:78" x14ac:dyDescent="0.2">
      <c r="C118" s="11" t="s">
        <v>226</v>
      </c>
      <c r="D118" s="37">
        <f ca="1">IRR(E116:AJ116)</f>
        <v>0.18031212435362365</v>
      </c>
      <c r="E118" s="500"/>
      <c r="F118" s="530"/>
      <c r="G118" s="272" t="str">
        <f ca="1">"Cumm.= "&amp;TEXT((SUM($F117:G117)),"0.0%")</f>
        <v>Cumm.= 10.4%</v>
      </c>
      <c r="H118" s="272" t="str">
        <f ca="1">"Cumm.= "&amp;TEXT((SUM($F117:H117)),"0.0%")</f>
        <v>Cumm.= 18.5%</v>
      </c>
      <c r="I118" s="272" t="str">
        <f ca="1">"Cumm.= "&amp;TEXT((SUM($F117:I117)),"0.0%")</f>
        <v>Cumm.= 28.0%</v>
      </c>
      <c r="J118" s="272" t="str">
        <f ca="1">"Cumm.= "&amp;TEXT((SUM($F117:J117)),"0.0%")</f>
        <v>Cumm.= 38.7%</v>
      </c>
      <c r="K118" s="272" t="str">
        <f ca="1">"Cumm.= "&amp;TEXT((SUM($F117:K117)),"0.0%")</f>
        <v>Cumm.= 162.7%</v>
      </c>
      <c r="L118" s="272" t="str">
        <f ca="1">"Cumm.= "&amp;TEXT((SUM($F117:L117)),"0.0%")</f>
        <v>Cumm.= 167.7%</v>
      </c>
      <c r="M118" s="272" t="str">
        <f ca="1">"Cumm.= "&amp;TEXT((SUM($F117:M117)),"0.0%")</f>
        <v>Cumm.= 173.8%</v>
      </c>
      <c r="N118" s="272" t="str">
        <f ca="1">"Cumm.= "&amp;TEXT((SUM($F117:N117)),"0.0%")</f>
        <v>Cumm.= 181.1%</v>
      </c>
      <c r="O118" s="272" t="str">
        <f ca="1">"Cumm.= "&amp;TEXT((SUM($F117:O117)),"0.0%")</f>
        <v>Cumm.= 189.6%</v>
      </c>
      <c r="P118" s="272" t="str">
        <f ca="1">"Cumm.= "&amp;TEXT((SUM($F117:P117)),"0.0%")</f>
        <v>Cumm.= 199.5%</v>
      </c>
      <c r="Q118" s="272" t="str">
        <f ca="1">"Cumm.= "&amp;TEXT((SUM($F117:Q117)),"0.0%")</f>
        <v>Cumm.= 210.7%</v>
      </c>
      <c r="R118" s="272" t="str">
        <f ca="1">"Cumm.= "&amp;TEXT((SUM($F117:R117)),"0.0%")</f>
        <v>Cumm.= 223.3%</v>
      </c>
      <c r="S118" s="272" t="str">
        <f ca="1">"Cumm.= "&amp;TEXT((SUM($F117:S117)),"0.0%")</f>
        <v>Cumm.= 237.4%</v>
      </c>
      <c r="T118" s="272" t="str">
        <f ca="1">"Cumm.= "&amp;TEXT((SUM($F117:T117)),"0.0%")</f>
        <v>Cumm.= 253.0%</v>
      </c>
      <c r="U118" s="272" t="str">
        <f ca="1">"Cumm.= "&amp;TEXT((SUM($F117:U117)),"0.0%")</f>
        <v>Cumm.= 270.2%</v>
      </c>
      <c r="V118" s="272" t="str">
        <f ca="1">"Cumm.= "&amp;TEXT((SUM($F117:V117)),"0.0%")</f>
        <v>Cumm.= 289.1%</v>
      </c>
      <c r="W118" s="272" t="str">
        <f ca="1">"Cumm.= "&amp;TEXT((SUM($F117:W117)),"0.0%")</f>
        <v>Cumm.= 309.7%</v>
      </c>
      <c r="X118" s="272" t="str">
        <f ca="1">"Cumm.= "&amp;TEXT((SUM($F117:X117)),"0.0%")</f>
        <v>Cumm.= 332.1%</v>
      </c>
      <c r="Y118" s="272" t="str">
        <f ca="1">"Cumm.= "&amp;TEXT((SUM($F117:Y117)),"0.0%")</f>
        <v>Cumm.= 356.4%</v>
      </c>
      <c r="Z118" s="272" t="str">
        <f ca="1">"Cumm.= "&amp;TEXT((SUM($F117:Z117)),"0.0%")</f>
        <v>Cumm.= 382.7%</v>
      </c>
      <c r="AA118" s="272" t="str">
        <f ca="1">"Cumm.= "&amp;TEXT((SUM($F117:AA117)),"0.0%")</f>
        <v>Cumm.= 411.0%</v>
      </c>
      <c r="AB118" s="272" t="str">
        <f ca="1">"Cumm.= "&amp;TEXT((SUM($F117:AB117)),"0.0%")</f>
        <v>Cumm.= 441.5%</v>
      </c>
      <c r="AC118" s="272" t="str">
        <f ca="1">"Cumm.= "&amp;TEXT((SUM($F117:AC117)),"0.0%")</f>
        <v>Cumm.= 474.2%</v>
      </c>
      <c r="AD118" s="272" t="str">
        <f ca="1">"Cumm.= "&amp;TEXT((SUM($F117:AD117)),"0.0%")</f>
        <v>Cumm.= 509.2%</v>
      </c>
      <c r="AE118" s="272" t="str">
        <f ca="1">"Cumm.= "&amp;TEXT((SUM($F117:AE117)),"0.0%")</f>
        <v>Cumm.= 546.6%</v>
      </c>
      <c r="AF118" s="272" t="str">
        <f ca="1">"Cumm.= "&amp;TEXT((SUM($F117:AF117)),"0.0%")</f>
        <v>Cumm.= 586.5%</v>
      </c>
      <c r="AG118" s="272" t="str">
        <f ca="1">"Cumm.= "&amp;TEXT((SUM($F117:AG117)),"0.0%")</f>
        <v>Cumm.= 629.1%</v>
      </c>
      <c r="AH118" s="272" t="str">
        <f ca="1">"Cumm.= "&amp;TEXT((SUM($F117:AH117)),"0.0%")</f>
        <v>Cumm.= 674.4%</v>
      </c>
      <c r="AI118" s="272" t="str">
        <f ca="1">"Cumm.= "&amp;TEXT((SUM($F117:AI117)),"0.0%")</f>
        <v>Cumm.= 722.5%</v>
      </c>
      <c r="AJ118" s="272" t="str">
        <f ca="1">"Cumm.= "&amp;TEXT((SUM($F117:AJ117)),"0.0%")</f>
        <v>Cumm.= 1966.2%</v>
      </c>
      <c r="AK118" s="530"/>
      <c r="AL118" s="530"/>
      <c r="AM118" s="530"/>
      <c r="AN118" s="530"/>
      <c r="AO118" s="530"/>
      <c r="AP118" s="530"/>
      <c r="AQ118" s="530"/>
      <c r="AR118" s="530"/>
      <c r="AS118" s="530"/>
      <c r="AT118" s="530"/>
      <c r="AU118" s="530"/>
      <c r="AV118" s="530"/>
      <c r="AW118" s="530"/>
      <c r="AX118" s="530"/>
      <c r="AY118" s="530"/>
      <c r="AZ118" s="530"/>
      <c r="BA118" s="530"/>
      <c r="BB118" s="530"/>
      <c r="BC118" s="530"/>
      <c r="BD118" s="530"/>
      <c r="BE118" s="530"/>
      <c r="BF118" s="530"/>
      <c r="BG118" s="530"/>
      <c r="BH118" s="530"/>
      <c r="BI118" s="530"/>
      <c r="BJ118" s="530"/>
      <c r="BK118" s="530"/>
      <c r="BL118" s="530"/>
      <c r="BM118" s="530"/>
      <c r="BN118" s="530"/>
      <c r="BO118" s="530"/>
      <c r="BP118" s="530"/>
      <c r="BQ118" s="530"/>
      <c r="BR118" s="530"/>
      <c r="BS118" s="530"/>
      <c r="BT118" s="530"/>
      <c r="BU118" s="530"/>
      <c r="BV118" s="530"/>
      <c r="BW118" s="530"/>
      <c r="BX118" s="530"/>
      <c r="BY118" s="530"/>
      <c r="BZ118" s="530"/>
    </row>
    <row r="119" spans="2:78" x14ac:dyDescent="0.2">
      <c r="C119" s="11"/>
      <c r="D119" s="28"/>
      <c r="E119" s="37"/>
      <c r="F119" s="530"/>
      <c r="G119" s="530"/>
      <c r="H119" s="530"/>
      <c r="I119" s="530"/>
      <c r="J119" s="530"/>
      <c r="K119" s="530"/>
      <c r="L119" s="530"/>
      <c r="M119" s="530"/>
      <c r="N119" s="530"/>
      <c r="O119" s="530"/>
      <c r="P119" s="273"/>
      <c r="Q119" s="530"/>
      <c r="R119" s="530"/>
      <c r="S119" s="530"/>
      <c r="T119" s="530"/>
      <c r="U119" s="530"/>
      <c r="V119" s="530"/>
      <c r="W119" s="530"/>
      <c r="X119" s="530"/>
      <c r="Y119" s="530"/>
      <c r="Z119" s="530"/>
      <c r="AA119" s="530"/>
      <c r="AB119" s="530"/>
      <c r="AC119" s="530"/>
      <c r="AD119" s="530"/>
      <c r="AE119" s="530"/>
      <c r="AF119" s="530"/>
      <c r="AG119" s="530"/>
      <c r="AH119" s="530"/>
      <c r="AI119" s="530"/>
      <c r="AJ119" s="530"/>
      <c r="AK119" s="530"/>
      <c r="AL119" s="530"/>
      <c r="AM119" s="530"/>
      <c r="AN119" s="530"/>
      <c r="AO119" s="530"/>
      <c r="AP119" s="530"/>
      <c r="AQ119" s="530"/>
      <c r="AR119" s="530"/>
      <c r="AS119" s="530"/>
      <c r="AT119" s="530"/>
      <c r="AU119" s="530"/>
      <c r="AV119" s="530"/>
      <c r="AW119" s="530"/>
      <c r="AX119" s="530"/>
      <c r="AY119" s="530"/>
      <c r="AZ119" s="530"/>
      <c r="BA119" s="530"/>
      <c r="BB119" s="530"/>
      <c r="BC119" s="530"/>
      <c r="BD119" s="530"/>
      <c r="BE119" s="530"/>
      <c r="BF119" s="530"/>
      <c r="BG119" s="530"/>
      <c r="BH119" s="530"/>
      <c r="BI119" s="530"/>
      <c r="BJ119" s="530"/>
      <c r="BK119" s="530"/>
      <c r="BL119" s="530"/>
      <c r="BM119" s="530"/>
      <c r="BN119" s="530"/>
      <c r="BO119" s="530"/>
      <c r="BP119" s="530"/>
      <c r="BQ119" s="530"/>
      <c r="BR119" s="530"/>
      <c r="BS119" s="530"/>
      <c r="BT119" s="530"/>
      <c r="BU119" s="530"/>
      <c r="BV119" s="530"/>
      <c r="BW119" s="530"/>
      <c r="BX119" s="530"/>
      <c r="BY119" s="530"/>
      <c r="BZ119" s="530"/>
    </row>
    <row r="120" spans="2:78" x14ac:dyDescent="0.2">
      <c r="C120" s="11" t="s">
        <v>227</v>
      </c>
      <c r="D120"/>
      <c r="E120" s="33"/>
      <c r="F120" s="33"/>
      <c r="G120" s="33"/>
      <c r="H120" s="33"/>
      <c r="I120" s="33"/>
      <c r="J120" s="33"/>
      <c r="K120" s="530"/>
      <c r="L120" s="530"/>
      <c r="M120" s="530"/>
      <c r="N120" s="530"/>
      <c r="O120" s="530"/>
      <c r="P120" s="530"/>
      <c r="Q120" s="530"/>
      <c r="R120" s="530"/>
      <c r="S120" s="530"/>
      <c r="T120" s="530"/>
      <c r="U120" s="530"/>
      <c r="V120" s="530"/>
      <c r="W120" s="530"/>
      <c r="X120" s="530"/>
      <c r="Y120" s="530"/>
      <c r="Z120" s="530"/>
      <c r="AA120" s="530"/>
      <c r="AB120" s="530"/>
      <c r="AC120" s="530"/>
      <c r="AD120" s="530"/>
      <c r="AE120" s="530"/>
      <c r="AF120" s="530"/>
      <c r="AG120" s="530"/>
      <c r="AH120" s="530"/>
      <c r="AI120" s="530"/>
      <c r="AJ120" s="530"/>
      <c r="AK120" s="530"/>
      <c r="AL120" s="530"/>
      <c r="AM120" s="530"/>
      <c r="AN120" s="530"/>
      <c r="AO120" s="530"/>
      <c r="AP120" s="530"/>
      <c r="AQ120" s="530"/>
      <c r="AR120" s="530"/>
      <c r="AS120" s="530"/>
      <c r="AT120" s="530"/>
      <c r="AU120" s="530"/>
      <c r="AV120" s="530"/>
      <c r="AW120" s="530"/>
      <c r="AX120" s="530"/>
      <c r="AY120" s="530"/>
      <c r="AZ120" s="530"/>
      <c r="BA120" s="530"/>
      <c r="BB120" s="530"/>
      <c r="BC120" s="530"/>
      <c r="BD120" s="530"/>
      <c r="BE120" s="530"/>
      <c r="BF120" s="530"/>
      <c r="BG120" s="530"/>
      <c r="BH120" s="530"/>
      <c r="BI120" s="530"/>
      <c r="BJ120" s="530"/>
      <c r="BK120" s="530"/>
      <c r="BL120" s="530"/>
      <c r="BM120" s="530"/>
      <c r="BN120" s="530"/>
      <c r="BO120" s="530"/>
      <c r="BP120" s="530"/>
      <c r="BQ120" s="530"/>
      <c r="BR120" s="530"/>
      <c r="BS120" s="530"/>
      <c r="BT120" s="530"/>
      <c r="BU120" s="530"/>
      <c r="BV120" s="530"/>
      <c r="BW120" s="530"/>
      <c r="BX120" s="530"/>
      <c r="BY120" s="530"/>
      <c r="BZ120" s="530"/>
    </row>
    <row r="121" spans="2:78" x14ac:dyDescent="0.2">
      <c r="C121" s="503" t="s">
        <v>228</v>
      </c>
      <c r="D121" s="33"/>
      <c r="E121" s="33"/>
      <c r="F121" s="33"/>
      <c r="G121" s="33"/>
      <c r="H121" s="33"/>
      <c r="I121" s="33"/>
      <c r="J121" s="33"/>
      <c r="K121" s="530"/>
      <c r="L121" s="530"/>
      <c r="M121" s="530"/>
      <c r="N121" s="530"/>
      <c r="O121" s="530"/>
      <c r="P121" s="530"/>
      <c r="Q121" s="530"/>
      <c r="R121" s="530"/>
      <c r="S121" s="530"/>
      <c r="T121" s="530"/>
      <c r="U121" s="530"/>
      <c r="V121" s="530"/>
      <c r="W121" s="530"/>
      <c r="X121" s="530"/>
      <c r="Y121" s="530"/>
      <c r="Z121" s="530"/>
      <c r="AA121" s="530"/>
      <c r="AB121" s="530"/>
      <c r="AC121" s="530"/>
      <c r="AD121" s="530"/>
      <c r="AE121" s="530"/>
      <c r="AF121" s="530"/>
      <c r="AG121" s="530"/>
      <c r="AH121" s="530"/>
      <c r="AI121" s="530"/>
      <c r="AJ121" s="530"/>
      <c r="AK121" s="530"/>
      <c r="AL121" s="530"/>
      <c r="AM121" s="530"/>
      <c r="AN121" s="530"/>
      <c r="AO121" s="530"/>
      <c r="AP121" s="530"/>
      <c r="AQ121" s="530"/>
      <c r="AR121" s="530"/>
      <c r="AS121" s="530"/>
      <c r="AT121" s="530"/>
      <c r="AU121" s="530"/>
      <c r="AV121" s="530"/>
      <c r="AW121" s="530"/>
      <c r="AX121" s="530"/>
      <c r="AY121" s="530"/>
      <c r="AZ121" s="530"/>
      <c r="BA121" s="530"/>
      <c r="BB121" s="530"/>
      <c r="BC121" s="530"/>
      <c r="BD121" s="530"/>
      <c r="BE121" s="530"/>
      <c r="BF121" s="530"/>
      <c r="BG121" s="530"/>
      <c r="BH121" s="530"/>
      <c r="BI121" s="530"/>
      <c r="BJ121" s="530"/>
      <c r="BK121" s="530"/>
      <c r="BL121" s="530"/>
      <c r="BM121" s="530"/>
      <c r="BN121" s="530"/>
      <c r="BO121" s="530"/>
      <c r="BP121" s="530"/>
      <c r="BQ121" s="530"/>
      <c r="BR121" s="530"/>
      <c r="BS121" s="530"/>
      <c r="BT121" s="530"/>
      <c r="BU121" s="530"/>
      <c r="BV121" s="530"/>
      <c r="BW121" s="530"/>
      <c r="BX121" s="530"/>
      <c r="BY121" s="530"/>
      <c r="BZ121" s="530"/>
    </row>
    <row r="122" spans="2:78" x14ac:dyDescent="0.2">
      <c r="C122" s="23" t="s">
        <v>229</v>
      </c>
      <c r="D122" s="500"/>
      <c r="E122" s="33"/>
      <c r="F122" s="33">
        <f>D4*(1-D92)+D5</f>
        <v>4230000</v>
      </c>
      <c r="G122" s="33">
        <f t="shared" ref="G122:AH122" ca="1" si="242">F125</f>
        <v>4280498.4136380926</v>
      </c>
      <c r="H122" s="33">
        <f t="shared" ca="1" si="242"/>
        <v>4213703.99703441</v>
      </c>
      <c r="I122" s="33">
        <f t="shared" ca="1" si="242"/>
        <v>4085127.2694343897</v>
      </c>
      <c r="J122" s="33">
        <f t="shared" ca="1" si="242"/>
        <v>3887944.744197851</v>
      </c>
      <c r="K122" s="33">
        <f t="shared" ca="1" si="242"/>
        <v>3626706.9213979859</v>
      </c>
      <c r="L122" s="33">
        <f t="shared" ca="1" si="242"/>
        <v>0</v>
      </c>
      <c r="M122" s="33">
        <f t="shared" ca="1" si="242"/>
        <v>0</v>
      </c>
      <c r="N122" s="33">
        <f t="shared" ca="1" si="242"/>
        <v>0</v>
      </c>
      <c r="O122" s="33">
        <f t="shared" ca="1" si="242"/>
        <v>0</v>
      </c>
      <c r="P122" s="33">
        <f t="shared" ca="1" si="242"/>
        <v>0</v>
      </c>
      <c r="Q122" s="33">
        <f t="shared" ca="1" si="242"/>
        <v>0</v>
      </c>
      <c r="R122" s="33">
        <f t="shared" ca="1" si="242"/>
        <v>0</v>
      </c>
      <c r="S122" s="33">
        <f t="shared" ca="1" si="242"/>
        <v>0</v>
      </c>
      <c r="T122" s="33">
        <f t="shared" ca="1" si="242"/>
        <v>0</v>
      </c>
      <c r="U122" s="33">
        <f t="shared" ca="1" si="242"/>
        <v>0</v>
      </c>
      <c r="V122" s="33">
        <f t="shared" ca="1" si="242"/>
        <v>0</v>
      </c>
      <c r="W122" s="33">
        <f t="shared" ca="1" si="242"/>
        <v>0</v>
      </c>
      <c r="X122" s="33">
        <f t="shared" ca="1" si="242"/>
        <v>0</v>
      </c>
      <c r="Y122" s="33">
        <f t="shared" ca="1" si="242"/>
        <v>0</v>
      </c>
      <c r="Z122" s="33">
        <f t="shared" ca="1" si="242"/>
        <v>0</v>
      </c>
      <c r="AA122" s="33">
        <f t="shared" ca="1" si="242"/>
        <v>0</v>
      </c>
      <c r="AB122" s="33">
        <f t="shared" ca="1" si="242"/>
        <v>0</v>
      </c>
      <c r="AC122" s="33">
        <f t="shared" ca="1" si="242"/>
        <v>0</v>
      </c>
      <c r="AD122" s="33">
        <f t="shared" ca="1" si="242"/>
        <v>0</v>
      </c>
      <c r="AE122" s="33">
        <f t="shared" ca="1" si="242"/>
        <v>0</v>
      </c>
      <c r="AF122" s="33">
        <f t="shared" ca="1" si="242"/>
        <v>0</v>
      </c>
      <c r="AG122" s="33">
        <f t="shared" ca="1" si="242"/>
        <v>0</v>
      </c>
      <c r="AH122" s="33">
        <f t="shared" ca="1" si="242"/>
        <v>0</v>
      </c>
      <c r="AI122" s="33">
        <f t="shared" ref="AI122" ca="1" si="243">AH125</f>
        <v>0</v>
      </c>
      <c r="AJ122" s="33">
        <f t="shared" ref="AJ122" ca="1" si="244">AI125</f>
        <v>0</v>
      </c>
      <c r="AK122" s="530"/>
      <c r="AL122" s="530"/>
      <c r="AM122" s="530"/>
      <c r="AN122" s="530"/>
      <c r="AO122" s="530"/>
      <c r="AP122" s="530"/>
      <c r="AQ122" s="530"/>
      <c r="AR122" s="530"/>
      <c r="AS122" s="530"/>
      <c r="AT122" s="530"/>
      <c r="AU122" s="530"/>
      <c r="AV122" s="530"/>
      <c r="AW122" s="530"/>
      <c r="AX122" s="530"/>
      <c r="AY122" s="530"/>
      <c r="AZ122" s="530"/>
      <c r="BA122" s="530"/>
      <c r="BB122" s="530"/>
      <c r="BC122" s="530"/>
      <c r="BD122" s="530"/>
      <c r="BE122" s="530"/>
      <c r="BF122" s="530"/>
      <c r="BG122" s="530"/>
      <c r="BH122" s="530"/>
      <c r="BI122" s="530"/>
      <c r="BJ122" s="530"/>
      <c r="BK122" s="530"/>
      <c r="BL122" s="530"/>
      <c r="BM122" s="530"/>
      <c r="BN122" s="530"/>
      <c r="BO122" s="530"/>
      <c r="BP122" s="530"/>
      <c r="BQ122" s="530"/>
      <c r="BR122" s="530"/>
      <c r="BS122" s="530"/>
      <c r="BT122" s="530"/>
      <c r="BU122" s="530"/>
      <c r="BV122" s="530"/>
      <c r="BW122" s="530"/>
      <c r="BX122" s="530"/>
      <c r="BY122" s="530"/>
      <c r="BZ122" s="530"/>
    </row>
    <row r="123" spans="2:78" x14ac:dyDescent="0.2">
      <c r="C123" s="23" t="s">
        <v>230</v>
      </c>
      <c r="D123" s="500"/>
      <c r="E123" s="33"/>
      <c r="F123" s="33">
        <f>F122*$K$22</f>
        <v>211500</v>
      </c>
      <c r="G123" s="33">
        <f t="shared" ref="G123:AH123" ca="1" si="245">G122*$K$23</f>
        <v>214024.92068190465</v>
      </c>
      <c r="H123" s="33">
        <f t="shared" ca="1" si="245"/>
        <v>210685.19985172051</v>
      </c>
      <c r="I123" s="33">
        <f t="shared" ca="1" si="245"/>
        <v>204256.36347171949</v>
      </c>
      <c r="J123" s="33">
        <f t="shared" ca="1" si="245"/>
        <v>194397.23720989257</v>
      </c>
      <c r="K123" s="33">
        <f t="shared" ca="1" si="245"/>
        <v>181335.3460698993</v>
      </c>
      <c r="L123" s="33">
        <f t="shared" ca="1" si="245"/>
        <v>0</v>
      </c>
      <c r="M123" s="33">
        <f t="shared" ca="1" si="245"/>
        <v>0</v>
      </c>
      <c r="N123" s="33">
        <f t="shared" ca="1" si="245"/>
        <v>0</v>
      </c>
      <c r="O123" s="33">
        <f t="shared" ca="1" si="245"/>
        <v>0</v>
      </c>
      <c r="P123" s="33">
        <f t="shared" ca="1" si="245"/>
        <v>0</v>
      </c>
      <c r="Q123" s="33">
        <f t="shared" ca="1" si="245"/>
        <v>0</v>
      </c>
      <c r="R123" s="33">
        <f t="shared" ca="1" si="245"/>
        <v>0</v>
      </c>
      <c r="S123" s="33">
        <f t="shared" ca="1" si="245"/>
        <v>0</v>
      </c>
      <c r="T123" s="33">
        <f t="shared" ca="1" si="245"/>
        <v>0</v>
      </c>
      <c r="U123" s="33">
        <f t="shared" ca="1" si="245"/>
        <v>0</v>
      </c>
      <c r="V123" s="33">
        <f t="shared" ca="1" si="245"/>
        <v>0</v>
      </c>
      <c r="W123" s="33">
        <f t="shared" ca="1" si="245"/>
        <v>0</v>
      </c>
      <c r="X123" s="33">
        <f t="shared" ca="1" si="245"/>
        <v>0</v>
      </c>
      <c r="Y123" s="33">
        <f t="shared" ca="1" si="245"/>
        <v>0</v>
      </c>
      <c r="Z123" s="33">
        <f t="shared" ca="1" si="245"/>
        <v>0</v>
      </c>
      <c r="AA123" s="33">
        <f t="shared" ca="1" si="245"/>
        <v>0</v>
      </c>
      <c r="AB123" s="33">
        <f t="shared" ca="1" si="245"/>
        <v>0</v>
      </c>
      <c r="AC123" s="33">
        <f t="shared" ca="1" si="245"/>
        <v>0</v>
      </c>
      <c r="AD123" s="33">
        <f t="shared" ca="1" si="245"/>
        <v>0</v>
      </c>
      <c r="AE123" s="33">
        <f t="shared" ca="1" si="245"/>
        <v>0</v>
      </c>
      <c r="AF123" s="33">
        <f t="shared" ca="1" si="245"/>
        <v>0</v>
      </c>
      <c r="AG123" s="33">
        <f t="shared" ca="1" si="245"/>
        <v>0</v>
      </c>
      <c r="AH123" s="33">
        <f t="shared" ca="1" si="245"/>
        <v>0</v>
      </c>
      <c r="AI123" s="33">
        <f t="shared" ref="AI123:AJ123" ca="1" si="246">AI122*$K$23</f>
        <v>0</v>
      </c>
      <c r="AJ123" s="33">
        <f t="shared" ca="1" si="246"/>
        <v>0</v>
      </c>
      <c r="AK123" s="530"/>
      <c r="AL123" s="530"/>
      <c r="AM123" s="530"/>
      <c r="AN123" s="530"/>
      <c r="AO123" s="530"/>
      <c r="AP123" s="530"/>
      <c r="AQ123" s="530"/>
      <c r="AR123" s="530"/>
      <c r="AS123" s="530"/>
      <c r="AT123" s="530"/>
      <c r="AU123" s="530"/>
      <c r="AV123" s="530"/>
      <c r="AW123" s="530"/>
      <c r="AX123" s="530"/>
      <c r="AY123" s="530"/>
      <c r="AZ123" s="530"/>
      <c r="BA123" s="530"/>
      <c r="BB123" s="530"/>
      <c r="BC123" s="530"/>
      <c r="BD123" s="530"/>
      <c r="BE123" s="530"/>
      <c r="BF123" s="530"/>
      <c r="BG123" s="530"/>
      <c r="BH123" s="530"/>
      <c r="BI123" s="530"/>
      <c r="BJ123" s="530"/>
      <c r="BK123" s="530"/>
      <c r="BL123" s="530"/>
      <c r="BM123" s="530"/>
      <c r="BN123" s="530"/>
      <c r="BO123" s="530"/>
      <c r="BP123" s="530"/>
      <c r="BQ123" s="530"/>
      <c r="BR123" s="530"/>
      <c r="BS123" s="530"/>
      <c r="BT123" s="530"/>
      <c r="BU123" s="530"/>
      <c r="BV123" s="530"/>
      <c r="BW123" s="530"/>
      <c r="BX123" s="530"/>
      <c r="BY123" s="530"/>
      <c r="BZ123" s="530"/>
    </row>
    <row r="124" spans="2:78" x14ac:dyDescent="0.2">
      <c r="C124" s="23" t="s">
        <v>205</v>
      </c>
      <c r="D124" s="500"/>
      <c r="E124" s="33"/>
      <c r="F124" s="33">
        <f t="shared" ref="F124:O124" ca="1" si="247">MAX(-F122-F123,-F116)</f>
        <v>-161001.58636190719</v>
      </c>
      <c r="G124" s="33">
        <f t="shared" ca="1" si="247"/>
        <v>-280819.33728558733</v>
      </c>
      <c r="H124" s="33">
        <f t="shared" ca="1" si="247"/>
        <v>-339261.92745174095</v>
      </c>
      <c r="I124" s="33">
        <f t="shared" ca="1" si="247"/>
        <v>-401438.88870825793</v>
      </c>
      <c r="J124" s="33">
        <f t="shared" ca="1" si="247"/>
        <v>-455635.06000975776</v>
      </c>
      <c r="K124" s="33">
        <f t="shared" ca="1" si="247"/>
        <v>-3808042.2674678853</v>
      </c>
      <c r="L124" s="33">
        <f t="shared" ca="1" si="247"/>
        <v>0</v>
      </c>
      <c r="M124" s="33">
        <f t="shared" ca="1" si="247"/>
        <v>0</v>
      </c>
      <c r="N124" s="33">
        <f t="shared" ca="1" si="247"/>
        <v>0</v>
      </c>
      <c r="O124" s="33">
        <f t="shared" ca="1" si="247"/>
        <v>0</v>
      </c>
      <c r="P124" s="33">
        <f t="shared" ref="P124:AH124" ca="1" si="248">MAX(-P122-P123,-P116-P94)</f>
        <v>0</v>
      </c>
      <c r="Q124" s="33">
        <f t="shared" ca="1" si="248"/>
        <v>0</v>
      </c>
      <c r="R124" s="33">
        <f t="shared" ca="1" si="248"/>
        <v>0</v>
      </c>
      <c r="S124" s="33">
        <f t="shared" ca="1" si="248"/>
        <v>0</v>
      </c>
      <c r="T124" s="33">
        <f t="shared" ca="1" si="248"/>
        <v>0</v>
      </c>
      <c r="U124" s="33">
        <f t="shared" ca="1" si="248"/>
        <v>0</v>
      </c>
      <c r="V124" s="33">
        <f t="shared" ca="1" si="248"/>
        <v>0</v>
      </c>
      <c r="W124" s="33">
        <f t="shared" ca="1" si="248"/>
        <v>0</v>
      </c>
      <c r="X124" s="33">
        <f t="shared" ca="1" si="248"/>
        <v>0</v>
      </c>
      <c r="Y124" s="33">
        <f t="shared" ca="1" si="248"/>
        <v>0</v>
      </c>
      <c r="Z124" s="33">
        <f t="shared" ca="1" si="248"/>
        <v>0</v>
      </c>
      <c r="AA124" s="33">
        <f t="shared" ca="1" si="248"/>
        <v>0</v>
      </c>
      <c r="AB124" s="33">
        <f t="shared" ca="1" si="248"/>
        <v>0</v>
      </c>
      <c r="AC124" s="33">
        <f t="shared" ca="1" si="248"/>
        <v>0</v>
      </c>
      <c r="AD124" s="33">
        <f t="shared" ca="1" si="248"/>
        <v>0</v>
      </c>
      <c r="AE124" s="33">
        <f t="shared" ca="1" si="248"/>
        <v>0</v>
      </c>
      <c r="AF124" s="33">
        <f t="shared" ca="1" si="248"/>
        <v>0</v>
      </c>
      <c r="AG124" s="33">
        <f t="shared" ca="1" si="248"/>
        <v>0</v>
      </c>
      <c r="AH124" s="33">
        <f t="shared" ca="1" si="248"/>
        <v>0</v>
      </c>
      <c r="AI124" s="33">
        <f t="shared" ref="AI124:AJ124" ca="1" si="249">MAX(-AI122-AI123,-AI116-AI94)</f>
        <v>0</v>
      </c>
      <c r="AJ124" s="33">
        <f t="shared" ca="1" si="249"/>
        <v>0</v>
      </c>
      <c r="AK124" s="530"/>
      <c r="AL124" s="530"/>
      <c r="AM124" s="530"/>
      <c r="AN124" s="530"/>
      <c r="AO124" s="530"/>
      <c r="AP124" s="530"/>
      <c r="AQ124" s="530"/>
      <c r="AR124" s="530"/>
      <c r="AS124" s="530"/>
      <c r="AT124" s="530"/>
      <c r="AU124" s="530"/>
      <c r="AV124" s="530"/>
      <c r="AW124" s="530"/>
      <c r="AX124" s="530"/>
      <c r="AY124" s="530"/>
      <c r="AZ124" s="530"/>
      <c r="BA124" s="530"/>
      <c r="BB124" s="530"/>
      <c r="BC124" s="530"/>
      <c r="BD124" s="530"/>
      <c r="BE124" s="530"/>
      <c r="BF124" s="530"/>
      <c r="BG124" s="530"/>
      <c r="BH124" s="530"/>
      <c r="BI124" s="530"/>
      <c r="BJ124" s="530"/>
      <c r="BK124" s="530"/>
      <c r="BL124" s="530"/>
      <c r="BM124" s="530"/>
      <c r="BN124" s="530"/>
      <c r="BO124" s="530"/>
      <c r="BP124" s="530"/>
      <c r="BQ124" s="530"/>
      <c r="BR124" s="530"/>
      <c r="BS124" s="530"/>
      <c r="BT124" s="530"/>
      <c r="BU124" s="530"/>
      <c r="BV124" s="530"/>
      <c r="BW124" s="530"/>
      <c r="BX124" s="530"/>
      <c r="BY124" s="530"/>
      <c r="BZ124" s="530"/>
    </row>
    <row r="125" spans="2:78" x14ac:dyDescent="0.2">
      <c r="C125" s="23" t="s">
        <v>211</v>
      </c>
      <c r="D125" s="500"/>
      <c r="E125" s="33"/>
      <c r="F125" s="708">
        <f t="shared" ref="F125:AH125" ca="1" si="250">F122+F123+F124</f>
        <v>4280498.4136380926</v>
      </c>
      <c r="G125" s="708">
        <f t="shared" ca="1" si="250"/>
        <v>4213703.99703441</v>
      </c>
      <c r="H125" s="708">
        <f t="shared" ca="1" si="250"/>
        <v>4085127.2694343897</v>
      </c>
      <c r="I125" s="708">
        <f t="shared" ca="1" si="250"/>
        <v>3887944.744197851</v>
      </c>
      <c r="J125" s="708">
        <f t="shared" ca="1" si="250"/>
        <v>3626706.9213979859</v>
      </c>
      <c r="K125" s="708">
        <f t="shared" ca="1" si="250"/>
        <v>0</v>
      </c>
      <c r="L125" s="708">
        <f t="shared" ca="1" si="250"/>
        <v>0</v>
      </c>
      <c r="M125" s="708">
        <f t="shared" ca="1" si="250"/>
        <v>0</v>
      </c>
      <c r="N125" s="708">
        <f t="shared" ca="1" si="250"/>
        <v>0</v>
      </c>
      <c r="O125" s="708">
        <f t="shared" ca="1" si="250"/>
        <v>0</v>
      </c>
      <c r="P125" s="708">
        <f t="shared" ca="1" si="250"/>
        <v>0</v>
      </c>
      <c r="Q125" s="708">
        <f t="shared" ca="1" si="250"/>
        <v>0</v>
      </c>
      <c r="R125" s="708">
        <f t="shared" ca="1" si="250"/>
        <v>0</v>
      </c>
      <c r="S125" s="708">
        <f t="shared" ca="1" si="250"/>
        <v>0</v>
      </c>
      <c r="T125" s="708">
        <f t="shared" ca="1" si="250"/>
        <v>0</v>
      </c>
      <c r="U125" s="708">
        <f t="shared" ca="1" si="250"/>
        <v>0</v>
      </c>
      <c r="V125" s="708">
        <f t="shared" ca="1" si="250"/>
        <v>0</v>
      </c>
      <c r="W125" s="708">
        <f t="shared" ca="1" si="250"/>
        <v>0</v>
      </c>
      <c r="X125" s="708">
        <f t="shared" ca="1" si="250"/>
        <v>0</v>
      </c>
      <c r="Y125" s="708">
        <f t="shared" ca="1" si="250"/>
        <v>0</v>
      </c>
      <c r="Z125" s="708">
        <f t="shared" ca="1" si="250"/>
        <v>0</v>
      </c>
      <c r="AA125" s="708">
        <f t="shared" ca="1" si="250"/>
        <v>0</v>
      </c>
      <c r="AB125" s="708">
        <f t="shared" ca="1" si="250"/>
        <v>0</v>
      </c>
      <c r="AC125" s="708">
        <f t="shared" ca="1" si="250"/>
        <v>0</v>
      </c>
      <c r="AD125" s="708">
        <f t="shared" ca="1" si="250"/>
        <v>0</v>
      </c>
      <c r="AE125" s="708">
        <f t="shared" ca="1" si="250"/>
        <v>0</v>
      </c>
      <c r="AF125" s="708">
        <f t="shared" ca="1" si="250"/>
        <v>0</v>
      </c>
      <c r="AG125" s="708">
        <f t="shared" ca="1" si="250"/>
        <v>0</v>
      </c>
      <c r="AH125" s="708">
        <f t="shared" ca="1" si="250"/>
        <v>0</v>
      </c>
      <c r="AI125" s="708">
        <f t="shared" ref="AI125:AJ125" ca="1" si="251">AI122+AI123+AI124</f>
        <v>0</v>
      </c>
      <c r="AJ125" s="708">
        <f t="shared" ca="1" si="251"/>
        <v>0</v>
      </c>
      <c r="AK125" s="530"/>
      <c r="AL125" s="530"/>
      <c r="AM125" s="530"/>
      <c r="AN125" s="530"/>
      <c r="AO125" s="530"/>
      <c r="AP125" s="530"/>
      <c r="AQ125" s="530"/>
      <c r="AR125" s="530"/>
      <c r="AS125" s="530"/>
      <c r="AT125" s="530"/>
      <c r="AU125" s="530"/>
      <c r="AV125" s="530"/>
      <c r="AW125" s="530"/>
      <c r="AX125" s="530"/>
      <c r="AY125" s="530"/>
      <c r="AZ125" s="530"/>
      <c r="BA125" s="530"/>
      <c r="BB125" s="530"/>
      <c r="BC125" s="530"/>
      <c r="BD125" s="530"/>
      <c r="BE125" s="530"/>
      <c r="BF125" s="530"/>
      <c r="BG125" s="530"/>
      <c r="BH125" s="530"/>
      <c r="BI125" s="530"/>
      <c r="BJ125" s="530"/>
      <c r="BK125" s="530"/>
      <c r="BL125" s="530"/>
      <c r="BM125" s="530"/>
      <c r="BN125" s="530"/>
      <c r="BO125" s="530"/>
      <c r="BP125" s="530"/>
      <c r="BQ125" s="530"/>
      <c r="BR125" s="530"/>
      <c r="BS125" s="530"/>
      <c r="BT125" s="530"/>
      <c r="BU125" s="530"/>
      <c r="BV125" s="530"/>
      <c r="BW125" s="530"/>
      <c r="BX125" s="530"/>
      <c r="BY125" s="530"/>
      <c r="BZ125" s="530"/>
    </row>
    <row r="126" spans="2:78" x14ac:dyDescent="0.2">
      <c r="C126" s="32" t="s">
        <v>231</v>
      </c>
      <c r="D126" s="500"/>
      <c r="E126" s="31"/>
      <c r="F126" s="33">
        <f t="shared" ref="F126:AH126" ca="1" si="252">F116+F124</f>
        <v>0</v>
      </c>
      <c r="G126" s="33">
        <f t="shared" ca="1" si="252"/>
        <v>0</v>
      </c>
      <c r="H126" s="33">
        <f t="shared" ca="1" si="252"/>
        <v>0</v>
      </c>
      <c r="I126" s="33">
        <f t="shared" ca="1" si="252"/>
        <v>0</v>
      </c>
      <c r="J126" s="33">
        <f t="shared" ca="1" si="252"/>
        <v>0</v>
      </c>
      <c r="K126" s="33">
        <f t="shared" ca="1" si="252"/>
        <v>1436041.4436201239</v>
      </c>
      <c r="L126" s="33">
        <f t="shared" ca="1" si="252"/>
        <v>209985.08156360069</v>
      </c>
      <c r="M126" s="33">
        <f t="shared" ca="1" si="252"/>
        <v>258430.79913880082</v>
      </c>
      <c r="N126" s="33">
        <f t="shared" ca="1" si="252"/>
        <v>308947.69760331756</v>
      </c>
      <c r="O126" s="33">
        <f t="shared" ca="1" si="252"/>
        <v>361621.21386186138</v>
      </c>
      <c r="P126" s="33">
        <f t="shared" ca="1" si="252"/>
        <v>416540.25176747551</v>
      </c>
      <c r="Q126" s="33">
        <f t="shared" ca="1" si="252"/>
        <v>473797.32171927637</v>
      </c>
      <c r="R126" s="33">
        <f t="shared" ca="1" si="252"/>
        <v>533488.68586040859</v>
      </c>
      <c r="S126" s="33">
        <f t="shared" ca="1" si="252"/>
        <v>595714.50910048827</v>
      </c>
      <c r="T126" s="33">
        <f t="shared" ca="1" si="252"/>
        <v>660579.01619578537</v>
      </c>
      <c r="U126" s="33">
        <f t="shared" ca="1" si="252"/>
        <v>728190.65512971545</v>
      </c>
      <c r="V126" s="33">
        <f t="shared" ca="1" si="252"/>
        <v>798662.26704593457</v>
      </c>
      <c r="W126" s="33">
        <f t="shared" ca="1" si="252"/>
        <v>872111.26299641945</v>
      </c>
      <c r="X126" s="33">
        <f t="shared" ca="1" si="252"/>
        <v>948659.8077774049</v>
      </c>
      <c r="Y126" s="33">
        <f t="shared" ca="1" si="252"/>
        <v>1028435.0111369836</v>
      </c>
      <c r="Z126" s="33">
        <f t="shared" ca="1" si="252"/>
        <v>1111569.126649518</v>
      </c>
      <c r="AA126" s="33">
        <f t="shared" ca="1" si="252"/>
        <v>1198199.7585638366</v>
      </c>
      <c r="AB126" s="33">
        <f t="shared" ca="1" si="252"/>
        <v>1288470.0769444448</v>
      </c>
      <c r="AC126" s="33">
        <f t="shared" ca="1" si="252"/>
        <v>1382529.04143778</v>
      </c>
      <c r="AD126" s="33">
        <f t="shared" ca="1" si="252"/>
        <v>1480531.6340088123</v>
      </c>
      <c r="AE126" s="33">
        <f t="shared" ca="1" si="252"/>
        <v>1582639.1010071081</v>
      </c>
      <c r="AF126" s="33">
        <f t="shared" ca="1" si="252"/>
        <v>1689019.2049358422</v>
      </c>
      <c r="AG126" s="33">
        <f t="shared" ca="1" si="252"/>
        <v>1799846.4863121836</v>
      </c>
      <c r="AH126" s="33">
        <f t="shared" ca="1" si="252"/>
        <v>1915302.5360230315</v>
      </c>
      <c r="AI126" s="33">
        <f t="shared" ref="AI126:AJ126" ca="1" si="253">AI116+AI124</f>
        <v>2035576.278596248</v>
      </c>
      <c r="AJ126" s="33">
        <f t="shared" ca="1" si="253"/>
        <v>52609049.750475496</v>
      </c>
      <c r="AK126" s="530"/>
      <c r="AL126" s="530"/>
      <c r="AM126" s="530"/>
      <c r="AN126" s="530"/>
      <c r="AO126" s="530"/>
      <c r="AP126" s="530"/>
      <c r="AQ126" s="530"/>
      <c r="AR126" s="530"/>
      <c r="AS126" s="530"/>
      <c r="AT126" s="530"/>
      <c r="AU126" s="530"/>
      <c r="AV126" s="530"/>
      <c r="AW126" s="530"/>
      <c r="AX126" s="530"/>
      <c r="AY126" s="530"/>
      <c r="AZ126" s="530"/>
      <c r="BA126" s="530"/>
      <c r="BB126" s="530"/>
      <c r="BC126" s="530"/>
      <c r="BD126" s="530"/>
      <c r="BE126" s="530"/>
      <c r="BF126" s="530"/>
      <c r="BG126" s="530"/>
      <c r="BH126" s="530"/>
      <c r="BI126" s="530"/>
      <c r="BJ126" s="530"/>
      <c r="BK126" s="530"/>
      <c r="BL126" s="530"/>
      <c r="BM126" s="530"/>
      <c r="BN126" s="530"/>
      <c r="BO126" s="530"/>
      <c r="BP126" s="530"/>
      <c r="BQ126" s="530"/>
      <c r="BR126" s="530"/>
      <c r="BS126" s="530"/>
      <c r="BT126" s="530"/>
      <c r="BU126" s="530"/>
      <c r="BV126" s="530"/>
      <c r="BW126" s="530"/>
      <c r="BX126" s="530"/>
      <c r="BY126" s="530"/>
      <c r="BZ126" s="530"/>
    </row>
    <row r="127" spans="2:78" x14ac:dyDescent="0.2">
      <c r="C127" s="41" t="s">
        <v>232</v>
      </c>
      <c r="D127" s="500"/>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530"/>
      <c r="AL127" s="530"/>
      <c r="AM127" s="530"/>
      <c r="AN127" s="530"/>
      <c r="AO127" s="530"/>
      <c r="AP127" s="530"/>
      <c r="AQ127" s="530"/>
      <c r="AR127" s="530"/>
      <c r="AS127" s="530"/>
      <c r="AT127" s="530"/>
      <c r="AU127" s="530"/>
      <c r="AV127" s="530"/>
      <c r="AW127" s="530"/>
      <c r="AX127" s="530"/>
      <c r="AY127" s="530"/>
      <c r="AZ127" s="530"/>
      <c r="BA127" s="530"/>
      <c r="BB127" s="530"/>
      <c r="BC127" s="530"/>
      <c r="BD127" s="530"/>
      <c r="BE127" s="530"/>
      <c r="BF127" s="530"/>
      <c r="BG127" s="530"/>
      <c r="BH127" s="530"/>
      <c r="BI127" s="530"/>
      <c r="BJ127" s="530"/>
      <c r="BK127" s="530"/>
      <c r="BL127" s="530"/>
      <c r="BM127" s="530"/>
      <c r="BN127" s="530"/>
      <c r="BO127" s="530"/>
      <c r="BP127" s="530"/>
      <c r="BQ127" s="530"/>
      <c r="BR127" s="530"/>
      <c r="BS127" s="530"/>
      <c r="BT127" s="530"/>
      <c r="BU127" s="530"/>
      <c r="BV127" s="530"/>
      <c r="BW127" s="530"/>
      <c r="BX127" s="530"/>
      <c r="BY127" s="530"/>
      <c r="BZ127" s="530"/>
    </row>
    <row r="128" spans="2:78" x14ac:dyDescent="0.2">
      <c r="C128" s="537" t="s">
        <v>233</v>
      </c>
      <c r="D128" s="832"/>
      <c r="E128" s="33"/>
      <c r="F128" s="33">
        <f t="shared" ref="F128:AH128" ca="1" si="254">F126*$K$20</f>
        <v>0</v>
      </c>
      <c r="G128" s="33">
        <f t="shared" ca="1" si="254"/>
        <v>0</v>
      </c>
      <c r="H128" s="33">
        <f t="shared" ca="1" si="254"/>
        <v>0</v>
      </c>
      <c r="I128" s="33">
        <f t="shared" ca="1" si="254"/>
        <v>0</v>
      </c>
      <c r="J128" s="33">
        <f t="shared" ca="1" si="254"/>
        <v>0</v>
      </c>
      <c r="K128" s="33">
        <f t="shared" ca="1" si="254"/>
        <v>718020.72181006195</v>
      </c>
      <c r="L128" s="33">
        <f t="shared" ca="1" si="254"/>
        <v>104992.54078180034</v>
      </c>
      <c r="M128" s="33">
        <f t="shared" ca="1" si="254"/>
        <v>129215.39956940041</v>
      </c>
      <c r="N128" s="33">
        <f t="shared" ca="1" si="254"/>
        <v>154473.84880165878</v>
      </c>
      <c r="O128" s="33">
        <f t="shared" ca="1" si="254"/>
        <v>180810.60693093069</v>
      </c>
      <c r="P128" s="33">
        <f t="shared" ca="1" si="254"/>
        <v>208270.12588373775</v>
      </c>
      <c r="Q128" s="33">
        <f t="shared" ca="1" si="254"/>
        <v>236898.66085963818</v>
      </c>
      <c r="R128" s="33">
        <f t="shared" ca="1" si="254"/>
        <v>266744.34293020429</v>
      </c>
      <c r="S128" s="33">
        <f t="shared" ca="1" si="254"/>
        <v>297857.25455024414</v>
      </c>
      <c r="T128" s="33">
        <f t="shared" ca="1" si="254"/>
        <v>330289.50809789269</v>
      </c>
      <c r="U128" s="33">
        <f t="shared" ca="1" si="254"/>
        <v>364095.32756485773</v>
      </c>
      <c r="V128" s="33">
        <f t="shared" ca="1" si="254"/>
        <v>399331.13352296728</v>
      </c>
      <c r="W128" s="33">
        <f t="shared" ca="1" si="254"/>
        <v>436055.63149820972</v>
      </c>
      <c r="X128" s="33">
        <f t="shared" ca="1" si="254"/>
        <v>474329.90388870245</v>
      </c>
      <c r="Y128" s="33">
        <f t="shared" ca="1" si="254"/>
        <v>514217.50556849182</v>
      </c>
      <c r="Z128" s="33">
        <f t="shared" ca="1" si="254"/>
        <v>555784.56332475902</v>
      </c>
      <c r="AA128" s="33">
        <f t="shared" ca="1" si="254"/>
        <v>599099.87928191829</v>
      </c>
      <c r="AB128" s="33">
        <f t="shared" ca="1" si="254"/>
        <v>644235.0384722224</v>
      </c>
      <c r="AC128" s="33">
        <f t="shared" ca="1" si="254"/>
        <v>691264.52071889001</v>
      </c>
      <c r="AD128" s="33">
        <f t="shared" ca="1" si="254"/>
        <v>740265.81700440613</v>
      </c>
      <c r="AE128" s="33">
        <f t="shared" ca="1" si="254"/>
        <v>791319.55050355406</v>
      </c>
      <c r="AF128" s="33">
        <f t="shared" ca="1" si="254"/>
        <v>844509.6024679211</v>
      </c>
      <c r="AG128" s="33">
        <f t="shared" ca="1" si="254"/>
        <v>899923.24315609178</v>
      </c>
      <c r="AH128" s="33">
        <f t="shared" ca="1" si="254"/>
        <v>957651.26801151573</v>
      </c>
      <c r="AI128" s="33">
        <f t="shared" ref="AI128:AJ128" ca="1" si="255">AI126*$K$20</f>
        <v>1017788.139298124</v>
      </c>
      <c r="AJ128" s="33">
        <f t="shared" ca="1" si="255"/>
        <v>26304524.875237748</v>
      </c>
      <c r="AK128" s="530"/>
      <c r="AL128" s="530"/>
      <c r="AM128" s="530"/>
      <c r="AN128" s="530"/>
      <c r="AO128" s="530"/>
      <c r="AP128" s="530"/>
      <c r="AQ128" s="530"/>
      <c r="AR128" s="530"/>
      <c r="AS128" s="530"/>
      <c r="AT128" s="530"/>
      <c r="AU128" s="530"/>
      <c r="AV128" s="530"/>
      <c r="AW128" s="530"/>
      <c r="AX128" s="530"/>
      <c r="AY128" s="530"/>
      <c r="AZ128" s="530"/>
      <c r="BA128" s="530"/>
      <c r="BB128" s="530"/>
      <c r="BC128" s="530"/>
      <c r="BD128" s="530"/>
      <c r="BE128" s="530"/>
      <c r="BF128" s="530"/>
      <c r="BG128" s="530"/>
      <c r="BH128" s="530"/>
      <c r="BI128" s="530"/>
      <c r="BJ128" s="530"/>
      <c r="BK128" s="530"/>
      <c r="BL128" s="530"/>
      <c r="BM128" s="530"/>
      <c r="BN128" s="530"/>
      <c r="BO128" s="530"/>
      <c r="BP128" s="530"/>
      <c r="BQ128" s="530"/>
      <c r="BR128" s="530"/>
      <c r="BS128" s="530"/>
      <c r="BT128" s="530"/>
      <c r="BU128" s="530"/>
      <c r="BV128" s="530"/>
      <c r="BW128" s="530"/>
      <c r="BX128" s="530"/>
      <c r="BY128" s="530"/>
      <c r="BZ128" s="530"/>
    </row>
    <row r="129" spans="2:78" x14ac:dyDescent="0.2">
      <c r="C129" s="537" t="s">
        <v>234</v>
      </c>
      <c r="D129" s="500"/>
      <c r="E129" s="33"/>
      <c r="F129" s="33">
        <f t="shared" ref="F129:AH129" ca="1" si="256">F126*$K$21</f>
        <v>0</v>
      </c>
      <c r="G129" s="33">
        <f t="shared" ca="1" si="256"/>
        <v>0</v>
      </c>
      <c r="H129" s="33">
        <f t="shared" ca="1" si="256"/>
        <v>0</v>
      </c>
      <c r="I129" s="33">
        <f t="shared" ca="1" si="256"/>
        <v>0</v>
      </c>
      <c r="J129" s="33">
        <f t="shared" ca="1" si="256"/>
        <v>0</v>
      </c>
      <c r="K129" s="33">
        <f t="shared" ca="1" si="256"/>
        <v>718020.72181006195</v>
      </c>
      <c r="L129" s="33">
        <f t="shared" ca="1" si="256"/>
        <v>104992.54078180034</v>
      </c>
      <c r="M129" s="33">
        <f t="shared" ca="1" si="256"/>
        <v>129215.39956940041</v>
      </c>
      <c r="N129" s="33">
        <f t="shared" ca="1" si="256"/>
        <v>154473.84880165878</v>
      </c>
      <c r="O129" s="33">
        <f t="shared" ca="1" si="256"/>
        <v>180810.60693093069</v>
      </c>
      <c r="P129" s="33">
        <f t="shared" ca="1" si="256"/>
        <v>208270.12588373775</v>
      </c>
      <c r="Q129" s="33">
        <f t="shared" ca="1" si="256"/>
        <v>236898.66085963818</v>
      </c>
      <c r="R129" s="33">
        <f t="shared" ca="1" si="256"/>
        <v>266744.34293020429</v>
      </c>
      <c r="S129" s="33">
        <f t="shared" ca="1" si="256"/>
        <v>297857.25455024414</v>
      </c>
      <c r="T129" s="33">
        <f t="shared" ca="1" si="256"/>
        <v>330289.50809789269</v>
      </c>
      <c r="U129" s="33">
        <f t="shared" ca="1" si="256"/>
        <v>364095.32756485773</v>
      </c>
      <c r="V129" s="33">
        <f t="shared" ca="1" si="256"/>
        <v>399331.13352296728</v>
      </c>
      <c r="W129" s="33">
        <f t="shared" ca="1" si="256"/>
        <v>436055.63149820972</v>
      </c>
      <c r="X129" s="33">
        <f t="shared" ca="1" si="256"/>
        <v>474329.90388870245</v>
      </c>
      <c r="Y129" s="33">
        <f t="shared" ca="1" si="256"/>
        <v>514217.50556849182</v>
      </c>
      <c r="Z129" s="33">
        <f t="shared" ca="1" si="256"/>
        <v>555784.56332475902</v>
      </c>
      <c r="AA129" s="33">
        <f t="shared" ca="1" si="256"/>
        <v>599099.87928191829</v>
      </c>
      <c r="AB129" s="33">
        <f t="shared" ca="1" si="256"/>
        <v>644235.0384722224</v>
      </c>
      <c r="AC129" s="33">
        <f t="shared" ca="1" si="256"/>
        <v>691264.52071889001</v>
      </c>
      <c r="AD129" s="33">
        <f t="shared" ca="1" si="256"/>
        <v>740265.81700440613</v>
      </c>
      <c r="AE129" s="33">
        <f t="shared" ca="1" si="256"/>
        <v>791319.55050355406</v>
      </c>
      <c r="AF129" s="33">
        <f t="shared" ca="1" si="256"/>
        <v>844509.6024679211</v>
      </c>
      <c r="AG129" s="33">
        <f t="shared" ca="1" si="256"/>
        <v>899923.24315609178</v>
      </c>
      <c r="AH129" s="33">
        <f t="shared" ca="1" si="256"/>
        <v>957651.26801151573</v>
      </c>
      <c r="AI129" s="33">
        <f t="shared" ref="AI129:AJ129" ca="1" si="257">AI126*$K$21</f>
        <v>1017788.139298124</v>
      </c>
      <c r="AJ129" s="33">
        <f t="shared" ca="1" si="257"/>
        <v>26304524.875237748</v>
      </c>
      <c r="AK129" s="530"/>
      <c r="AL129" s="530"/>
      <c r="AM129" s="530"/>
      <c r="AN129" s="530"/>
      <c r="AO129" s="530"/>
      <c r="AP129" s="530"/>
      <c r="AQ129" s="530"/>
      <c r="AR129" s="530"/>
      <c r="AS129" s="530"/>
      <c r="AT129" s="530"/>
      <c r="AU129" s="530"/>
      <c r="AV129" s="530"/>
      <c r="AW129" s="530"/>
      <c r="AX129" s="530"/>
      <c r="AY129" s="530"/>
      <c r="AZ129" s="530"/>
      <c r="BA129" s="530"/>
      <c r="BB129" s="530"/>
      <c r="BC129" s="530"/>
      <c r="BD129" s="530"/>
      <c r="BE129" s="530"/>
      <c r="BF129" s="530"/>
      <c r="BG129" s="530"/>
      <c r="BH129" s="530"/>
      <c r="BI129" s="530"/>
      <c r="BJ129" s="530"/>
      <c r="BK129" s="530"/>
      <c r="BL129" s="530"/>
      <c r="BM129" s="530"/>
      <c r="BN129" s="530"/>
      <c r="BO129" s="530"/>
      <c r="BP129" s="530"/>
      <c r="BQ129" s="530"/>
      <c r="BR129" s="530"/>
      <c r="BS129" s="530"/>
      <c r="BT129" s="530"/>
      <c r="BU129" s="530"/>
      <c r="BV129" s="530"/>
      <c r="BW129" s="530"/>
      <c r="BX129" s="530"/>
      <c r="BY129" s="530"/>
      <c r="BZ129" s="530"/>
    </row>
    <row r="130" spans="2:78" x14ac:dyDescent="0.2">
      <c r="C130" s="41" t="s">
        <v>48</v>
      </c>
      <c r="D130" s="500"/>
      <c r="E130"/>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530"/>
      <c r="AL130" s="530"/>
      <c r="AM130" s="530"/>
      <c r="AN130" s="530"/>
      <c r="AO130" s="530"/>
      <c r="AP130" s="530"/>
      <c r="AQ130" s="530"/>
      <c r="AR130" s="530"/>
      <c r="AS130" s="530"/>
      <c r="AT130" s="530"/>
      <c r="AU130" s="530"/>
      <c r="AV130" s="530"/>
      <c r="AW130" s="530"/>
      <c r="AX130" s="530"/>
      <c r="AY130" s="530"/>
      <c r="AZ130" s="530"/>
      <c r="BA130" s="530"/>
      <c r="BB130" s="530"/>
      <c r="BC130" s="530"/>
      <c r="BD130" s="530"/>
      <c r="BE130" s="530"/>
      <c r="BF130" s="530"/>
      <c r="BG130" s="530"/>
      <c r="BH130" s="530"/>
      <c r="BI130" s="530"/>
      <c r="BJ130" s="530"/>
      <c r="BK130" s="530"/>
      <c r="BL130" s="530"/>
      <c r="BM130" s="530"/>
      <c r="BN130" s="530"/>
      <c r="BO130" s="530"/>
      <c r="BP130" s="530"/>
      <c r="BQ130" s="530"/>
      <c r="BR130" s="530"/>
      <c r="BS130" s="530"/>
      <c r="BT130" s="530"/>
      <c r="BU130" s="530"/>
      <c r="BV130" s="530"/>
      <c r="BW130" s="530"/>
      <c r="BX130" s="530"/>
      <c r="BY130" s="530"/>
      <c r="BZ130" s="530"/>
    </row>
    <row r="131" spans="2:78" x14ac:dyDescent="0.2">
      <c r="C131" s="537" t="s">
        <v>233</v>
      </c>
      <c r="D131" s="538">
        <f ca="1">SUM(E131:AJ131)</f>
        <v>40078168.077021085</v>
      </c>
      <c r="E131" s="39">
        <f>E116</f>
        <v>-4230000</v>
      </c>
      <c r="F131" s="33">
        <f t="shared" ref="F131:AH131" ca="1" si="258">-F124+F128</f>
        <v>161001.58636190719</v>
      </c>
      <c r="G131" s="33">
        <f t="shared" ca="1" si="258"/>
        <v>280819.33728558733</v>
      </c>
      <c r="H131" s="33">
        <f t="shared" ca="1" si="258"/>
        <v>339261.92745174095</v>
      </c>
      <c r="I131" s="33">
        <f t="shared" ca="1" si="258"/>
        <v>401438.88870825793</v>
      </c>
      <c r="J131" s="33">
        <f t="shared" ca="1" si="258"/>
        <v>455635.06000975776</v>
      </c>
      <c r="K131" s="33">
        <f t="shared" ca="1" si="258"/>
        <v>4526062.9892779477</v>
      </c>
      <c r="L131" s="33">
        <f t="shared" ca="1" si="258"/>
        <v>104992.54078180034</v>
      </c>
      <c r="M131" s="33">
        <f t="shared" ca="1" si="258"/>
        <v>129215.39956940041</v>
      </c>
      <c r="N131" s="33">
        <f t="shared" ca="1" si="258"/>
        <v>154473.84880165878</v>
      </c>
      <c r="O131" s="33">
        <f t="shared" ca="1" si="258"/>
        <v>180810.60693093069</v>
      </c>
      <c r="P131" s="33">
        <f t="shared" ca="1" si="258"/>
        <v>208270.12588373775</v>
      </c>
      <c r="Q131" s="33">
        <f t="shared" ca="1" si="258"/>
        <v>236898.66085963818</v>
      </c>
      <c r="R131" s="33">
        <f t="shared" ca="1" si="258"/>
        <v>266744.34293020429</v>
      </c>
      <c r="S131" s="33">
        <f t="shared" ca="1" si="258"/>
        <v>297857.25455024414</v>
      </c>
      <c r="T131" s="33">
        <f t="shared" ca="1" si="258"/>
        <v>330289.50809789269</v>
      </c>
      <c r="U131" s="33">
        <f t="shared" ca="1" si="258"/>
        <v>364095.32756485773</v>
      </c>
      <c r="V131" s="33">
        <f t="shared" ca="1" si="258"/>
        <v>399331.13352296728</v>
      </c>
      <c r="W131" s="33">
        <f t="shared" ca="1" si="258"/>
        <v>436055.63149820972</v>
      </c>
      <c r="X131" s="33">
        <f t="shared" ca="1" si="258"/>
        <v>474329.90388870245</v>
      </c>
      <c r="Y131" s="33">
        <f t="shared" ca="1" si="258"/>
        <v>514217.50556849182</v>
      </c>
      <c r="Z131" s="33">
        <f t="shared" ca="1" si="258"/>
        <v>555784.56332475902</v>
      </c>
      <c r="AA131" s="33">
        <f t="shared" ca="1" si="258"/>
        <v>599099.87928191829</v>
      </c>
      <c r="AB131" s="33">
        <f t="shared" ca="1" si="258"/>
        <v>644235.0384722224</v>
      </c>
      <c r="AC131" s="33">
        <f t="shared" ca="1" si="258"/>
        <v>691264.52071889001</v>
      </c>
      <c r="AD131" s="33">
        <f t="shared" ca="1" si="258"/>
        <v>740265.81700440613</v>
      </c>
      <c r="AE131" s="33">
        <f t="shared" ca="1" si="258"/>
        <v>791319.55050355406</v>
      </c>
      <c r="AF131" s="33">
        <f t="shared" ca="1" si="258"/>
        <v>844509.6024679211</v>
      </c>
      <c r="AG131" s="33">
        <f t="shared" ca="1" si="258"/>
        <v>899923.24315609178</v>
      </c>
      <c r="AH131" s="33">
        <f t="shared" ca="1" si="258"/>
        <v>957651.26801151573</v>
      </c>
      <c r="AI131" s="33">
        <f t="shared" ref="AI131:AJ131" ca="1" si="259">-AI124+AI128</f>
        <v>1017788.139298124</v>
      </c>
      <c r="AJ131" s="33">
        <f t="shared" ca="1" si="259"/>
        <v>26304524.875237748</v>
      </c>
      <c r="AK131" s="530"/>
      <c r="AL131" s="530"/>
      <c r="AM131" s="530"/>
      <c r="AN131" s="530"/>
      <c r="AO131" s="530"/>
      <c r="AP131" s="530"/>
      <c r="AQ131" s="530"/>
      <c r="AR131" s="530"/>
      <c r="AS131" s="530"/>
      <c r="AT131" s="530"/>
      <c r="AU131" s="530"/>
      <c r="AV131" s="530"/>
      <c r="AW131" s="530"/>
      <c r="AX131" s="530"/>
      <c r="AY131" s="530"/>
      <c r="AZ131" s="530"/>
      <c r="BA131" s="530"/>
      <c r="BB131" s="530"/>
      <c r="BC131" s="530"/>
      <c r="BD131" s="530"/>
      <c r="BE131" s="530"/>
      <c r="BF131" s="530"/>
      <c r="BG131" s="530"/>
      <c r="BH131" s="530"/>
      <c r="BI131" s="530"/>
      <c r="BJ131" s="530"/>
      <c r="BK131" s="530"/>
      <c r="BL131" s="530"/>
      <c r="BM131" s="530"/>
      <c r="BN131" s="530"/>
      <c r="BO131" s="530"/>
      <c r="BP131" s="530"/>
      <c r="BQ131" s="530"/>
      <c r="BR131" s="530"/>
      <c r="BS131" s="530"/>
      <c r="BT131" s="530"/>
      <c r="BU131" s="530"/>
      <c r="BV131" s="530"/>
      <c r="BW131" s="530"/>
      <c r="BX131" s="530"/>
      <c r="BY131" s="530"/>
      <c r="BZ131" s="530"/>
    </row>
    <row r="132" spans="2:78" x14ac:dyDescent="0.2">
      <c r="C132" s="537" t="s">
        <v>234</v>
      </c>
      <c r="D132" s="538">
        <f ca="1">SUM(E132:AJ132)</f>
        <v>38861969.009735949</v>
      </c>
      <c r="E132" s="39">
        <v>0</v>
      </c>
      <c r="F132" s="33">
        <f t="shared" ref="F132:AH132" ca="1" si="260">F129</f>
        <v>0</v>
      </c>
      <c r="G132" s="33">
        <f t="shared" ca="1" si="260"/>
        <v>0</v>
      </c>
      <c r="H132" s="33">
        <f t="shared" ca="1" si="260"/>
        <v>0</v>
      </c>
      <c r="I132" s="33">
        <f t="shared" ca="1" si="260"/>
        <v>0</v>
      </c>
      <c r="J132" s="33">
        <f t="shared" ca="1" si="260"/>
        <v>0</v>
      </c>
      <c r="K132" s="33">
        <f t="shared" ca="1" si="260"/>
        <v>718020.72181006195</v>
      </c>
      <c r="L132" s="33">
        <f t="shared" ca="1" si="260"/>
        <v>104992.54078180034</v>
      </c>
      <c r="M132" s="33">
        <f t="shared" ca="1" si="260"/>
        <v>129215.39956940041</v>
      </c>
      <c r="N132" s="33">
        <f t="shared" ca="1" si="260"/>
        <v>154473.84880165878</v>
      </c>
      <c r="O132" s="33">
        <f t="shared" ca="1" si="260"/>
        <v>180810.60693093069</v>
      </c>
      <c r="P132" s="33">
        <f t="shared" ca="1" si="260"/>
        <v>208270.12588373775</v>
      </c>
      <c r="Q132" s="33">
        <f t="shared" ca="1" si="260"/>
        <v>236898.66085963818</v>
      </c>
      <c r="R132" s="33">
        <f t="shared" ca="1" si="260"/>
        <v>266744.34293020429</v>
      </c>
      <c r="S132" s="33">
        <f t="shared" ca="1" si="260"/>
        <v>297857.25455024414</v>
      </c>
      <c r="T132" s="33">
        <f t="shared" ca="1" si="260"/>
        <v>330289.50809789269</v>
      </c>
      <c r="U132" s="33">
        <f t="shared" ca="1" si="260"/>
        <v>364095.32756485773</v>
      </c>
      <c r="V132" s="33">
        <f t="shared" ca="1" si="260"/>
        <v>399331.13352296728</v>
      </c>
      <c r="W132" s="33">
        <f t="shared" ca="1" si="260"/>
        <v>436055.63149820972</v>
      </c>
      <c r="X132" s="33">
        <f t="shared" ca="1" si="260"/>
        <v>474329.90388870245</v>
      </c>
      <c r="Y132" s="33">
        <f t="shared" ca="1" si="260"/>
        <v>514217.50556849182</v>
      </c>
      <c r="Z132" s="33">
        <f t="shared" ca="1" si="260"/>
        <v>555784.56332475902</v>
      </c>
      <c r="AA132" s="33">
        <f t="shared" ca="1" si="260"/>
        <v>599099.87928191829</v>
      </c>
      <c r="AB132" s="33">
        <f t="shared" ca="1" si="260"/>
        <v>644235.0384722224</v>
      </c>
      <c r="AC132" s="33">
        <f t="shared" ca="1" si="260"/>
        <v>691264.52071889001</v>
      </c>
      <c r="AD132" s="33">
        <f t="shared" ca="1" si="260"/>
        <v>740265.81700440613</v>
      </c>
      <c r="AE132" s="33">
        <f t="shared" ca="1" si="260"/>
        <v>791319.55050355406</v>
      </c>
      <c r="AF132" s="33">
        <f t="shared" ca="1" si="260"/>
        <v>844509.6024679211</v>
      </c>
      <c r="AG132" s="33">
        <f t="shared" ca="1" si="260"/>
        <v>899923.24315609178</v>
      </c>
      <c r="AH132" s="33">
        <f t="shared" ca="1" si="260"/>
        <v>957651.26801151573</v>
      </c>
      <c r="AI132" s="33">
        <f t="shared" ref="AI132:AJ132" ca="1" si="261">AI129</f>
        <v>1017788.139298124</v>
      </c>
      <c r="AJ132" s="33">
        <f t="shared" ca="1" si="261"/>
        <v>26304524.875237748</v>
      </c>
      <c r="AK132" s="530"/>
      <c r="AL132" s="530"/>
      <c r="AM132" s="530"/>
      <c r="AN132" s="530"/>
      <c r="AO132" s="530"/>
      <c r="AP132" s="530"/>
      <c r="AQ132" s="530"/>
      <c r="AR132" s="530"/>
      <c r="AS132" s="530"/>
      <c r="AT132" s="530"/>
      <c r="AU132" s="530"/>
      <c r="AV132" s="530"/>
      <c r="AW132" s="530"/>
      <c r="AX132" s="530"/>
      <c r="AY132" s="530"/>
      <c r="AZ132" s="530"/>
      <c r="BA132" s="530"/>
      <c r="BB132" s="530"/>
      <c r="BC132" s="530"/>
      <c r="BD132" s="530"/>
      <c r="BE132" s="530"/>
      <c r="BF132" s="530"/>
      <c r="BG132" s="530"/>
      <c r="BH132" s="530"/>
      <c r="BI132" s="530"/>
      <c r="BJ132" s="530"/>
      <c r="BK132" s="530"/>
      <c r="BL132" s="530"/>
      <c r="BM132" s="530"/>
      <c r="BN132" s="530"/>
      <c r="BO132" s="530"/>
      <c r="BP132" s="530"/>
      <c r="BQ132" s="530"/>
      <c r="BR132" s="530"/>
      <c r="BS132" s="530"/>
      <c r="BT132" s="530"/>
      <c r="BU132" s="530"/>
      <c r="BV132" s="530"/>
      <c r="BW132" s="530"/>
      <c r="BX132" s="530"/>
      <c r="BY132" s="530"/>
      <c r="BZ132" s="530"/>
    </row>
    <row r="133" spans="2:78" ht="15" x14ac:dyDescent="0.25">
      <c r="C133" s="118" t="s">
        <v>235</v>
      </c>
      <c r="D133" s="115"/>
      <c r="E133" s="117">
        <f t="shared" ref="E133:AH133" si="262">SUM(E131:E132)</f>
        <v>-4230000</v>
      </c>
      <c r="F133" s="119">
        <f t="shared" ca="1" si="262"/>
        <v>161001.58636190719</v>
      </c>
      <c r="G133" s="119">
        <f t="shared" ca="1" si="262"/>
        <v>280819.33728558733</v>
      </c>
      <c r="H133" s="119">
        <f t="shared" ca="1" si="262"/>
        <v>339261.92745174095</v>
      </c>
      <c r="I133" s="119">
        <f t="shared" ca="1" si="262"/>
        <v>401438.88870825793</v>
      </c>
      <c r="J133" s="119">
        <f t="shared" ca="1" si="262"/>
        <v>455635.06000975776</v>
      </c>
      <c r="K133" s="119">
        <f t="shared" ca="1" si="262"/>
        <v>5244083.7110880092</v>
      </c>
      <c r="L133" s="119">
        <f t="shared" ca="1" si="262"/>
        <v>209985.08156360069</v>
      </c>
      <c r="M133" s="119">
        <f t="shared" ca="1" si="262"/>
        <v>258430.79913880082</v>
      </c>
      <c r="N133" s="119">
        <f t="shared" ca="1" si="262"/>
        <v>308947.69760331756</v>
      </c>
      <c r="O133" s="119">
        <f t="shared" ca="1" si="262"/>
        <v>361621.21386186138</v>
      </c>
      <c r="P133" s="119">
        <f t="shared" ca="1" si="262"/>
        <v>416540.25176747551</v>
      </c>
      <c r="Q133" s="119">
        <f t="shared" ca="1" si="262"/>
        <v>473797.32171927637</v>
      </c>
      <c r="R133" s="119">
        <f t="shared" ca="1" si="262"/>
        <v>533488.68586040859</v>
      </c>
      <c r="S133" s="119">
        <f t="shared" ca="1" si="262"/>
        <v>595714.50910048827</v>
      </c>
      <c r="T133" s="119">
        <f t="shared" ca="1" si="262"/>
        <v>660579.01619578537</v>
      </c>
      <c r="U133" s="119">
        <f t="shared" ca="1" si="262"/>
        <v>728190.65512971545</v>
      </c>
      <c r="V133" s="119">
        <f t="shared" ca="1" si="262"/>
        <v>798662.26704593457</v>
      </c>
      <c r="W133" s="119">
        <f t="shared" ca="1" si="262"/>
        <v>872111.26299641945</v>
      </c>
      <c r="X133" s="119">
        <f t="shared" ca="1" si="262"/>
        <v>948659.8077774049</v>
      </c>
      <c r="Y133" s="119">
        <f t="shared" ca="1" si="262"/>
        <v>1028435.0111369836</v>
      </c>
      <c r="Z133" s="119">
        <f t="shared" ca="1" si="262"/>
        <v>1111569.126649518</v>
      </c>
      <c r="AA133" s="119">
        <f t="shared" ca="1" si="262"/>
        <v>1198199.7585638366</v>
      </c>
      <c r="AB133" s="119">
        <f t="shared" ca="1" si="262"/>
        <v>1288470.0769444448</v>
      </c>
      <c r="AC133" s="119">
        <f t="shared" ca="1" si="262"/>
        <v>1382529.04143778</v>
      </c>
      <c r="AD133" s="119">
        <f t="shared" ca="1" si="262"/>
        <v>1480531.6340088123</v>
      </c>
      <c r="AE133" s="119">
        <f t="shared" ca="1" si="262"/>
        <v>1582639.1010071081</v>
      </c>
      <c r="AF133" s="119">
        <f t="shared" ca="1" si="262"/>
        <v>1689019.2049358422</v>
      </c>
      <c r="AG133" s="119">
        <f t="shared" ca="1" si="262"/>
        <v>1799846.4863121836</v>
      </c>
      <c r="AH133" s="119">
        <f t="shared" ca="1" si="262"/>
        <v>1915302.5360230315</v>
      </c>
      <c r="AI133" s="119">
        <f t="shared" ref="AI133:AJ133" ca="1" si="263">SUM(AI131:AI132)</f>
        <v>2035576.278596248</v>
      </c>
      <c r="AJ133" s="119">
        <f t="shared" ca="1" si="263"/>
        <v>52609049.750475496</v>
      </c>
      <c r="AK133" s="500"/>
      <c r="AL133" s="500"/>
      <c r="AM133" s="500"/>
      <c r="AN133" s="500"/>
      <c r="AO133" s="500"/>
      <c r="AP133" s="500"/>
      <c r="AQ133" s="500"/>
      <c r="AR133" s="500"/>
      <c r="AS133" s="500"/>
      <c r="AT133" s="500"/>
      <c r="AU133" s="500"/>
      <c r="AV133" s="500"/>
      <c r="AW133" s="500"/>
      <c r="AX133" s="500"/>
      <c r="AY133" s="500"/>
      <c r="AZ133" s="500"/>
      <c r="BA133" s="500"/>
      <c r="BB133" s="500"/>
      <c r="BC133" s="500"/>
      <c r="BD133" s="500"/>
      <c r="BE133" s="500"/>
      <c r="BF133" s="500"/>
      <c r="BG133" s="500"/>
      <c r="BH133" s="500"/>
      <c r="BI133" s="500"/>
      <c r="BJ133" s="500"/>
      <c r="BK133" s="500"/>
      <c r="BL133" s="500"/>
      <c r="BM133" s="500"/>
      <c r="BN133" s="500"/>
      <c r="BO133" s="500"/>
      <c r="BP133" s="500"/>
      <c r="BQ133" s="500"/>
      <c r="BR133" s="500"/>
      <c r="BS133" s="500"/>
      <c r="BT133" s="500"/>
      <c r="BU133" s="500"/>
      <c r="BV133" s="500"/>
      <c r="BW133" s="500"/>
      <c r="BX133" s="500"/>
      <c r="BY133" s="500"/>
      <c r="BZ133" s="500"/>
    </row>
    <row r="134" spans="2:78" s="290" customFormat="1" ht="12" x14ac:dyDescent="0.2">
      <c r="B134" s="458"/>
      <c r="C134" s="278"/>
      <c r="D134" s="287"/>
      <c r="E134" s="291" t="s">
        <v>236</v>
      </c>
      <c r="F134" s="288">
        <f t="shared" ref="F134:AH134" ca="1" si="264">F131/-$E$131</f>
        <v>3.8061840747495787E-2</v>
      </c>
      <c r="G134" s="288">
        <f t="shared" ca="1" si="264"/>
        <v>6.6387550185718042E-2</v>
      </c>
      <c r="H134" s="288">
        <f t="shared" ca="1" si="264"/>
        <v>8.0203765355021495E-2</v>
      </c>
      <c r="I134" s="288">
        <f t="shared" ca="1" si="264"/>
        <v>9.4902810569328117E-2</v>
      </c>
      <c r="J134" s="288">
        <f t="shared" ca="1" si="264"/>
        <v>0.10771514421034463</v>
      </c>
      <c r="K134" s="288">
        <f t="shared" ca="1" si="264"/>
        <v>1.0699912504203186</v>
      </c>
      <c r="L134" s="288">
        <f t="shared" ca="1" si="264"/>
        <v>2.4820931626903155E-2</v>
      </c>
      <c r="M134" s="288">
        <f t="shared" ca="1" si="264"/>
        <v>3.0547375784728228E-2</v>
      </c>
      <c r="N134" s="288">
        <f t="shared" ca="1" si="264"/>
        <v>3.651864037864274E-2</v>
      </c>
      <c r="O134" s="288">
        <f t="shared" ca="1" si="264"/>
        <v>4.2744824333553352E-2</v>
      </c>
      <c r="P134" s="288">
        <f t="shared" ca="1" si="264"/>
        <v>4.9236436379134219E-2</v>
      </c>
      <c r="Q134" s="288">
        <f t="shared" ca="1" si="264"/>
        <v>5.6004411550741887E-2</v>
      </c>
      <c r="R134" s="288">
        <f t="shared" ca="1" si="264"/>
        <v>6.3060128352294159E-2</v>
      </c>
      <c r="S134" s="288">
        <f t="shared" ca="1" si="264"/>
        <v>7.0415426607622733E-2</v>
      </c>
      <c r="T134" s="288">
        <f t="shared" ca="1" si="264"/>
        <v>7.8082626027870611E-2</v>
      </c>
      <c r="U134" s="288">
        <f t="shared" ca="1" si="264"/>
        <v>8.6074545523607021E-2</v>
      </c>
      <c r="V134" s="288">
        <f t="shared" ca="1" si="264"/>
        <v>9.4404523291481621E-2</v>
      </c>
      <c r="W134" s="288">
        <f t="shared" ca="1" si="264"/>
        <v>0.10308643770643255</v>
      </c>
      <c r="X134" s="288">
        <f t="shared" ca="1" si="264"/>
        <v>0.1121347290517027</v>
      </c>
      <c r="Y134" s="288">
        <f t="shared" ca="1" si="264"/>
        <v>0.12156442212021083</v>
      </c>
      <c r="Z134" s="288">
        <f t="shared" ca="1" si="264"/>
        <v>0.13139114972216526</v>
      </c>
      <c r="AA134" s="288">
        <f t="shared" ca="1" si="264"/>
        <v>0.14163117713520526</v>
      </c>
      <c r="AB134" s="288">
        <f t="shared" ca="1" si="264"/>
        <v>0.15230142753480436</v>
      </c>
      <c r="AC134" s="288">
        <f t="shared" ca="1" si="264"/>
        <v>0.16341950844418204</v>
      </c>
      <c r="AD134" s="288">
        <f t="shared" ca="1" si="264"/>
        <v>0.17500373924454046</v>
      </c>
      <c r="AE134" s="288">
        <f t="shared" ca="1" si="264"/>
        <v>0.18707317978807425</v>
      </c>
      <c r="AF134" s="288">
        <f t="shared" ca="1" si="264"/>
        <v>0.19964766015790097</v>
      </c>
      <c r="AG134" s="288">
        <f t="shared" ca="1" si="264"/>
        <v>0.21274781162082548</v>
      </c>
      <c r="AH134" s="288">
        <f t="shared" ca="1" si="264"/>
        <v>0.22639509882068928</v>
      </c>
      <c r="AI134" s="288">
        <f t="shared" ref="AI134:AJ134" ca="1" si="265">AI131/-$E$131</f>
        <v>0.24061185326196785</v>
      </c>
      <c r="AJ134" s="288">
        <f t="shared" ca="1" si="265"/>
        <v>6.2185638002926122</v>
      </c>
      <c r="AK134" s="289"/>
      <c r="AL134" s="289"/>
      <c r="AM134" s="289"/>
      <c r="AN134" s="289"/>
      <c r="AO134" s="289"/>
      <c r="AP134" s="289"/>
      <c r="AQ134" s="289"/>
      <c r="AR134" s="289"/>
      <c r="AS134" s="289"/>
      <c r="AT134" s="289"/>
      <c r="AU134" s="289"/>
      <c r="AV134" s="289"/>
      <c r="AW134" s="289"/>
      <c r="AX134" s="289"/>
      <c r="AY134" s="289"/>
      <c r="AZ134" s="289"/>
      <c r="BA134" s="289"/>
      <c r="BB134" s="289"/>
      <c r="BC134" s="289"/>
      <c r="BD134" s="289"/>
      <c r="BE134" s="289"/>
      <c r="BF134" s="289"/>
      <c r="BG134" s="289"/>
      <c r="BH134" s="289"/>
      <c r="BI134" s="289"/>
      <c r="BJ134" s="289"/>
      <c r="BK134" s="289"/>
      <c r="BL134" s="289"/>
      <c r="BM134" s="289"/>
      <c r="BN134" s="289"/>
      <c r="BO134" s="289"/>
      <c r="BP134" s="289"/>
      <c r="BQ134" s="289"/>
      <c r="BR134" s="289"/>
      <c r="BS134" s="289"/>
      <c r="BT134" s="289"/>
      <c r="BU134" s="289"/>
      <c r="BV134" s="289"/>
      <c r="BW134" s="289"/>
      <c r="BX134" s="289"/>
      <c r="BY134" s="289"/>
      <c r="BZ134" s="289"/>
    </row>
    <row r="135" spans="2:78" x14ac:dyDescent="0.2">
      <c r="C135" s="11" t="s">
        <v>137</v>
      </c>
      <c r="D135" s="37">
        <f ca="1">IRR(E131:AJ131)</f>
        <v>0.14666612540249613</v>
      </c>
      <c r="E135" s="501"/>
      <c r="F135" s="530"/>
      <c r="G135" s="272" t="str">
        <f ca="1">"Cumm.= "&amp;TEXT((SUM($F134:G134)),"0.0%")</f>
        <v>Cumm.= 10.4%</v>
      </c>
      <c r="H135" s="272" t="str">
        <f ca="1">"Cumm.= "&amp;TEXT((SUM($F134:H134)),"0.0%")</f>
        <v>Cumm.= 18.5%</v>
      </c>
      <c r="I135" s="272" t="str">
        <f ca="1">"Cumm.= "&amp;TEXT((SUM($F134:I134)),"0.0%")</f>
        <v>Cumm.= 28.0%</v>
      </c>
      <c r="J135" s="272" t="str">
        <f ca="1">"Cumm.= "&amp;TEXT((SUM($F134:J134)),"0.0%")</f>
        <v>Cumm.= 38.7%</v>
      </c>
      <c r="K135" s="272" t="str">
        <f ca="1">"Cumm.= "&amp;TEXT((SUM($F134:K134)),"0.0%")</f>
        <v>Cumm.= 145.7%</v>
      </c>
      <c r="L135" s="272" t="str">
        <f ca="1">"Cumm.= "&amp;TEXT((SUM($F134:L134)),"0.0%")</f>
        <v>Cumm.= 148.2%</v>
      </c>
      <c r="M135" s="272" t="str">
        <f ca="1">"Cumm.= "&amp;TEXT((SUM($F134:M134)),"0.0%")</f>
        <v>Cumm.= 151.3%</v>
      </c>
      <c r="N135" s="272" t="str">
        <f ca="1">"Cumm.= "&amp;TEXT((SUM($F134:N134)),"0.0%")</f>
        <v>Cumm.= 154.9%</v>
      </c>
      <c r="O135" s="272" t="str">
        <f ca="1">"Cumm.= "&amp;TEXT((SUM($F134:O134)),"0.0%")</f>
        <v>Cumm.= 159.2%</v>
      </c>
      <c r="P135" s="272" t="str">
        <f ca="1">"Cumm.= "&amp;TEXT((SUM($F134:P134)),"0.0%")</f>
        <v>Cumm.= 164.1%</v>
      </c>
      <c r="Q135" s="272" t="str">
        <f ca="1">"Cumm.= "&amp;TEXT((SUM($F134:Q134)),"0.0%")</f>
        <v>Cumm.= 169.7%</v>
      </c>
      <c r="R135" s="272" t="str">
        <f ca="1">"Cumm.= "&amp;TEXT((SUM($F134:R134)),"0.0%")</f>
        <v>Cumm.= 176.0%</v>
      </c>
      <c r="S135" s="272" t="str">
        <f ca="1">"Cumm.= "&amp;TEXT((SUM($F134:S134)),"0.0%")</f>
        <v>Cumm.= 183.1%</v>
      </c>
      <c r="T135" s="272" t="str">
        <f ca="1">"Cumm.= "&amp;TEXT((SUM($F134:T134)),"0.0%")</f>
        <v>Cumm.= 190.9%</v>
      </c>
      <c r="U135" s="272" t="str">
        <f ca="1">"Cumm.= "&amp;TEXT((SUM($F134:U134)),"0.0%")</f>
        <v>Cumm.= 199.5%</v>
      </c>
      <c r="V135" s="272" t="str">
        <f ca="1">"Cumm.= "&amp;TEXT((SUM($F134:V134)),"0.0%")</f>
        <v>Cumm.= 208.9%</v>
      </c>
      <c r="W135" s="272" t="str">
        <f ca="1">"Cumm.= "&amp;TEXT((SUM($F134:W134)),"0.0%")</f>
        <v>Cumm.= 219.2%</v>
      </c>
      <c r="X135" s="272" t="str">
        <f ca="1">"Cumm.= "&amp;TEXT((SUM($F134:X134)),"0.0%")</f>
        <v>Cumm.= 230.4%</v>
      </c>
      <c r="Y135" s="272" t="str">
        <f ca="1">"Cumm.= "&amp;TEXT((SUM($F134:Y134)),"0.0%")</f>
        <v>Cumm.= 242.6%</v>
      </c>
      <c r="Z135" s="272" t="str">
        <f ca="1">"Cumm.= "&amp;TEXT((SUM($F134:Z134)),"0.0%")</f>
        <v>Cumm.= 255.7%</v>
      </c>
      <c r="AA135" s="272" t="str">
        <f ca="1">"Cumm.= "&amp;TEXT((SUM($F134:AA134)),"0.0%")</f>
        <v>Cumm.= 269.9%</v>
      </c>
      <c r="AB135" s="272" t="str">
        <f ca="1">"Cumm.= "&amp;TEXT((SUM($F134:AB134)),"0.0%")</f>
        <v>Cumm.= 285.1%</v>
      </c>
      <c r="AC135" s="272" t="str">
        <f ca="1">"Cumm.= "&amp;TEXT((SUM($F134:AC134)),"0.0%")</f>
        <v>Cumm.= 301.5%</v>
      </c>
      <c r="AD135" s="272" t="str">
        <f ca="1">"Cumm.= "&amp;TEXT((SUM($F134:AD134)),"0.0%")</f>
        <v>Cumm.= 319.0%</v>
      </c>
      <c r="AE135" s="272" t="str">
        <f ca="1">"Cumm.= "&amp;TEXT((SUM($F134:AE134)),"0.0%")</f>
        <v>Cumm.= 337.7%</v>
      </c>
      <c r="AF135" s="272" t="str">
        <f ca="1">"Cumm.= "&amp;TEXT((SUM($F134:AF134)),"0.0%")</f>
        <v>Cumm.= 357.6%</v>
      </c>
      <c r="AG135" s="272" t="str">
        <f ca="1">"Cumm.= "&amp;TEXT((SUM($F134:AG134)),"0.0%")</f>
        <v>Cumm.= 378.9%</v>
      </c>
      <c r="AH135" s="272" t="str">
        <f ca="1">"Cumm.= "&amp;TEXT((SUM($F134:AH134)),"0.0%")</f>
        <v>Cumm.= 401.6%</v>
      </c>
      <c r="AI135" s="272" t="str">
        <f ca="1">"Cumm.= "&amp;TEXT((SUM($F134:AI134)),"0.0%")</f>
        <v>Cumm.= 425.6%</v>
      </c>
      <c r="AJ135" s="272" t="str">
        <f ca="1">"Cumm.= "&amp;TEXT((SUM($F134:AJ134)),"0.0%")</f>
        <v>Cumm.= 1047.5%</v>
      </c>
      <c r="AK135" s="530"/>
      <c r="AL135" s="530"/>
      <c r="AM135" s="530"/>
      <c r="AN135" s="530"/>
      <c r="AO135" s="530"/>
      <c r="AP135" s="530"/>
      <c r="AQ135" s="530"/>
      <c r="AR135" s="530"/>
      <c r="AS135" s="530"/>
      <c r="AT135" s="530"/>
      <c r="AU135" s="530"/>
      <c r="AV135" s="530"/>
      <c r="AW135" s="530"/>
      <c r="AX135" s="530"/>
      <c r="AY135" s="530"/>
      <c r="AZ135" s="530"/>
      <c r="BA135" s="530"/>
      <c r="BB135" s="530"/>
      <c r="BC135" s="530"/>
      <c r="BD135" s="530"/>
      <c r="BE135" s="530"/>
      <c r="BF135" s="530"/>
      <c r="BG135" s="530"/>
      <c r="BH135" s="530"/>
      <c r="BI135" s="530"/>
      <c r="BJ135" s="530"/>
      <c r="BK135" s="530"/>
      <c r="BL135" s="530"/>
      <c r="BM135" s="530"/>
      <c r="BN135" s="530"/>
      <c r="BO135" s="530"/>
      <c r="BP135" s="530"/>
      <c r="BQ135" s="530"/>
      <c r="BR135" s="530"/>
      <c r="BS135" s="530"/>
      <c r="BT135" s="530"/>
      <c r="BU135" s="530"/>
      <c r="BV135" s="530"/>
      <c r="BW135" s="530"/>
      <c r="BX135" s="530"/>
      <c r="BY135" s="530"/>
      <c r="BZ135" s="530"/>
    </row>
    <row r="136" spans="2:78" x14ac:dyDescent="0.2">
      <c r="C136" s="11"/>
      <c r="D136" s="28"/>
      <c r="E136" s="529"/>
      <c r="F136" s="530"/>
      <c r="G136" s="530"/>
      <c r="H136" s="530"/>
      <c r="I136" s="530"/>
      <c r="J136" s="530"/>
      <c r="K136" s="530"/>
      <c r="L136" s="530"/>
      <c r="M136" s="530"/>
      <c r="N136" s="530"/>
      <c r="O136" s="530"/>
      <c r="P136" s="500"/>
      <c r="Q136" s="530"/>
      <c r="R136" s="530"/>
      <c r="S136" s="530"/>
      <c r="T136" s="530"/>
      <c r="U136" s="530"/>
      <c r="V136" s="530"/>
      <c r="W136" s="530"/>
      <c r="X136" s="530"/>
      <c r="Y136" s="530"/>
      <c r="Z136" s="530"/>
      <c r="AA136" s="530"/>
      <c r="AB136" s="530"/>
      <c r="AC136" s="530"/>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0"/>
      <c r="AY136" s="530"/>
      <c r="AZ136" s="530"/>
      <c r="BA136" s="530"/>
      <c r="BB136" s="530"/>
      <c r="BC136" s="530"/>
      <c r="BD136" s="530"/>
      <c r="BE136" s="530"/>
      <c r="BF136" s="530"/>
      <c r="BG136" s="530"/>
      <c r="BH136" s="530"/>
      <c r="BI136" s="530"/>
      <c r="BJ136" s="530"/>
      <c r="BK136" s="530"/>
      <c r="BL136" s="530"/>
      <c r="BM136" s="530"/>
      <c r="BN136" s="530"/>
      <c r="BO136" s="530"/>
      <c r="BP136" s="530"/>
      <c r="BQ136" s="530"/>
      <c r="BR136" s="530"/>
      <c r="BS136" s="530"/>
      <c r="BT136" s="530"/>
      <c r="BU136" s="530"/>
      <c r="BV136" s="530"/>
      <c r="BW136" s="530"/>
      <c r="BX136" s="530"/>
      <c r="BY136" s="530"/>
      <c r="BZ136" s="530"/>
    </row>
    <row r="137" spans="2:78" x14ac:dyDescent="0.2">
      <c r="C137" s="500" t="s">
        <v>237</v>
      </c>
      <c r="D137" s="12">
        <f ca="1">SUM(F131:J131)</f>
        <v>1638156.7998172513</v>
      </c>
      <c r="E137" s="529"/>
      <c r="F137" s="530"/>
      <c r="G137" s="530"/>
      <c r="H137" s="530"/>
      <c r="I137" s="530"/>
      <c r="J137" s="530"/>
      <c r="K137" s="530"/>
      <c r="L137" s="530"/>
      <c r="M137" s="530"/>
      <c r="N137" s="530"/>
      <c r="O137" s="530"/>
      <c r="P137" s="530"/>
      <c r="Q137" s="530"/>
      <c r="R137" s="530"/>
      <c r="S137" s="530"/>
      <c r="T137" s="530"/>
      <c r="U137" s="530"/>
      <c r="V137" s="530"/>
      <c r="W137" s="530"/>
      <c r="X137" s="530"/>
      <c r="Y137" s="530"/>
      <c r="Z137" s="530"/>
      <c r="AA137" s="530"/>
      <c r="AB137" s="530"/>
      <c r="AC137" s="530"/>
      <c r="AD137" s="530"/>
      <c r="AE137" s="530"/>
      <c r="AF137" s="530"/>
      <c r="AG137" s="530"/>
      <c r="AH137" s="530"/>
      <c r="AI137" s="530"/>
      <c r="AJ137" s="530"/>
      <c r="AK137" s="530"/>
      <c r="AL137" s="530"/>
      <c r="AM137" s="530"/>
      <c r="AN137" s="530"/>
      <c r="AO137" s="530"/>
      <c r="AP137" s="530"/>
      <c r="AQ137" s="530"/>
      <c r="AR137" s="530"/>
      <c r="AS137" s="530"/>
      <c r="AT137" s="530"/>
      <c r="AU137" s="530"/>
      <c r="AV137" s="530"/>
      <c r="AW137" s="530"/>
      <c r="AX137" s="530"/>
      <c r="AY137" s="530"/>
      <c r="AZ137" s="530"/>
      <c r="BA137" s="530"/>
      <c r="BB137" s="530"/>
      <c r="BC137" s="530"/>
      <c r="BD137" s="530"/>
      <c r="BE137" s="530"/>
      <c r="BF137" s="530"/>
      <c r="BG137" s="530"/>
      <c r="BH137" s="530"/>
      <c r="BI137" s="530"/>
      <c r="BJ137" s="530"/>
      <c r="BK137" s="530"/>
      <c r="BL137" s="530"/>
      <c r="BM137" s="530"/>
      <c r="BN137" s="530"/>
      <c r="BO137" s="530"/>
      <c r="BP137" s="530"/>
      <c r="BQ137" s="530"/>
      <c r="BR137" s="530"/>
      <c r="BS137" s="530"/>
      <c r="BT137" s="530"/>
      <c r="BU137" s="530"/>
      <c r="BV137" s="530"/>
      <c r="BW137" s="530"/>
      <c r="BX137" s="530"/>
      <c r="BY137" s="530"/>
      <c r="BZ137" s="530"/>
    </row>
    <row r="138" spans="2:78" x14ac:dyDescent="0.2">
      <c r="C138" s="500" t="s">
        <v>238</v>
      </c>
      <c r="D138" s="12">
        <f ca="1">SUM(F132:J132)</f>
        <v>0</v>
      </c>
      <c r="E138" s="529"/>
      <c r="F138" s="530"/>
      <c r="G138" s="530"/>
      <c r="H138" s="530"/>
      <c r="I138" s="530"/>
      <c r="J138" s="530"/>
      <c r="K138" s="530"/>
      <c r="L138" s="530"/>
      <c r="M138" s="530"/>
      <c r="N138" s="530"/>
      <c r="O138" s="530"/>
      <c r="P138" s="530"/>
      <c r="Q138" s="530"/>
      <c r="R138" s="530"/>
      <c r="S138" s="530"/>
      <c r="T138" s="530"/>
      <c r="U138" s="530"/>
      <c r="V138" s="530"/>
      <c r="W138" s="530"/>
      <c r="X138" s="530"/>
      <c r="Y138" s="530"/>
      <c r="Z138" s="530"/>
      <c r="AA138" s="530"/>
      <c r="AB138" s="530"/>
      <c r="AC138" s="530"/>
      <c r="AD138" s="530"/>
      <c r="AE138" s="530"/>
      <c r="AF138" s="530"/>
      <c r="AG138" s="530"/>
      <c r="AH138" s="530"/>
      <c r="AI138" s="530"/>
      <c r="AJ138" s="530"/>
      <c r="AK138" s="530"/>
      <c r="AL138" s="530"/>
      <c r="AM138" s="530"/>
      <c r="AN138" s="530"/>
      <c r="AO138" s="530"/>
      <c r="AP138" s="530"/>
      <c r="AQ138" s="530"/>
      <c r="AR138" s="530"/>
      <c r="AS138" s="530"/>
      <c r="AT138" s="530"/>
      <c r="AU138" s="530"/>
      <c r="AV138" s="530"/>
      <c r="AW138" s="530"/>
      <c r="AX138" s="530"/>
      <c r="AY138" s="530"/>
      <c r="AZ138" s="530"/>
      <c r="BA138" s="530"/>
      <c r="BB138" s="530"/>
      <c r="BC138" s="530"/>
      <c r="BD138" s="530"/>
      <c r="BE138" s="530"/>
      <c r="BF138" s="530"/>
      <c r="BG138" s="530"/>
      <c r="BH138" s="530"/>
      <c r="BI138" s="530"/>
      <c r="BJ138" s="530"/>
      <c r="BK138" s="530"/>
      <c r="BL138" s="530"/>
      <c r="BM138" s="530"/>
      <c r="BN138" s="530"/>
      <c r="BO138" s="530"/>
      <c r="BP138" s="530"/>
      <c r="BQ138" s="530"/>
      <c r="BR138" s="530"/>
      <c r="BS138" s="530"/>
      <c r="BT138" s="530"/>
      <c r="BU138" s="530"/>
      <c r="BV138" s="530"/>
      <c r="BW138" s="530"/>
      <c r="BX138" s="530"/>
      <c r="BY138" s="530"/>
      <c r="BZ138" s="530"/>
    </row>
    <row r="139" spans="2:78" x14ac:dyDescent="0.2">
      <c r="C139" s="14"/>
      <c r="D139" s="28"/>
      <c r="E139" s="500"/>
      <c r="F139" s="530"/>
      <c r="G139" s="530"/>
      <c r="H139" s="530"/>
      <c r="I139" s="530"/>
      <c r="J139" s="530"/>
      <c r="K139" s="530"/>
      <c r="L139" s="530"/>
      <c r="M139" s="530"/>
      <c r="N139" s="530"/>
      <c r="O139" s="530"/>
      <c r="P139" s="530"/>
      <c r="Q139" s="530"/>
      <c r="R139" s="530"/>
      <c r="S139" s="530"/>
      <c r="T139" s="530"/>
      <c r="U139" s="530"/>
      <c r="V139" s="530"/>
      <c r="W139" s="530"/>
      <c r="X139" s="530"/>
      <c r="Y139" s="530"/>
      <c r="Z139" s="530"/>
      <c r="AA139" s="530"/>
      <c r="AB139" s="530"/>
      <c r="AC139" s="530"/>
      <c r="AD139" s="530"/>
      <c r="AE139" s="530"/>
      <c r="AF139" s="530"/>
      <c r="AG139" s="530"/>
      <c r="AH139" s="530"/>
      <c r="AI139" s="530"/>
      <c r="AJ139" s="530"/>
      <c r="AK139" s="530"/>
      <c r="AL139" s="530"/>
      <c r="AM139" s="530"/>
      <c r="AN139" s="530"/>
      <c r="AO139" s="530"/>
      <c r="AP139" s="530"/>
      <c r="AQ139" s="530"/>
      <c r="AR139" s="530"/>
      <c r="AS139" s="530"/>
      <c r="AT139" s="530"/>
      <c r="AU139" s="530"/>
      <c r="AV139" s="530"/>
      <c r="AW139" s="530"/>
      <c r="AX139" s="530"/>
      <c r="AY139" s="530"/>
      <c r="AZ139" s="530"/>
      <c r="BA139" s="530"/>
      <c r="BB139" s="530"/>
      <c r="BC139" s="530"/>
      <c r="BD139" s="530"/>
      <c r="BE139" s="530"/>
      <c r="BF139" s="530"/>
      <c r="BG139" s="530"/>
      <c r="BH139" s="530"/>
      <c r="BI139" s="530"/>
      <c r="BJ139" s="530"/>
      <c r="BK139" s="530"/>
      <c r="BL139" s="530"/>
      <c r="BM139" s="530"/>
      <c r="BN139" s="530"/>
      <c r="BO139" s="530"/>
      <c r="BP139" s="530"/>
      <c r="BQ139" s="530"/>
      <c r="BR139" s="530"/>
      <c r="BS139" s="530"/>
      <c r="BT139" s="530"/>
      <c r="BU139" s="530"/>
      <c r="BV139" s="530"/>
      <c r="BW139" s="530"/>
      <c r="BX139" s="530"/>
      <c r="BY139" s="530"/>
      <c r="BZ139" s="530"/>
    </row>
    <row r="140" spans="2:78" x14ac:dyDescent="0.2">
      <c r="C140" s="11" t="s">
        <v>239</v>
      </c>
      <c r="D140" s="28"/>
      <c r="E140" s="500"/>
      <c r="F140" s="530"/>
      <c r="G140" s="530"/>
      <c r="H140" s="530"/>
      <c r="I140" s="530"/>
      <c r="J140" s="530"/>
      <c r="K140" s="530"/>
      <c r="L140" s="530"/>
      <c r="M140" s="530"/>
      <c r="N140" s="530"/>
      <c r="O140" s="530"/>
      <c r="P140" s="530"/>
      <c r="Q140" s="530"/>
      <c r="R140" s="530"/>
      <c r="S140" s="530"/>
      <c r="T140" s="530"/>
      <c r="U140" s="530"/>
      <c r="V140" s="530"/>
      <c r="W140" s="530"/>
      <c r="X140" s="530"/>
      <c r="Y140" s="530"/>
      <c r="Z140" s="530"/>
      <c r="AA140" s="530"/>
      <c r="AB140" s="530"/>
      <c r="AC140" s="530"/>
      <c r="AD140" s="530"/>
      <c r="AE140" s="530"/>
      <c r="AF140" s="530"/>
      <c r="AG140" s="530"/>
      <c r="AH140" s="530"/>
      <c r="AI140" s="530"/>
      <c r="AJ140" s="530"/>
      <c r="AK140" s="530"/>
      <c r="AL140" s="530"/>
      <c r="AM140" s="530"/>
      <c r="AN140" s="530"/>
      <c r="AO140" s="530"/>
      <c r="AP140" s="530"/>
      <c r="AQ140" s="530"/>
      <c r="AR140" s="530"/>
      <c r="AS140" s="530"/>
      <c r="AT140" s="530"/>
      <c r="AU140" s="530"/>
      <c r="AV140" s="530"/>
      <c r="AW140" s="530"/>
      <c r="AX140" s="530"/>
      <c r="AY140" s="530"/>
      <c r="AZ140" s="530"/>
      <c r="BA140" s="530"/>
      <c r="BB140" s="530"/>
      <c r="BC140" s="530"/>
      <c r="BD140" s="530"/>
      <c r="BE140" s="530"/>
      <c r="BF140" s="530"/>
      <c r="BG140" s="530"/>
      <c r="BH140" s="530"/>
      <c r="BI140" s="530"/>
      <c r="BJ140" s="530"/>
      <c r="BK140" s="530"/>
      <c r="BL140" s="530"/>
      <c r="BM140" s="530"/>
      <c r="BN140" s="530"/>
      <c r="BO140" s="530"/>
      <c r="BP140" s="530"/>
      <c r="BQ140" s="530"/>
      <c r="BR140" s="530"/>
      <c r="BS140" s="530"/>
      <c r="BT140" s="530"/>
      <c r="BU140" s="530"/>
      <c r="BV140" s="530"/>
      <c r="BW140" s="530"/>
      <c r="BX140" s="530"/>
      <c r="BY140" s="530"/>
      <c r="BZ140" s="530"/>
    </row>
    <row r="141" spans="2:78" x14ac:dyDescent="0.2">
      <c r="C141" s="503" t="s">
        <v>240</v>
      </c>
      <c r="E141" s="539"/>
      <c r="F141" s="12">
        <f>(IF(N5="Yes",-(MIN(-E131,Notes!D87)),-Notes!D87))-(ResAssets/27.5)-(CommAssets/39)</f>
        <v>-7872013.3875524476</v>
      </c>
      <c r="G141" s="12">
        <f t="shared" ref="G141:AF141" si="266">(-ResAssets/27.5)+(-CommAssets/39)</f>
        <v>-8540.3175524475519</v>
      </c>
      <c r="H141" s="12">
        <f t="shared" si="266"/>
        <v>-8540.3175524475519</v>
      </c>
      <c r="I141" s="12">
        <f t="shared" si="266"/>
        <v>-8540.3175524475519</v>
      </c>
      <c r="J141" s="12">
        <f t="shared" si="266"/>
        <v>-8540.3175524475519</v>
      </c>
      <c r="K141" s="12">
        <f t="shared" si="266"/>
        <v>-8540.3175524475519</v>
      </c>
      <c r="L141" s="12">
        <f t="shared" si="266"/>
        <v>-8540.3175524475519</v>
      </c>
      <c r="M141" s="12">
        <f t="shared" si="266"/>
        <v>-8540.3175524475519</v>
      </c>
      <c r="N141" s="12">
        <f t="shared" si="266"/>
        <v>-8540.3175524475519</v>
      </c>
      <c r="O141" s="12">
        <f t="shared" si="266"/>
        <v>-8540.3175524475519</v>
      </c>
      <c r="P141" s="12">
        <f t="shared" si="266"/>
        <v>-8540.3175524475519</v>
      </c>
      <c r="Q141" s="12">
        <f t="shared" si="266"/>
        <v>-8540.3175524475519</v>
      </c>
      <c r="R141" s="12">
        <f t="shared" si="266"/>
        <v>-8540.3175524475519</v>
      </c>
      <c r="S141" s="12">
        <f t="shared" si="266"/>
        <v>-8540.3175524475519</v>
      </c>
      <c r="T141" s="12">
        <f t="shared" si="266"/>
        <v>-8540.3175524475519</v>
      </c>
      <c r="U141" s="12">
        <f t="shared" si="266"/>
        <v>-8540.3175524475519</v>
      </c>
      <c r="V141" s="12">
        <f t="shared" si="266"/>
        <v>-8540.3175524475519</v>
      </c>
      <c r="W141" s="12">
        <f t="shared" si="266"/>
        <v>-8540.3175524475519</v>
      </c>
      <c r="X141" s="12">
        <f t="shared" si="266"/>
        <v>-8540.3175524475519</v>
      </c>
      <c r="Y141" s="12">
        <f t="shared" si="266"/>
        <v>-8540.3175524475519</v>
      </c>
      <c r="Z141" s="12">
        <f t="shared" si="266"/>
        <v>-8540.3175524475519</v>
      </c>
      <c r="AA141" s="12">
        <f t="shared" si="266"/>
        <v>-8540.3175524475519</v>
      </c>
      <c r="AB141" s="12">
        <f t="shared" si="266"/>
        <v>-8540.3175524475519</v>
      </c>
      <c r="AC141" s="12">
        <f t="shared" si="266"/>
        <v>-8540.3175524475519</v>
      </c>
      <c r="AD141" s="12">
        <f t="shared" si="266"/>
        <v>-8540.3175524475519</v>
      </c>
      <c r="AE141" s="12">
        <f t="shared" si="266"/>
        <v>-8540.3175524475519</v>
      </c>
      <c r="AF141" s="12">
        <f t="shared" si="266"/>
        <v>-8540.3175524475519</v>
      </c>
      <c r="AG141" s="12">
        <f>((-ResAssets/(27.5))/2)+(-CommAssets/39)</f>
        <v>-7994.8630069930077</v>
      </c>
      <c r="AH141" s="12">
        <f>-CommAssets/39</f>
        <v>-7449.4084615384618</v>
      </c>
      <c r="AI141" s="12">
        <f>-CommAssets/39</f>
        <v>-7449.4084615384618</v>
      </c>
      <c r="AJ141" s="12">
        <f>-CommAssets/39</f>
        <v>-7449.4084615384618</v>
      </c>
      <c r="AK141" s="500"/>
      <c r="AL141" s="500"/>
      <c r="AM141" s="500"/>
      <c r="AN141" s="500"/>
      <c r="AO141" s="500"/>
      <c r="AP141" s="500"/>
      <c r="AQ141" s="500"/>
      <c r="AR141" s="500"/>
      <c r="AS141" s="500"/>
      <c r="AT141" s="500"/>
      <c r="AU141" s="500"/>
      <c r="AV141" s="500"/>
      <c r="AW141" s="500"/>
      <c r="AX141" s="500"/>
      <c r="AY141" s="500"/>
      <c r="AZ141" s="500"/>
      <c r="BA141" s="500"/>
      <c r="BB141" s="500"/>
      <c r="BC141" s="500"/>
      <c r="BD141" s="500"/>
      <c r="BE141" s="500"/>
      <c r="BF141" s="500"/>
      <c r="BG141" s="500"/>
      <c r="BH141" s="500"/>
      <c r="BI141" s="500"/>
      <c r="BJ141" s="500"/>
      <c r="BK141" s="500"/>
      <c r="BL141" s="500"/>
      <c r="BM141" s="500"/>
      <c r="BN141" s="500"/>
      <c r="BO141" s="500"/>
      <c r="BP141" s="500"/>
      <c r="BQ141" s="500"/>
      <c r="BR141" s="500"/>
      <c r="BS141" s="500"/>
      <c r="BT141" s="500"/>
      <c r="BU141" s="500"/>
      <c r="BV141" s="500"/>
      <c r="BW141" s="500"/>
      <c r="BX141" s="500"/>
      <c r="BY141" s="500"/>
      <c r="BZ141" s="500"/>
    </row>
    <row r="142" spans="2:78" x14ac:dyDescent="0.2">
      <c r="C142" s="114" t="s">
        <v>241</v>
      </c>
      <c r="D142" s="115"/>
      <c r="E142" s="116"/>
      <c r="F142" s="117">
        <f ca="1">F86-(F97)+F141</f>
        <v>-7636839.1701184474</v>
      </c>
      <c r="G142" s="117">
        <f ca="1">G86-(G97)+G141</f>
        <v>351155.04550993413</v>
      </c>
      <c r="H142" s="117">
        <f ca="1">H86-(H97)+H141</f>
        <v>414599.27949813189</v>
      </c>
      <c r="I142" s="117">
        <f ca="1">I86-(I97)+I141</f>
        <v>482095.04610551271</v>
      </c>
      <c r="J142" s="117">
        <f ca="1">J86-(J97)+J141</f>
        <v>541947.29596176581</v>
      </c>
      <c r="K142" s="117">
        <f t="shared" ref="K142:AH142" ca="1" si="267">(K86-K97)+(K141/2)</f>
        <v>596778.65808830992</v>
      </c>
      <c r="L142" s="117">
        <f t="shared" ca="1" si="267"/>
        <v>321287.88835612824</v>
      </c>
      <c r="M142" s="117">
        <f t="shared" ca="1" si="267"/>
        <v>377355.40223357594</v>
      </c>
      <c r="N142" s="117">
        <f t="shared" ca="1" si="267"/>
        <v>435996.73858773115</v>
      </c>
      <c r="O142" s="117">
        <f t="shared" ca="1" si="267"/>
        <v>497330.48248882289</v>
      </c>
      <c r="P142" s="117">
        <f t="shared" ca="1" si="267"/>
        <v>561480.87200787</v>
      </c>
      <c r="Q142" s="117">
        <f t="shared" ca="1" si="267"/>
        <v>628578.08198002714</v>
      </c>
      <c r="R142" s="117">
        <f t="shared" ca="1" si="267"/>
        <v>698758.52287556662</v>
      </c>
      <c r="S142" s="117">
        <f t="shared" ca="1" si="267"/>
        <v>772165.15562976326</v>
      </c>
      <c r="T142" s="117">
        <f t="shared" ca="1" si="267"/>
        <v>848947.82333328039</v>
      </c>
      <c r="U142" s="117">
        <f t="shared" ca="1" si="267"/>
        <v>929263.60073804122</v>
      </c>
      <c r="V142" s="117">
        <f t="shared" ca="1" si="267"/>
        <v>1013277.1625902872</v>
      </c>
      <c r="W142" s="117">
        <f t="shared" ca="1" si="267"/>
        <v>1101161.1718626842</v>
      </c>
      <c r="X142" s="117">
        <f t="shared" ca="1" si="267"/>
        <v>1193096.6890212176</v>
      </c>
      <c r="Y142" s="117">
        <f t="shared" ca="1" si="267"/>
        <v>1289273.6035304512</v>
      </c>
      <c r="Z142" s="117">
        <f t="shared" ca="1" si="267"/>
        <v>1389891.0888727279</v>
      </c>
      <c r="AA142" s="117">
        <f t="shared" ca="1" si="267"/>
        <v>1495158.0824333741</v>
      </c>
      <c r="AB142" s="117">
        <f t="shared" ca="1" si="267"/>
        <v>1605293.7916851314</v>
      </c>
      <c r="AC142" s="117">
        <f t="shared" ca="1" si="267"/>
        <v>1720528.2281913371</v>
      </c>
      <c r="AD142" s="117">
        <f t="shared" ca="1" si="267"/>
        <v>1841102.771038922</v>
      </c>
      <c r="AE142" s="117">
        <f t="shared" ca="1" si="267"/>
        <v>1967270.7614096124</v>
      </c>
      <c r="AF142" s="117">
        <f t="shared" ca="1" si="267"/>
        <v>2099298.1301010605</v>
      </c>
      <c r="AG142" s="117">
        <f t="shared" ca="1" si="267"/>
        <v>2237736.7871921421</v>
      </c>
      <c r="AH142" s="117">
        <f t="shared" ca="1" si="267"/>
        <v>2382607.1395269642</v>
      </c>
      <c r="AI142" s="117">
        <f t="shared" ref="AI142:AJ142" ca="1" si="268">(AI86-AI97)+(AI141/2)</f>
        <v>2533944.2836342263</v>
      </c>
      <c r="AJ142" s="117">
        <f t="shared" ca="1" si="268"/>
        <v>2692344.2400120501</v>
      </c>
      <c r="AK142" s="500"/>
      <c r="AL142" s="500"/>
      <c r="AM142" s="500"/>
      <c r="AN142" s="500"/>
      <c r="AO142" s="500"/>
      <c r="AP142" s="500"/>
      <c r="AQ142" s="500"/>
      <c r="AR142" s="500"/>
      <c r="AS142" s="500"/>
      <c r="AT142" s="500"/>
      <c r="AU142" s="500"/>
      <c r="AV142" s="500"/>
      <c r="AW142" s="500"/>
      <c r="AX142" s="500"/>
      <c r="AY142" s="500"/>
      <c r="AZ142" s="500"/>
      <c r="BA142" s="500"/>
      <c r="BB142" s="500"/>
      <c r="BC142" s="500"/>
      <c r="BD142" s="500"/>
      <c r="BE142" s="500"/>
      <c r="BF142" s="500"/>
      <c r="BG142" s="500"/>
      <c r="BH142" s="500"/>
      <c r="BI142" s="500"/>
      <c r="BJ142" s="500"/>
      <c r="BK142" s="500"/>
      <c r="BL142" s="500"/>
      <c r="BM142" s="500"/>
      <c r="BN142" s="500"/>
      <c r="BO142" s="500"/>
      <c r="BP142" s="500"/>
      <c r="BQ142" s="500"/>
      <c r="BR142" s="500"/>
      <c r="BS142" s="500"/>
      <c r="BT142" s="500"/>
      <c r="BU142" s="500"/>
      <c r="BV142" s="500"/>
      <c r="BW142" s="500"/>
      <c r="BX142" s="500"/>
      <c r="BY142" s="500"/>
      <c r="BZ142" s="500"/>
    </row>
    <row r="143" spans="2:78" x14ac:dyDescent="0.2">
      <c r="C143" s="503" t="s">
        <v>242</v>
      </c>
      <c r="D143" s="71">
        <v>0.4</v>
      </c>
      <c r="E143" s="535"/>
      <c r="F143" s="12">
        <f>-F141*$D$143</f>
        <v>3148805.3550209794</v>
      </c>
      <c r="G143" s="12">
        <f t="shared" ref="G143:AH143" si="269">-G141*$D$143</f>
        <v>3416.1270209790209</v>
      </c>
      <c r="H143" s="12">
        <f t="shared" si="269"/>
        <v>3416.1270209790209</v>
      </c>
      <c r="I143" s="12">
        <f t="shared" si="269"/>
        <v>3416.1270209790209</v>
      </c>
      <c r="J143" s="12">
        <f t="shared" si="269"/>
        <v>3416.1270209790209</v>
      </c>
      <c r="K143" s="12">
        <f t="shared" si="269"/>
        <v>3416.1270209790209</v>
      </c>
      <c r="L143" s="12">
        <f t="shared" si="269"/>
        <v>3416.1270209790209</v>
      </c>
      <c r="M143" s="12">
        <f t="shared" si="269"/>
        <v>3416.1270209790209</v>
      </c>
      <c r="N143" s="12">
        <f t="shared" si="269"/>
        <v>3416.1270209790209</v>
      </c>
      <c r="O143" s="12">
        <f t="shared" si="269"/>
        <v>3416.1270209790209</v>
      </c>
      <c r="P143" s="12">
        <f t="shared" si="269"/>
        <v>3416.1270209790209</v>
      </c>
      <c r="Q143" s="12">
        <f t="shared" si="269"/>
        <v>3416.1270209790209</v>
      </c>
      <c r="R143" s="12">
        <f t="shared" si="269"/>
        <v>3416.1270209790209</v>
      </c>
      <c r="S143" s="12">
        <f t="shared" si="269"/>
        <v>3416.1270209790209</v>
      </c>
      <c r="T143" s="12">
        <f t="shared" si="269"/>
        <v>3416.1270209790209</v>
      </c>
      <c r="U143" s="12">
        <f t="shared" si="269"/>
        <v>3416.1270209790209</v>
      </c>
      <c r="V143" s="12">
        <f t="shared" si="269"/>
        <v>3416.1270209790209</v>
      </c>
      <c r="W143" s="12">
        <f t="shared" si="269"/>
        <v>3416.1270209790209</v>
      </c>
      <c r="X143" s="12">
        <f t="shared" si="269"/>
        <v>3416.1270209790209</v>
      </c>
      <c r="Y143" s="12">
        <f t="shared" si="269"/>
        <v>3416.1270209790209</v>
      </c>
      <c r="Z143" s="12">
        <f t="shared" si="269"/>
        <v>3416.1270209790209</v>
      </c>
      <c r="AA143" s="12">
        <f t="shared" si="269"/>
        <v>3416.1270209790209</v>
      </c>
      <c r="AB143" s="12">
        <f t="shared" si="269"/>
        <v>3416.1270209790209</v>
      </c>
      <c r="AC143" s="12">
        <f t="shared" si="269"/>
        <v>3416.1270209790209</v>
      </c>
      <c r="AD143" s="12">
        <f t="shared" si="269"/>
        <v>3416.1270209790209</v>
      </c>
      <c r="AE143" s="12">
        <f t="shared" si="269"/>
        <v>3416.1270209790209</v>
      </c>
      <c r="AF143" s="12">
        <f t="shared" si="269"/>
        <v>3416.1270209790209</v>
      </c>
      <c r="AG143" s="12">
        <f t="shared" si="269"/>
        <v>3197.9452027972034</v>
      </c>
      <c r="AH143" s="12">
        <f t="shared" si="269"/>
        <v>2979.7633846153849</v>
      </c>
      <c r="AI143" s="12">
        <f t="shared" ref="AI143:AJ143" si="270">-AI141*$D$143</f>
        <v>2979.7633846153849</v>
      </c>
      <c r="AJ143" s="12">
        <f t="shared" si="270"/>
        <v>2979.7633846153849</v>
      </c>
      <c r="AK143" s="500"/>
      <c r="AL143" s="500"/>
      <c r="AM143" s="500"/>
      <c r="AN143" s="500"/>
      <c r="AO143" s="500"/>
      <c r="AP143" s="500"/>
      <c r="AQ143" s="500"/>
      <c r="AR143" s="500"/>
      <c r="AS143" s="500"/>
      <c r="AT143" s="500"/>
      <c r="AU143" s="500"/>
      <c r="AV143" s="500"/>
      <c r="AW143" s="500"/>
      <c r="AX143" s="500"/>
      <c r="AY143" s="500"/>
      <c r="AZ143" s="500"/>
      <c r="BA143" s="500"/>
      <c r="BB143" s="500"/>
      <c r="BC143" s="500"/>
      <c r="BD143" s="500"/>
      <c r="BE143" s="500"/>
      <c r="BF143" s="500"/>
      <c r="BG143" s="500"/>
      <c r="BH143" s="500"/>
      <c r="BI143" s="500"/>
      <c r="BJ143" s="500"/>
      <c r="BK143" s="500"/>
      <c r="BL143" s="500"/>
      <c r="BM143" s="500"/>
      <c r="BN143" s="500"/>
      <c r="BO143" s="500"/>
      <c r="BP143" s="500"/>
      <c r="BQ143" s="500"/>
      <c r="BR143" s="500"/>
      <c r="BS143" s="500"/>
      <c r="BT143" s="500"/>
      <c r="BU143" s="500"/>
      <c r="BV143" s="500"/>
      <c r="BW143" s="500"/>
      <c r="BX143" s="500"/>
      <c r="BY143" s="500"/>
      <c r="BZ143" s="500"/>
    </row>
    <row r="144" spans="2:78" x14ac:dyDescent="0.2">
      <c r="C144" s="503" t="s">
        <v>243</v>
      </c>
      <c r="D144" s="72"/>
      <c r="E144" s="142">
        <f>E131</f>
        <v>-4230000</v>
      </c>
      <c r="F144" s="142">
        <f t="shared" ref="F144:AH144" ca="1" si="271">F131+F143</f>
        <v>3309806.9413828868</v>
      </c>
      <c r="G144" s="142">
        <f t="shared" ca="1" si="271"/>
        <v>284235.46430656634</v>
      </c>
      <c r="H144" s="142">
        <f t="shared" ca="1" si="271"/>
        <v>342678.05447271996</v>
      </c>
      <c r="I144" s="142">
        <f t="shared" ca="1" si="271"/>
        <v>404855.01572923694</v>
      </c>
      <c r="J144" s="142">
        <f t="shared" ca="1" si="271"/>
        <v>459051.18703073676</v>
      </c>
      <c r="K144" s="142">
        <f t="shared" ca="1" si="271"/>
        <v>4529479.116298927</v>
      </c>
      <c r="L144" s="142">
        <f t="shared" ca="1" si="271"/>
        <v>108408.66780277937</v>
      </c>
      <c r="M144" s="142">
        <f t="shared" ca="1" si="271"/>
        <v>132631.52659037942</v>
      </c>
      <c r="N144" s="142">
        <f t="shared" ca="1" si="271"/>
        <v>157889.97582263779</v>
      </c>
      <c r="O144" s="142">
        <f t="shared" ca="1" si="271"/>
        <v>184226.7339519097</v>
      </c>
      <c r="P144" s="142">
        <f t="shared" ca="1" si="271"/>
        <v>211686.25290471676</v>
      </c>
      <c r="Q144" s="142">
        <f t="shared" ca="1" si="271"/>
        <v>240314.78788061719</v>
      </c>
      <c r="R144" s="142">
        <f t="shared" ca="1" si="271"/>
        <v>270160.4699511833</v>
      </c>
      <c r="S144" s="142">
        <f t="shared" ca="1" si="271"/>
        <v>301273.38157122314</v>
      </c>
      <c r="T144" s="142">
        <f t="shared" ca="1" si="271"/>
        <v>333705.63511887169</v>
      </c>
      <c r="U144" s="142">
        <f t="shared" ca="1" si="271"/>
        <v>367511.45458583673</v>
      </c>
      <c r="V144" s="142">
        <f t="shared" ca="1" si="271"/>
        <v>402747.26054394629</v>
      </c>
      <c r="W144" s="142">
        <f t="shared" ca="1" si="271"/>
        <v>439471.75851918873</v>
      </c>
      <c r="X144" s="142">
        <f t="shared" ca="1" si="271"/>
        <v>477746.03090968146</v>
      </c>
      <c r="Y144" s="142">
        <f t="shared" ca="1" si="271"/>
        <v>517633.63258947083</v>
      </c>
      <c r="Z144" s="142">
        <f t="shared" ca="1" si="271"/>
        <v>559200.69034573808</v>
      </c>
      <c r="AA144" s="142">
        <f t="shared" ca="1" si="271"/>
        <v>602516.00630289735</v>
      </c>
      <c r="AB144" s="142">
        <f t="shared" ca="1" si="271"/>
        <v>647651.16549320146</v>
      </c>
      <c r="AC144" s="142">
        <f t="shared" ca="1" si="271"/>
        <v>694680.64773986908</v>
      </c>
      <c r="AD144" s="142">
        <f t="shared" ca="1" si="271"/>
        <v>743681.94402538519</v>
      </c>
      <c r="AE144" s="142">
        <f t="shared" ca="1" si="271"/>
        <v>794735.67752453312</v>
      </c>
      <c r="AF144" s="142">
        <f t="shared" ca="1" si="271"/>
        <v>847925.72948890016</v>
      </c>
      <c r="AG144" s="142">
        <f t="shared" ca="1" si="271"/>
        <v>903121.18835888896</v>
      </c>
      <c r="AH144" s="142">
        <f t="shared" ca="1" si="271"/>
        <v>960631.03139613115</v>
      </c>
      <c r="AI144" s="142">
        <f t="shared" ref="AI144:AJ144" ca="1" si="272">AI131+AI143</f>
        <v>1020767.9026827394</v>
      </c>
      <c r="AJ144" s="142">
        <f t="shared" ca="1" si="272"/>
        <v>26307504.638622362</v>
      </c>
      <c r="AK144" s="500"/>
      <c r="AL144" s="500"/>
      <c r="AM144" s="500"/>
      <c r="AN144" s="500"/>
      <c r="AO144" s="500"/>
      <c r="AP144" s="500"/>
      <c r="AQ144" s="500"/>
      <c r="AR144" s="500"/>
      <c r="AS144" s="500"/>
      <c r="AT144" s="500"/>
      <c r="AU144" s="500"/>
      <c r="AV144" s="500"/>
      <c r="AW144" s="500"/>
      <c r="AX144" s="500"/>
      <c r="AY144" s="500"/>
      <c r="AZ144" s="500"/>
      <c r="BA144" s="500"/>
      <c r="BB144" s="500"/>
      <c r="BC144" s="500"/>
      <c r="BD144" s="500"/>
      <c r="BE144" s="500"/>
      <c r="BF144" s="500"/>
      <c r="BG144" s="500"/>
      <c r="BH144" s="500"/>
      <c r="BI144" s="500"/>
      <c r="BJ144" s="500"/>
      <c r="BK144" s="500"/>
      <c r="BL144" s="500"/>
      <c r="BM144" s="500"/>
      <c r="BN144" s="500"/>
      <c r="BO144" s="500"/>
      <c r="BP144" s="500"/>
      <c r="BQ144" s="500"/>
      <c r="BR144" s="500"/>
      <c r="BS144" s="500"/>
      <c r="BT144" s="500"/>
      <c r="BU144" s="500"/>
      <c r="BV144" s="500"/>
      <c r="BW144" s="500"/>
      <c r="BX144" s="500"/>
      <c r="BY144" s="500"/>
      <c r="BZ144" s="500"/>
    </row>
    <row r="145" spans="1:78" x14ac:dyDescent="0.2">
      <c r="A145" s="500"/>
      <c r="C145" s="73" t="s">
        <v>244</v>
      </c>
      <c r="D145" s="37">
        <f ca="1">IRR(E144:AJ144)</f>
        <v>0.29891049554921389</v>
      </c>
      <c r="E145" s="500"/>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500"/>
      <c r="AL145" s="500"/>
      <c r="AM145" s="500"/>
      <c r="AN145" s="500"/>
      <c r="AO145" s="500"/>
      <c r="AP145" s="500"/>
      <c r="AQ145" s="500"/>
      <c r="AR145" s="500"/>
      <c r="AS145" s="500"/>
      <c r="AT145" s="500"/>
      <c r="AU145" s="500"/>
      <c r="AV145" s="500"/>
      <c r="AW145" s="500"/>
      <c r="AX145" s="500"/>
      <c r="AY145" s="500"/>
      <c r="AZ145" s="500"/>
      <c r="BA145" s="500"/>
      <c r="BB145" s="500"/>
      <c r="BC145" s="500"/>
      <c r="BD145" s="500"/>
      <c r="BE145" s="500"/>
      <c r="BF145" s="500"/>
      <c r="BG145" s="500"/>
      <c r="BH145" s="500"/>
      <c r="BI145" s="500"/>
      <c r="BJ145" s="500"/>
      <c r="BK145" s="500"/>
      <c r="BL145" s="500"/>
      <c r="BM145" s="500"/>
      <c r="BN145" s="500"/>
      <c r="BO145" s="500"/>
      <c r="BP145" s="500"/>
      <c r="BQ145" s="500"/>
      <c r="BR145" s="500"/>
      <c r="BS145" s="500"/>
      <c r="BT145" s="500"/>
      <c r="BU145" s="500"/>
      <c r="BV145" s="500"/>
      <c r="BW145" s="500"/>
      <c r="BX145" s="500"/>
      <c r="BY145" s="500"/>
      <c r="BZ145" s="500"/>
    </row>
    <row r="146" spans="1:78" x14ac:dyDescent="0.2">
      <c r="A146" s="500"/>
      <c r="C146" s="500"/>
      <c r="E146" s="500"/>
      <c r="F146" s="13"/>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500"/>
      <c r="AL146" s="500"/>
      <c r="AM146" s="500"/>
      <c r="AN146" s="500"/>
      <c r="AO146" s="500"/>
      <c r="AP146" s="500"/>
      <c r="AQ146" s="500"/>
      <c r="AR146" s="500"/>
      <c r="AS146" s="500"/>
      <c r="AT146" s="500"/>
      <c r="AU146" s="500"/>
      <c r="AV146" s="500"/>
      <c r="AW146" s="500"/>
      <c r="AX146" s="500"/>
      <c r="AY146" s="500"/>
      <c r="AZ146" s="500"/>
      <c r="BA146" s="500"/>
      <c r="BB146" s="500"/>
      <c r="BC146" s="500"/>
      <c r="BD146" s="500"/>
      <c r="BE146" s="500"/>
      <c r="BF146" s="500"/>
      <c r="BG146" s="500"/>
      <c r="BH146" s="500"/>
      <c r="BI146" s="500"/>
      <c r="BJ146" s="500"/>
      <c r="BK146" s="500"/>
      <c r="BL146" s="500"/>
      <c r="BM146" s="500"/>
      <c r="BN146" s="500"/>
      <c r="BO146" s="500"/>
      <c r="BP146" s="500"/>
      <c r="BQ146" s="500"/>
      <c r="BR146" s="500"/>
      <c r="BS146" s="500"/>
      <c r="BT146" s="500"/>
      <c r="BU146" s="500"/>
      <c r="BV146" s="500"/>
      <c r="BW146" s="500"/>
      <c r="BX146" s="500"/>
      <c r="BY146" s="500"/>
      <c r="BZ146" s="500"/>
    </row>
    <row r="147" spans="1:78" x14ac:dyDescent="0.2">
      <c r="A147" s="500"/>
      <c r="C147" s="500"/>
      <c r="E147" s="500"/>
      <c r="F147" s="500"/>
      <c r="G147" s="500"/>
      <c r="H147" s="500"/>
      <c r="I147" s="500"/>
      <c r="J147" s="540"/>
      <c r="K147" s="541"/>
      <c r="L147" s="541"/>
      <c r="M147" s="541"/>
      <c r="N147" s="541"/>
      <c r="O147" s="541"/>
      <c r="P147" s="541"/>
      <c r="Q147" s="541"/>
      <c r="R147" s="541"/>
      <c r="S147" s="541"/>
      <c r="T147" s="541"/>
      <c r="U147" s="541"/>
      <c r="V147" s="541"/>
      <c r="W147" s="541"/>
      <c r="X147" s="541"/>
      <c r="Y147" s="541"/>
      <c r="Z147" s="541"/>
      <c r="AA147" s="541"/>
      <c r="AB147" s="541"/>
      <c r="AC147" s="500"/>
      <c r="AD147" s="500"/>
      <c r="AE147" s="500"/>
      <c r="AF147" s="500"/>
      <c r="AG147" s="500"/>
      <c r="AH147" s="500"/>
      <c r="AI147" s="500"/>
      <c r="AJ147" s="500"/>
      <c r="AK147" s="500"/>
      <c r="AL147" s="500"/>
      <c r="AM147" s="500"/>
      <c r="AN147" s="500"/>
      <c r="AO147" s="500"/>
      <c r="AP147" s="500"/>
      <c r="AQ147" s="500"/>
      <c r="AR147" s="500"/>
      <c r="AS147" s="500"/>
      <c r="AT147" s="500"/>
      <c r="AU147" s="500"/>
      <c r="AV147" s="500"/>
      <c r="AW147" s="500"/>
      <c r="AX147" s="500"/>
      <c r="AY147" s="500"/>
      <c r="AZ147" s="500"/>
      <c r="BA147" s="500"/>
      <c r="BB147" s="500"/>
      <c r="BC147" s="500"/>
      <c r="BD147" s="500"/>
      <c r="BE147" s="500"/>
      <c r="BF147" s="500"/>
      <c r="BG147" s="500"/>
      <c r="BH147" s="500"/>
      <c r="BI147" s="500"/>
      <c r="BJ147" s="500"/>
      <c r="BK147" s="500"/>
      <c r="BL147" s="500"/>
      <c r="BM147" s="500"/>
      <c r="BN147" s="500"/>
      <c r="BO147" s="500"/>
      <c r="BP147" s="500"/>
      <c r="BQ147" s="500"/>
      <c r="BR147" s="500"/>
      <c r="BS147" s="500"/>
      <c r="BT147" s="500"/>
      <c r="BU147" s="500"/>
      <c r="BV147" s="500"/>
      <c r="BW147" s="500"/>
      <c r="BX147" s="500"/>
      <c r="BY147" s="500"/>
      <c r="BZ147" s="500"/>
    </row>
    <row r="148" spans="1:78" x14ac:dyDescent="0.2">
      <c r="A148" s="500"/>
      <c r="C148" s="500"/>
      <c r="E148" s="500"/>
      <c r="F148" s="500"/>
      <c r="G148" s="500"/>
      <c r="H148" s="500"/>
      <c r="I148" s="500"/>
      <c r="J148" s="540"/>
      <c r="K148" s="541"/>
      <c r="L148" s="541"/>
      <c r="M148" s="541"/>
      <c r="N148" s="541"/>
      <c r="O148" s="541"/>
      <c r="P148" s="541"/>
      <c r="Q148" s="541"/>
      <c r="R148" s="541"/>
      <c r="S148" s="541"/>
      <c r="T148" s="541"/>
      <c r="U148" s="541"/>
      <c r="V148" s="541"/>
      <c r="W148" s="541"/>
      <c r="X148" s="541"/>
      <c r="Y148" s="541"/>
      <c r="Z148" s="541"/>
      <c r="AA148" s="541"/>
      <c r="AB148" s="541"/>
      <c r="AC148" s="500"/>
      <c r="AD148" s="500"/>
      <c r="AE148" s="500"/>
      <c r="AF148" s="500"/>
      <c r="AG148" s="500"/>
      <c r="AH148" s="500"/>
      <c r="AI148" s="500"/>
      <c r="AJ148" s="500"/>
      <c r="AK148" s="500"/>
      <c r="AL148" s="500"/>
      <c r="AM148" s="500"/>
      <c r="AN148" s="500"/>
      <c r="AO148" s="500"/>
      <c r="AP148" s="500"/>
      <c r="AQ148" s="500"/>
      <c r="AR148" s="500"/>
      <c r="AS148" s="500"/>
      <c r="AT148" s="500"/>
      <c r="AU148" s="500"/>
      <c r="AV148" s="500"/>
      <c r="AW148" s="500"/>
      <c r="AX148" s="500"/>
      <c r="AY148" s="500"/>
      <c r="AZ148" s="500"/>
      <c r="BA148" s="500"/>
      <c r="BB148" s="500"/>
      <c r="BC148" s="500"/>
      <c r="BD148" s="500"/>
      <c r="BE148" s="500"/>
      <c r="BF148" s="500"/>
      <c r="BG148" s="500"/>
      <c r="BH148" s="500"/>
      <c r="BI148" s="500"/>
      <c r="BJ148" s="500"/>
      <c r="BK148" s="500"/>
      <c r="BL148" s="500"/>
      <c r="BM148" s="500"/>
      <c r="BN148" s="500"/>
      <c r="BO148" s="500"/>
      <c r="BP148" s="500"/>
      <c r="BQ148" s="500"/>
      <c r="BR148" s="500"/>
      <c r="BS148" s="500"/>
      <c r="BT148" s="500"/>
      <c r="BU148" s="500"/>
      <c r="BV148" s="500"/>
      <c r="BW148" s="500"/>
      <c r="BX148" s="500"/>
      <c r="BY148" s="500"/>
      <c r="BZ148" s="500"/>
    </row>
    <row r="149" spans="1:78" x14ac:dyDescent="0.2">
      <c r="A149" s="500"/>
      <c r="C149" s="500"/>
      <c r="E149" s="500"/>
      <c r="F149" s="500"/>
      <c r="G149" s="500"/>
      <c r="H149" s="500"/>
      <c r="I149" s="500"/>
      <c r="J149" s="540"/>
      <c r="K149" s="541"/>
      <c r="L149" s="541"/>
      <c r="M149" s="541"/>
      <c r="N149" s="541"/>
      <c r="O149" s="541"/>
      <c r="P149" s="541"/>
      <c r="Q149" s="541"/>
      <c r="R149" s="541"/>
      <c r="S149" s="541"/>
      <c r="T149" s="541"/>
      <c r="U149" s="541"/>
      <c r="V149" s="541"/>
      <c r="W149" s="541"/>
      <c r="X149" s="541"/>
      <c r="Y149" s="541"/>
      <c r="Z149" s="541"/>
      <c r="AA149" s="541"/>
      <c r="AB149" s="541"/>
      <c r="AC149" s="500"/>
      <c r="AD149" s="500"/>
      <c r="AE149" s="500"/>
      <c r="AF149" s="500"/>
      <c r="AG149" s="500"/>
      <c r="AH149" s="500"/>
      <c r="AI149" s="500"/>
      <c r="AJ149" s="500"/>
      <c r="AK149" s="500"/>
      <c r="AL149" s="500"/>
      <c r="AM149" s="500"/>
      <c r="AN149" s="500"/>
      <c r="AO149" s="500"/>
      <c r="AP149" s="500"/>
      <c r="AQ149" s="500"/>
      <c r="AR149" s="500"/>
      <c r="AS149" s="500"/>
      <c r="AT149" s="500"/>
      <c r="AU149" s="500"/>
      <c r="AV149" s="500"/>
      <c r="AW149" s="500"/>
      <c r="AX149" s="500"/>
      <c r="AY149" s="500"/>
      <c r="AZ149" s="500"/>
      <c r="BA149" s="500"/>
      <c r="BB149" s="500"/>
      <c r="BC149" s="500"/>
      <c r="BD149" s="500"/>
      <c r="BE149" s="500"/>
      <c r="BF149" s="500"/>
      <c r="BG149" s="500"/>
      <c r="BH149" s="500"/>
      <c r="BI149" s="500"/>
      <c r="BJ149" s="500"/>
      <c r="BK149" s="500"/>
      <c r="BL149" s="500"/>
      <c r="BM149" s="500"/>
      <c r="BN149" s="500"/>
      <c r="BO149" s="500"/>
      <c r="BP149" s="500"/>
      <c r="BQ149" s="500"/>
      <c r="BR149" s="500"/>
      <c r="BS149" s="500"/>
      <c r="BT149" s="500"/>
      <c r="BU149" s="500"/>
      <c r="BV149" s="500"/>
      <c r="BW149" s="500"/>
      <c r="BX149" s="500"/>
      <c r="BY149" s="500"/>
      <c r="BZ149" s="500"/>
    </row>
    <row r="150" spans="1:78" x14ac:dyDescent="0.2">
      <c r="A150" s="500"/>
      <c r="C150" s="500"/>
      <c r="E150" s="500"/>
      <c r="F150" s="500"/>
      <c r="G150" s="500"/>
      <c r="H150" s="500"/>
      <c r="I150" s="500"/>
      <c r="J150" s="540"/>
      <c r="K150" s="541"/>
      <c r="L150" s="541"/>
      <c r="M150" s="541"/>
      <c r="N150" s="541"/>
      <c r="O150" s="541"/>
      <c r="P150" s="541"/>
      <c r="Q150" s="541"/>
      <c r="R150" s="541"/>
      <c r="S150" s="541"/>
      <c r="T150" s="541"/>
      <c r="U150" s="541"/>
      <c r="V150" s="541"/>
      <c r="W150" s="541"/>
      <c r="X150" s="541"/>
      <c r="Y150" s="541"/>
      <c r="Z150" s="541"/>
      <c r="AA150" s="541"/>
      <c r="AB150" s="541"/>
      <c r="AC150" s="500"/>
      <c r="AD150" s="500"/>
      <c r="AE150" s="500"/>
      <c r="AF150" s="500"/>
      <c r="AG150" s="500"/>
      <c r="AH150" s="500"/>
      <c r="AI150" s="500"/>
      <c r="AJ150" s="500"/>
      <c r="AK150" s="500"/>
      <c r="AL150" s="500"/>
      <c r="AM150" s="500"/>
      <c r="AN150" s="500"/>
      <c r="AO150" s="500"/>
      <c r="AP150" s="500"/>
      <c r="AQ150" s="500"/>
      <c r="AR150" s="500"/>
      <c r="AS150" s="500"/>
      <c r="AT150" s="500"/>
      <c r="AU150" s="500"/>
      <c r="AV150" s="500"/>
      <c r="AW150" s="500"/>
      <c r="AX150" s="500"/>
      <c r="AY150" s="500"/>
      <c r="AZ150" s="500"/>
      <c r="BA150" s="500"/>
      <c r="BB150" s="500"/>
      <c r="BC150" s="500"/>
      <c r="BD150" s="500"/>
      <c r="BE150" s="500"/>
      <c r="BF150" s="500"/>
      <c r="BG150" s="500"/>
      <c r="BH150" s="500"/>
      <c r="BI150" s="500"/>
      <c r="BJ150" s="500"/>
      <c r="BK150" s="500"/>
      <c r="BL150" s="500"/>
      <c r="BM150" s="500"/>
      <c r="BN150" s="500"/>
      <c r="BO150" s="500"/>
      <c r="BP150" s="500"/>
      <c r="BQ150" s="500"/>
      <c r="BR150" s="500"/>
      <c r="BS150" s="500"/>
      <c r="BT150" s="500"/>
      <c r="BU150" s="500"/>
      <c r="BV150" s="500"/>
      <c r="BW150" s="500"/>
      <c r="BX150" s="500"/>
      <c r="BY150" s="500"/>
      <c r="BZ150" s="500"/>
    </row>
    <row r="151" spans="1:78" hidden="1" x14ac:dyDescent="0.2">
      <c r="A151" s="500"/>
      <c r="C151" s="500"/>
      <c r="E151" s="500"/>
      <c r="F151" s="500"/>
      <c r="G151" s="500"/>
      <c r="H151" s="500"/>
      <c r="I151" s="500"/>
      <c r="J151" s="540"/>
      <c r="K151" s="541"/>
      <c r="L151" s="541"/>
      <c r="M151" s="541"/>
      <c r="N151" s="541"/>
      <c r="O151" s="541"/>
      <c r="P151" s="541"/>
      <c r="Q151" s="541"/>
      <c r="R151" s="541"/>
      <c r="S151" s="541"/>
      <c r="T151" s="541"/>
      <c r="U151" s="541"/>
      <c r="V151" s="541"/>
      <c r="W151" s="541"/>
      <c r="X151" s="541"/>
      <c r="Y151" s="541"/>
      <c r="Z151" s="541"/>
      <c r="AA151" s="541"/>
      <c r="AB151" s="541"/>
      <c r="AC151" s="500"/>
      <c r="AD151" s="500"/>
      <c r="AE151" s="500"/>
      <c r="AF151" s="500"/>
      <c r="AG151" s="500"/>
      <c r="AH151" s="500"/>
      <c r="AI151" s="500"/>
      <c r="AJ151" s="500"/>
      <c r="AK151" s="500"/>
      <c r="AL151" s="500"/>
      <c r="AM151" s="500"/>
      <c r="AN151" s="500"/>
      <c r="AO151" s="500"/>
      <c r="AP151" s="500"/>
      <c r="AQ151" s="500"/>
      <c r="AR151" s="500"/>
      <c r="AS151" s="500"/>
      <c r="AT151" s="500"/>
      <c r="AU151" s="500"/>
      <c r="AV151" s="500"/>
      <c r="AW151" s="500"/>
      <c r="AX151" s="500"/>
      <c r="AY151" s="500"/>
      <c r="AZ151" s="500"/>
      <c r="BA151" s="500"/>
      <c r="BB151" s="500"/>
      <c r="BC151" s="500"/>
      <c r="BD151" s="500"/>
      <c r="BE151" s="500"/>
      <c r="BF151" s="500"/>
      <c r="BG151" s="500"/>
      <c r="BH151" s="500"/>
      <c r="BI151" s="500"/>
      <c r="BJ151" s="500"/>
      <c r="BK151" s="500"/>
      <c r="BL151" s="500"/>
      <c r="BM151" s="500"/>
      <c r="BN151" s="500"/>
      <c r="BO151" s="500"/>
      <c r="BP151" s="500"/>
      <c r="BQ151" s="500"/>
      <c r="BR151" s="500"/>
      <c r="BS151" s="500"/>
      <c r="BT151" s="500"/>
      <c r="BU151" s="500"/>
      <c r="BV151" s="500"/>
      <c r="BW151" s="500"/>
      <c r="BX151" s="500"/>
      <c r="BY151" s="500"/>
      <c r="BZ151" s="500"/>
    </row>
    <row r="152" spans="1:78" hidden="1" x14ac:dyDescent="0.2">
      <c r="A152" s="500"/>
      <c r="C152" s="500"/>
      <c r="E152" s="500"/>
      <c r="F152" s="500"/>
      <c r="G152" s="500"/>
      <c r="H152" s="500"/>
      <c r="I152" s="500"/>
      <c r="J152" s="540"/>
      <c r="K152" s="541"/>
      <c r="L152" s="541"/>
      <c r="M152" s="541"/>
      <c r="N152" s="541"/>
      <c r="O152" s="541"/>
      <c r="P152" s="541"/>
      <c r="Q152" s="541"/>
      <c r="R152" s="541"/>
      <c r="S152" s="541"/>
      <c r="T152" s="541"/>
      <c r="U152" s="541"/>
      <c r="V152" s="541"/>
      <c r="W152" s="541"/>
      <c r="X152" s="541"/>
      <c r="Y152" s="541"/>
      <c r="Z152" s="541"/>
      <c r="AA152" s="541"/>
      <c r="AB152" s="541"/>
      <c r="AC152" s="500"/>
      <c r="AD152" s="500"/>
      <c r="AE152" s="500"/>
      <c r="AF152" s="500"/>
      <c r="AG152" s="500"/>
      <c r="AH152" s="500"/>
      <c r="AI152" s="500"/>
      <c r="AJ152" s="500"/>
      <c r="AK152" s="500"/>
      <c r="AL152" s="500"/>
      <c r="AM152" s="500"/>
      <c r="AN152" s="500"/>
      <c r="AO152" s="500"/>
      <c r="AP152" s="500"/>
      <c r="AQ152" s="500"/>
      <c r="AR152" s="500"/>
      <c r="AS152" s="500"/>
      <c r="AT152" s="500"/>
      <c r="AU152" s="500"/>
      <c r="AV152" s="500"/>
      <c r="AW152" s="500"/>
      <c r="AX152" s="500"/>
      <c r="AY152" s="500"/>
      <c r="AZ152" s="500"/>
      <c r="BA152" s="500"/>
      <c r="BB152" s="500"/>
      <c r="BC152" s="500"/>
      <c r="BD152" s="500"/>
      <c r="BE152" s="500"/>
      <c r="BF152" s="500"/>
      <c r="BG152" s="500"/>
      <c r="BH152" s="500"/>
      <c r="BI152" s="500"/>
      <c r="BJ152" s="500"/>
      <c r="BK152" s="500"/>
      <c r="BL152" s="500"/>
      <c r="BM152" s="500"/>
      <c r="BN152" s="500"/>
      <c r="BO152" s="500"/>
      <c r="BP152" s="500"/>
      <c r="BQ152" s="500"/>
      <c r="BR152" s="500"/>
      <c r="BS152" s="500"/>
      <c r="BT152" s="500"/>
      <c r="BU152" s="500"/>
      <c r="BV152" s="500"/>
      <c r="BW152" s="500"/>
      <c r="BX152" s="500"/>
      <c r="BY152" s="500"/>
      <c r="BZ152" s="500"/>
    </row>
    <row r="153" spans="1:78" hidden="1" x14ac:dyDescent="0.2">
      <c r="A153" s="500"/>
      <c r="C153" s="500"/>
      <c r="E153" s="500"/>
      <c r="F153" s="500"/>
      <c r="G153" s="500"/>
      <c r="H153" s="500"/>
      <c r="I153" s="500"/>
      <c r="J153" s="540"/>
      <c r="K153" s="541"/>
      <c r="L153" s="541"/>
      <c r="M153" s="541"/>
      <c r="N153" s="541"/>
      <c r="O153" s="541"/>
      <c r="P153" s="541"/>
      <c r="Q153" s="541"/>
      <c r="R153" s="541"/>
      <c r="S153" s="541"/>
      <c r="T153" s="541"/>
      <c r="U153" s="541"/>
      <c r="V153" s="541"/>
      <c r="W153" s="541"/>
      <c r="X153" s="541"/>
      <c r="Y153" s="541"/>
      <c r="Z153" s="541"/>
      <c r="AA153" s="541"/>
      <c r="AB153" s="541"/>
      <c r="AC153" s="500"/>
      <c r="AD153" s="500"/>
      <c r="AE153" s="500"/>
      <c r="AF153" s="500"/>
      <c r="AG153" s="500"/>
      <c r="AH153" s="500"/>
      <c r="AI153" s="500"/>
      <c r="AJ153" s="500"/>
      <c r="AK153" s="500"/>
      <c r="AL153" s="500"/>
      <c r="AM153" s="500"/>
      <c r="AN153" s="500"/>
      <c r="AO153" s="500"/>
      <c r="AP153" s="500"/>
      <c r="AQ153" s="500"/>
      <c r="AR153" s="500"/>
      <c r="AS153" s="500"/>
      <c r="AT153" s="500"/>
      <c r="AU153" s="500"/>
      <c r="AV153" s="500"/>
      <c r="AW153" s="500"/>
      <c r="AX153" s="500"/>
      <c r="AY153" s="500"/>
      <c r="AZ153" s="500"/>
      <c r="BA153" s="500"/>
      <c r="BB153" s="500"/>
      <c r="BC153" s="500"/>
      <c r="BD153" s="500"/>
      <c r="BE153" s="500"/>
      <c r="BF153" s="500"/>
      <c r="BG153" s="500"/>
      <c r="BH153" s="500"/>
      <c r="BI153" s="500"/>
      <c r="BJ153" s="500"/>
      <c r="BK153" s="500"/>
      <c r="BL153" s="500"/>
      <c r="BM153" s="500"/>
      <c r="BN153" s="500"/>
      <c r="BO153" s="500"/>
      <c r="BP153" s="500"/>
      <c r="BQ153" s="500"/>
      <c r="BR153" s="500"/>
      <c r="BS153" s="500"/>
      <c r="BT153" s="500"/>
      <c r="BU153" s="500"/>
      <c r="BV153" s="500"/>
      <c r="BW153" s="500"/>
      <c r="BX153" s="500"/>
      <c r="BY153" s="500"/>
      <c r="BZ153" s="500"/>
    </row>
    <row r="154" spans="1:78" hidden="1" x14ac:dyDescent="0.2">
      <c r="A154" s="500"/>
      <c r="C154" s="500"/>
      <c r="E154" s="500"/>
      <c r="F154" s="500"/>
      <c r="G154" s="500"/>
      <c r="H154" s="500"/>
      <c r="I154" s="500"/>
      <c r="J154" s="540"/>
      <c r="K154" s="541"/>
      <c r="L154" s="541"/>
      <c r="M154" s="541"/>
      <c r="N154" s="541"/>
      <c r="O154" s="541"/>
      <c r="P154" s="541"/>
      <c r="Q154" s="541"/>
      <c r="R154" s="541"/>
      <c r="S154" s="541"/>
      <c r="T154" s="541"/>
      <c r="U154" s="541"/>
      <c r="V154" s="541"/>
      <c r="W154" s="541"/>
      <c r="X154" s="541"/>
      <c r="Y154" s="541"/>
      <c r="Z154" s="541"/>
      <c r="AA154" s="541"/>
      <c r="AB154" s="541"/>
      <c r="AC154" s="500"/>
      <c r="AD154" s="500"/>
      <c r="AE154" s="500"/>
      <c r="AF154" s="500"/>
      <c r="AG154" s="500"/>
      <c r="AH154" s="500"/>
      <c r="AI154" s="500"/>
      <c r="AJ154" s="500"/>
      <c r="AK154" s="500"/>
      <c r="AL154" s="500"/>
      <c r="AM154" s="500"/>
      <c r="AN154" s="500"/>
      <c r="AO154" s="500"/>
      <c r="AP154" s="500"/>
      <c r="AQ154" s="500"/>
      <c r="AR154" s="500"/>
      <c r="AS154" s="500"/>
      <c r="AT154" s="500"/>
      <c r="AU154" s="500"/>
      <c r="AV154" s="500"/>
      <c r="AW154" s="500"/>
      <c r="AX154" s="500"/>
      <c r="AY154" s="500"/>
      <c r="AZ154" s="500"/>
      <c r="BA154" s="500"/>
      <c r="BB154" s="500"/>
      <c r="BC154" s="500"/>
      <c r="BD154" s="500"/>
      <c r="BE154" s="500"/>
      <c r="BF154" s="500"/>
      <c r="BG154" s="500"/>
      <c r="BH154" s="500"/>
      <c r="BI154" s="500"/>
      <c r="BJ154" s="500"/>
      <c r="BK154" s="500"/>
      <c r="BL154" s="500"/>
      <c r="BM154" s="500"/>
      <c r="BN154" s="500"/>
      <c r="BO154" s="500"/>
      <c r="BP154" s="500"/>
      <c r="BQ154" s="500"/>
      <c r="BR154" s="500"/>
      <c r="BS154" s="500"/>
      <c r="BT154" s="500"/>
      <c r="BU154" s="500"/>
      <c r="BV154" s="500"/>
      <c r="BW154" s="500"/>
      <c r="BX154" s="500"/>
      <c r="BY154" s="500"/>
      <c r="BZ154" s="500"/>
    </row>
    <row r="155" spans="1:78" hidden="1" x14ac:dyDescent="0.2">
      <c r="A155" s="500"/>
      <c r="C155" s="500"/>
      <c r="E155" s="500"/>
      <c r="F155" s="500"/>
      <c r="G155" s="500"/>
      <c r="H155" s="500"/>
      <c r="I155" s="500"/>
      <c r="J155" s="540"/>
      <c r="K155" s="541"/>
      <c r="L155" s="541"/>
      <c r="M155" s="541"/>
      <c r="N155" s="541"/>
      <c r="O155" s="541"/>
      <c r="P155" s="541"/>
      <c r="Q155" s="541"/>
      <c r="R155" s="541"/>
      <c r="S155" s="541"/>
      <c r="T155" s="541"/>
      <c r="U155" s="541"/>
      <c r="V155" s="541"/>
      <c r="W155" s="541"/>
      <c r="X155" s="541"/>
      <c r="Y155" s="541"/>
      <c r="Z155" s="541"/>
      <c r="AA155" s="541"/>
      <c r="AB155" s="541"/>
      <c r="AC155" s="500"/>
      <c r="AD155" s="500"/>
      <c r="AE155" s="500"/>
      <c r="AF155" s="500"/>
      <c r="AG155" s="500"/>
      <c r="AH155" s="500"/>
      <c r="AI155" s="500"/>
      <c r="AJ155" s="500"/>
      <c r="AK155" s="500"/>
      <c r="AL155" s="500"/>
      <c r="AM155" s="500"/>
      <c r="AN155" s="500"/>
      <c r="AO155" s="500"/>
      <c r="AP155" s="500"/>
      <c r="AQ155" s="500"/>
      <c r="AR155" s="500"/>
      <c r="AS155" s="500"/>
      <c r="AT155" s="500"/>
      <c r="AU155" s="500"/>
      <c r="AV155" s="500"/>
      <c r="AW155" s="500"/>
      <c r="AX155" s="500"/>
      <c r="AY155" s="500"/>
      <c r="AZ155" s="500"/>
      <c r="BA155" s="500"/>
      <c r="BB155" s="500"/>
      <c r="BC155" s="500"/>
      <c r="BD155" s="500"/>
      <c r="BE155" s="500"/>
      <c r="BF155" s="500"/>
      <c r="BG155" s="500"/>
      <c r="BH155" s="500"/>
      <c r="BI155" s="500"/>
      <c r="BJ155" s="500"/>
      <c r="BK155" s="500"/>
      <c r="BL155" s="500"/>
      <c r="BM155" s="500"/>
      <c r="BN155" s="500"/>
      <c r="BO155" s="500"/>
      <c r="BP155" s="500"/>
      <c r="BQ155" s="500"/>
      <c r="BR155" s="500"/>
      <c r="BS155" s="500"/>
      <c r="BT155" s="500"/>
      <c r="BU155" s="500"/>
      <c r="BV155" s="500"/>
      <c r="BW155" s="500"/>
      <c r="BX155" s="500"/>
      <c r="BY155" s="500"/>
      <c r="BZ155" s="500"/>
    </row>
    <row r="156" spans="1:78" s="214" customFormat="1" hidden="1" x14ac:dyDescent="0.2">
      <c r="A156" s="855" t="s">
        <v>245</v>
      </c>
      <c r="B156" s="855"/>
      <c r="C156" s="855"/>
      <c r="D156" s="855"/>
      <c r="E156" s="855"/>
      <c r="F156" s="855"/>
      <c r="G156" s="855"/>
      <c r="H156" s="855"/>
      <c r="I156" s="855"/>
      <c r="J156" s="855"/>
      <c r="K156" s="855"/>
      <c r="L156" s="855"/>
      <c r="M156" s="855"/>
      <c r="N156" s="855"/>
      <c r="O156" s="855"/>
      <c r="P156" s="215"/>
      <c r="Q156" s="215"/>
      <c r="R156" s="215"/>
      <c r="S156" s="215"/>
      <c r="T156" s="215"/>
      <c r="U156" s="215"/>
      <c r="V156" s="542"/>
      <c r="W156" s="542"/>
      <c r="X156" s="542"/>
      <c r="Y156" s="542"/>
      <c r="Z156" s="542"/>
      <c r="AA156" s="542"/>
      <c r="AB156" s="542"/>
      <c r="AC156" s="542"/>
      <c r="AD156" s="542"/>
      <c r="AE156" s="542"/>
      <c r="AF156" s="542"/>
      <c r="AG156" s="542"/>
      <c r="AH156" s="542"/>
      <c r="AI156" s="542"/>
      <c r="AJ156" s="542"/>
      <c r="AK156" s="542"/>
      <c r="AL156" s="542"/>
      <c r="AM156" s="542"/>
      <c r="AN156" s="542"/>
      <c r="AO156" s="542"/>
      <c r="AP156" s="542"/>
      <c r="AQ156" s="542"/>
      <c r="AR156" s="542"/>
      <c r="AS156" s="542"/>
      <c r="AT156" s="542"/>
      <c r="AU156" s="542"/>
      <c r="AV156" s="542"/>
      <c r="AW156" s="542"/>
      <c r="AX156" s="542"/>
      <c r="AY156" s="542"/>
      <c r="AZ156" s="542"/>
      <c r="BA156" s="542"/>
      <c r="BB156" s="542"/>
      <c r="BC156" s="542"/>
      <c r="BD156" s="542"/>
      <c r="BE156" s="542"/>
      <c r="BF156" s="542"/>
      <c r="BG156" s="542"/>
      <c r="BH156" s="542"/>
      <c r="BI156" s="542"/>
      <c r="BJ156" s="542"/>
      <c r="BK156" s="542"/>
      <c r="BL156" s="542"/>
      <c r="BM156" s="542"/>
      <c r="BN156" s="542"/>
      <c r="BO156" s="542"/>
      <c r="BP156" s="542"/>
      <c r="BQ156" s="542"/>
      <c r="BR156" s="542"/>
      <c r="BS156" s="542"/>
      <c r="BT156" s="542"/>
      <c r="BU156" s="542"/>
      <c r="BV156" s="542"/>
      <c r="BW156" s="542"/>
      <c r="BX156" s="542"/>
      <c r="BY156" s="542"/>
      <c r="BZ156" s="542"/>
    </row>
    <row r="157" spans="1:78" hidden="1" x14ac:dyDescent="0.2">
      <c r="A157" s="500"/>
      <c r="C157" s="500"/>
      <c r="E157" s="500"/>
      <c r="F157" s="15"/>
      <c r="G157" s="15"/>
      <c r="H157" s="500"/>
      <c r="I157" s="500"/>
      <c r="J157" s="15"/>
      <c r="K157" s="15"/>
      <c r="L157" s="15"/>
      <c r="M157" s="15"/>
      <c r="N157" s="15"/>
      <c r="O157" s="15"/>
      <c r="P157" s="15"/>
      <c r="Q157" s="15"/>
      <c r="R157" s="15"/>
      <c r="S157" s="15"/>
      <c r="T157" s="15"/>
      <c r="U157" s="15"/>
      <c r="V157" s="500"/>
      <c r="W157" s="500"/>
      <c r="X157" s="500"/>
      <c r="Y157" s="500"/>
      <c r="Z157" s="500"/>
      <c r="AA157" s="500"/>
      <c r="AB157" s="500"/>
      <c r="AC157" s="500"/>
      <c r="AD157" s="500"/>
      <c r="AE157" s="500"/>
      <c r="AF157" s="500"/>
      <c r="AG157" s="500"/>
      <c r="AH157" s="500"/>
      <c r="AI157" s="500"/>
      <c r="AJ157" s="500"/>
      <c r="AK157" s="500"/>
      <c r="AL157" s="500"/>
      <c r="AM157" s="500"/>
      <c r="AN157" s="500"/>
      <c r="AO157" s="500"/>
      <c r="AP157" s="500"/>
      <c r="AQ157" s="500"/>
      <c r="AR157" s="500"/>
      <c r="AS157" s="500"/>
      <c r="AT157" s="500"/>
      <c r="AU157" s="500"/>
      <c r="AV157" s="500"/>
      <c r="AW157" s="500"/>
      <c r="AX157" s="500"/>
      <c r="AY157" s="500"/>
      <c r="AZ157" s="500"/>
      <c r="BA157" s="500"/>
      <c r="BB157" s="500"/>
      <c r="BC157" s="500"/>
      <c r="BD157" s="500"/>
      <c r="BE157" s="500"/>
      <c r="BF157" s="500"/>
      <c r="BG157" s="500"/>
      <c r="BH157" s="500"/>
      <c r="BI157" s="500"/>
      <c r="BJ157" s="500"/>
      <c r="BK157" s="500"/>
      <c r="BL157" s="500"/>
      <c r="BM157" s="500"/>
      <c r="BN157" s="500"/>
      <c r="BO157" s="500"/>
      <c r="BP157" s="500"/>
      <c r="BQ157" s="500"/>
      <c r="BR157" s="500"/>
      <c r="BS157" s="500"/>
      <c r="BT157" s="500"/>
      <c r="BU157" s="500"/>
      <c r="BV157" s="500"/>
      <c r="BW157" s="500"/>
      <c r="BX157" s="500"/>
      <c r="BY157" s="500"/>
      <c r="BZ157" s="500"/>
    </row>
    <row r="158" spans="1:78" ht="15" hidden="1" x14ac:dyDescent="0.25">
      <c r="A158" s="500"/>
      <c r="C158" s="857" t="s">
        <v>246</v>
      </c>
      <c r="D158" s="857"/>
      <c r="E158" s="857"/>
      <c r="F158" s="15"/>
      <c r="G158" s="500"/>
      <c r="H158" s="337" t="s">
        <v>247</v>
      </c>
      <c r="I158" s="338">
        <v>0.03</v>
      </c>
      <c r="J158" s="500"/>
      <c r="K158" s="500"/>
      <c r="L158" s="500"/>
      <c r="M158" s="500"/>
      <c r="N158" s="500"/>
      <c r="O158" s="500"/>
      <c r="P158" s="500"/>
      <c r="Q158" s="500"/>
      <c r="R158" s="500"/>
      <c r="S158" s="15"/>
      <c r="T158" s="15"/>
      <c r="U158" s="15"/>
      <c r="V158" s="500"/>
      <c r="W158" s="500"/>
      <c r="X158" s="500"/>
      <c r="Y158" s="500"/>
      <c r="Z158" s="500"/>
      <c r="AA158" s="500"/>
      <c r="AB158" s="500"/>
      <c r="AC158" s="500"/>
      <c r="AD158" s="500"/>
      <c r="AE158" s="500"/>
      <c r="AF158" s="500"/>
      <c r="AG158" s="500"/>
      <c r="AH158" s="500"/>
      <c r="AI158" s="500"/>
      <c r="AJ158" s="500"/>
      <c r="AK158" s="500"/>
      <c r="AL158" s="500"/>
      <c r="AM158" s="500"/>
      <c r="AN158" s="500"/>
      <c r="AO158" s="500"/>
      <c r="AP158" s="500"/>
      <c r="AQ158" s="500"/>
      <c r="AR158" s="500"/>
      <c r="AS158" s="500"/>
      <c r="AT158" s="500"/>
      <c r="AU158" s="500"/>
      <c r="AV158" s="500"/>
      <c r="AW158" s="500"/>
      <c r="AX158" s="500"/>
      <c r="AY158" s="500"/>
      <c r="AZ158" s="500"/>
      <c r="BA158" s="500"/>
      <c r="BB158" s="500"/>
      <c r="BC158" s="500"/>
      <c r="BD158" s="500"/>
      <c r="BE158" s="500"/>
      <c r="BF158" s="500"/>
      <c r="BG158" s="500"/>
      <c r="BH158" s="500"/>
      <c r="BI158" s="500"/>
      <c r="BJ158" s="500"/>
      <c r="BK158" s="500"/>
      <c r="BL158" s="500"/>
      <c r="BM158" s="500"/>
      <c r="BN158" s="500"/>
      <c r="BO158" s="500"/>
      <c r="BP158" s="500"/>
      <c r="BQ158" s="500"/>
      <c r="BR158" s="500"/>
      <c r="BS158" s="500"/>
      <c r="BT158" s="500"/>
      <c r="BU158" s="500"/>
      <c r="BV158" s="500"/>
      <c r="BW158" s="500"/>
      <c r="BX158" s="500"/>
      <c r="BY158" s="500"/>
      <c r="BZ158" s="500"/>
    </row>
    <row r="159" spans="1:78" ht="13.5" hidden="1" thickBot="1" x14ac:dyDescent="0.25">
      <c r="A159" s="500"/>
      <c r="C159" s="500"/>
      <c r="D159" s="148" t="s">
        <v>248</v>
      </c>
      <c r="E159" s="149" t="s">
        <v>163</v>
      </c>
      <c r="F159" s="15"/>
      <c r="G159" s="500"/>
      <c r="H159" s="15"/>
      <c r="I159" s="15"/>
      <c r="J159" s="15"/>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0"/>
      <c r="AJ159" s="500"/>
      <c r="AK159" s="500"/>
      <c r="AL159" s="500"/>
      <c r="AM159" s="500"/>
      <c r="AN159" s="500"/>
      <c r="AO159" s="500"/>
      <c r="AP159" s="500"/>
      <c r="AQ159" s="500"/>
      <c r="AR159" s="500"/>
      <c r="AS159" s="500"/>
      <c r="AT159" s="500"/>
      <c r="AU159" s="500"/>
      <c r="AV159" s="500"/>
      <c r="AW159" s="500"/>
      <c r="AX159" s="500"/>
      <c r="AY159" s="500"/>
      <c r="AZ159" s="500"/>
      <c r="BA159" s="500"/>
      <c r="BB159" s="500"/>
      <c r="BC159" s="500"/>
      <c r="BD159" s="500"/>
      <c r="BE159" s="500"/>
      <c r="BF159" s="500"/>
      <c r="BG159" s="500"/>
      <c r="BH159" s="500"/>
      <c r="BI159" s="500"/>
      <c r="BJ159" s="500"/>
      <c r="BK159" s="500"/>
      <c r="BL159" s="500"/>
      <c r="BM159" s="500"/>
      <c r="BN159" s="500"/>
      <c r="BO159" s="500"/>
      <c r="BP159" s="500"/>
      <c r="BQ159" s="500"/>
      <c r="BR159" s="500"/>
      <c r="BS159" s="500"/>
      <c r="BT159" s="500"/>
      <c r="BU159" s="500"/>
      <c r="BV159" s="500"/>
      <c r="BW159" s="500"/>
      <c r="BX159" s="500"/>
      <c r="BY159" s="500"/>
      <c r="BZ159" s="500"/>
    </row>
    <row r="160" spans="1:78" hidden="1" x14ac:dyDescent="0.2">
      <c r="A160" s="500"/>
      <c r="C160" s="500" t="str">
        <f>+C41</f>
        <v>Net Rental Income</v>
      </c>
      <c r="D160" s="146">
        <f>+D29*NoOfSpaces*(1-G15)</f>
        <v>76349.13</v>
      </c>
      <c r="E160" s="531">
        <f>+D160*12</f>
        <v>916189.56</v>
      </c>
      <c r="F160" s="15"/>
      <c r="G160" s="500"/>
      <c r="H160" s="15"/>
      <c r="I160" s="15"/>
      <c r="J160" s="15"/>
      <c r="K160" s="15"/>
      <c r="L160" s="15"/>
      <c r="M160" s="500"/>
      <c r="N160" s="500"/>
      <c r="O160" s="500"/>
      <c r="P160" s="500"/>
      <c r="Q160" s="500"/>
      <c r="R160" s="500"/>
      <c r="S160" s="500"/>
      <c r="T160" s="500"/>
      <c r="U160" s="500"/>
      <c r="V160" s="500"/>
      <c r="W160" s="500"/>
      <c r="X160" s="500"/>
      <c r="Y160" s="500"/>
      <c r="Z160" s="500"/>
      <c r="AA160" s="500"/>
      <c r="AB160" s="500"/>
      <c r="AC160" s="500"/>
      <c r="AD160" s="500"/>
      <c r="AE160" s="500"/>
      <c r="AF160" s="500"/>
      <c r="AG160" s="500"/>
      <c r="AH160" s="500"/>
      <c r="AI160" s="500"/>
      <c r="AJ160" s="500"/>
      <c r="AK160" s="500"/>
      <c r="AL160" s="500"/>
      <c r="AM160" s="500"/>
      <c r="AN160" s="500"/>
      <c r="AO160" s="500"/>
      <c r="AP160" s="500"/>
      <c r="AQ160" s="500"/>
      <c r="AR160" s="500"/>
      <c r="AS160" s="500"/>
      <c r="AT160" s="500"/>
      <c r="AU160" s="500"/>
      <c r="AV160" s="500"/>
      <c r="AW160" s="500"/>
      <c r="AX160" s="500"/>
      <c r="AY160" s="500"/>
      <c r="AZ160" s="500"/>
      <c r="BA160" s="500"/>
      <c r="BB160" s="500"/>
      <c r="BC160" s="500"/>
      <c r="BD160" s="500"/>
      <c r="BE160" s="500"/>
      <c r="BF160" s="500"/>
      <c r="BG160" s="500"/>
      <c r="BH160" s="500"/>
      <c r="BI160" s="500"/>
      <c r="BJ160" s="500"/>
      <c r="BK160" s="500"/>
      <c r="BL160" s="500"/>
      <c r="BM160" s="500"/>
      <c r="BN160" s="500"/>
      <c r="BO160" s="500"/>
      <c r="BP160" s="500"/>
      <c r="BQ160" s="500"/>
      <c r="BR160" s="500"/>
      <c r="BS160" s="500"/>
      <c r="BT160" s="500"/>
      <c r="BU160" s="500"/>
      <c r="BV160" s="500"/>
      <c r="BW160" s="500"/>
      <c r="BX160" s="500"/>
      <c r="BY160" s="500"/>
      <c r="BZ160" s="500"/>
    </row>
    <row r="161" spans="1:36" hidden="1" x14ac:dyDescent="0.2">
      <c r="A161" s="500"/>
      <c r="C161" s="500" t="s">
        <v>162</v>
      </c>
      <c r="D161" s="147">
        <f>+D51/12</f>
        <v>18655.466666666667</v>
      </c>
      <c r="E161" s="531">
        <f t="shared" ref="E161:E163" si="273">+D161*12</f>
        <v>223865.60000000001</v>
      </c>
      <c r="F161" s="15"/>
      <c r="G161" s="500"/>
      <c r="H161" s="15"/>
      <c r="I161" s="15"/>
      <c r="J161" s="15"/>
      <c r="K161" s="15"/>
      <c r="L161" s="15"/>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0"/>
      <c r="AJ161" s="500"/>
    </row>
    <row r="162" spans="1:36" hidden="1" x14ac:dyDescent="0.2">
      <c r="A162" s="500"/>
      <c r="C162" s="523" t="s">
        <v>249</v>
      </c>
      <c r="D162" s="147">
        <f>+E52/12</f>
        <v>0</v>
      </c>
      <c r="E162" s="531">
        <f t="shared" si="273"/>
        <v>0</v>
      </c>
      <c r="F162" s="15"/>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0"/>
      <c r="AJ162" s="500"/>
    </row>
    <row r="163" spans="1:36" hidden="1" x14ac:dyDescent="0.2">
      <c r="A163" s="500"/>
      <c r="C163" s="523" t="s">
        <v>250</v>
      </c>
      <c r="D163" s="709">
        <f>SUM(D160:D162)</f>
        <v>95004.596666666679</v>
      </c>
      <c r="E163" s="709">
        <f t="shared" si="273"/>
        <v>1140055.1600000001</v>
      </c>
      <c r="F163" s="500"/>
      <c r="G163" s="500"/>
      <c r="H163" s="500"/>
      <c r="I163" s="500"/>
      <c r="J163" s="500"/>
      <c r="K163" s="500"/>
      <c r="L163" s="500"/>
      <c r="M163" s="500"/>
      <c r="N163" s="500"/>
      <c r="O163" s="500"/>
      <c r="P163" s="500"/>
      <c r="Q163" s="500"/>
      <c r="R163" s="500"/>
      <c r="S163" s="500"/>
      <c r="T163" s="500"/>
      <c r="U163" s="500"/>
      <c r="V163" s="500"/>
      <c r="W163" s="500"/>
      <c r="X163" s="500"/>
      <c r="Y163" s="500"/>
      <c r="Z163" s="500"/>
      <c r="AA163" s="500"/>
      <c r="AB163" s="500"/>
      <c r="AC163" s="500"/>
      <c r="AD163" s="500"/>
      <c r="AE163" s="500"/>
      <c r="AF163" s="500"/>
      <c r="AG163" s="500"/>
      <c r="AH163" s="500"/>
      <c r="AI163" s="500"/>
      <c r="AJ163" s="500"/>
    </row>
    <row r="164" spans="1:36" hidden="1" x14ac:dyDescent="0.2">
      <c r="A164" s="500"/>
      <c r="C164" s="500" t="s">
        <v>251</v>
      </c>
      <c r="D164" s="538">
        <f ca="1">+F81</f>
        <v>65301.93368466667</v>
      </c>
      <c r="E164" s="531">
        <f ca="1">+D164*12</f>
        <v>783623.20421600004</v>
      </c>
      <c r="F164" s="500"/>
      <c r="G164" s="500"/>
      <c r="H164" s="500"/>
      <c r="I164" s="500"/>
      <c r="J164" s="500"/>
      <c r="K164" s="500"/>
      <c r="L164" s="500"/>
      <c r="M164" s="500"/>
      <c r="N164" s="500"/>
      <c r="O164" s="500"/>
      <c r="P164" s="500"/>
      <c r="Q164" s="500"/>
      <c r="R164" s="500"/>
      <c r="S164" s="500"/>
      <c r="T164" s="500"/>
      <c r="U164" s="500"/>
      <c r="V164" s="500"/>
      <c r="W164" s="500"/>
      <c r="X164" s="500"/>
      <c r="Y164" s="500"/>
      <c r="Z164" s="500"/>
      <c r="AA164" s="500"/>
      <c r="AB164" s="500"/>
      <c r="AC164" s="500"/>
      <c r="AD164" s="500"/>
      <c r="AE164" s="500"/>
      <c r="AF164" s="500"/>
      <c r="AG164" s="500"/>
      <c r="AH164" s="500"/>
      <c r="AI164" s="500"/>
      <c r="AJ164" s="500"/>
    </row>
    <row r="165" spans="1:36" hidden="1" x14ac:dyDescent="0.2">
      <c r="A165" s="500"/>
      <c r="C165" s="523" t="s">
        <v>252</v>
      </c>
      <c r="D165" s="603">
        <f ca="1">+D163-D164</f>
        <v>29702.662982000009</v>
      </c>
      <c r="E165" s="582">
        <f ca="1">+D165*12</f>
        <v>356431.95578400011</v>
      </c>
      <c r="F165" s="500"/>
      <c r="G165" s="340"/>
      <c r="H165" s="500"/>
      <c r="I165" s="500"/>
      <c r="J165" s="500"/>
      <c r="K165" s="500"/>
      <c r="L165" s="500"/>
      <c r="M165" s="500"/>
      <c r="N165" s="500"/>
      <c r="O165" s="500"/>
      <c r="P165" s="500"/>
      <c r="Q165" s="500"/>
      <c r="R165" s="500"/>
      <c r="S165" s="500"/>
      <c r="T165" s="500"/>
      <c r="U165" s="500"/>
      <c r="V165" s="500"/>
      <c r="W165" s="500"/>
      <c r="X165" s="500"/>
      <c r="Y165" s="500"/>
      <c r="Z165" s="500"/>
      <c r="AA165" s="500"/>
      <c r="AB165" s="500"/>
      <c r="AC165" s="500"/>
      <c r="AD165" s="500"/>
      <c r="AE165" s="500"/>
      <c r="AF165" s="500"/>
      <c r="AG165" s="500"/>
      <c r="AH165" s="500"/>
      <c r="AI165" s="500"/>
      <c r="AJ165" s="500"/>
    </row>
    <row r="166" spans="1:36" hidden="1" x14ac:dyDescent="0.2">
      <c r="A166" s="500"/>
      <c r="C166" s="500" t="s">
        <v>253</v>
      </c>
      <c r="D166" s="500"/>
      <c r="E166" s="543">
        <f ca="1">E165/D6</f>
        <v>3.2820622079558021E-2</v>
      </c>
      <c r="F166" s="500"/>
      <c r="G166" s="500"/>
      <c r="H166" s="500"/>
      <c r="I166" s="500"/>
      <c r="J166" s="500"/>
      <c r="K166" s="500"/>
      <c r="L166" s="500"/>
      <c r="M166" s="500"/>
      <c r="N166" s="500"/>
      <c r="O166" s="500"/>
      <c r="P166" s="500"/>
      <c r="Q166" s="500"/>
      <c r="R166" s="500"/>
      <c r="S166" s="500"/>
      <c r="T166" s="500"/>
      <c r="U166" s="500"/>
      <c r="V166" s="500"/>
      <c r="W166" s="500"/>
      <c r="X166" s="500"/>
      <c r="Y166" s="500"/>
      <c r="Z166" s="500"/>
      <c r="AA166" s="500"/>
      <c r="AB166" s="500"/>
      <c r="AC166" s="500"/>
      <c r="AD166" s="500"/>
      <c r="AE166" s="500"/>
      <c r="AF166" s="500"/>
      <c r="AG166" s="500"/>
      <c r="AH166" s="500"/>
      <c r="AI166" s="500"/>
      <c r="AJ166" s="500"/>
    </row>
    <row r="167" spans="1:36" hidden="1" x14ac:dyDescent="0.2">
      <c r="A167" s="500"/>
      <c r="C167" s="500"/>
      <c r="D167" s="500"/>
      <c r="E167" s="500"/>
      <c r="F167" s="500"/>
      <c r="G167" s="500"/>
      <c r="H167" s="500"/>
      <c r="I167" s="500"/>
      <c r="J167" s="500"/>
      <c r="K167" s="500"/>
      <c r="L167" s="500"/>
      <c r="M167" s="500"/>
      <c r="N167" s="500"/>
      <c r="O167" s="500"/>
      <c r="P167" s="500"/>
      <c r="Q167" s="500"/>
      <c r="R167" s="500"/>
      <c r="S167" s="500"/>
      <c r="T167" s="500"/>
      <c r="U167" s="500"/>
      <c r="V167" s="500"/>
      <c r="W167" s="500"/>
      <c r="X167" s="500"/>
      <c r="Y167" s="500"/>
      <c r="Z167" s="500"/>
      <c r="AA167" s="500"/>
      <c r="AB167" s="500"/>
      <c r="AC167" s="500"/>
      <c r="AD167" s="500"/>
      <c r="AE167" s="500"/>
      <c r="AF167" s="500"/>
      <c r="AG167" s="500"/>
      <c r="AH167" s="500"/>
      <c r="AI167" s="500"/>
      <c r="AJ167" s="500"/>
    </row>
    <row r="168" spans="1:36" ht="15" hidden="1" x14ac:dyDescent="0.25">
      <c r="A168" s="500"/>
      <c r="C168" s="857" t="s">
        <v>254</v>
      </c>
      <c r="D168" s="857"/>
      <c r="E168" s="857"/>
      <c r="F168" s="857"/>
      <c r="G168" s="500"/>
      <c r="H168" s="500"/>
      <c r="I168" s="500"/>
      <c r="J168" s="500"/>
      <c r="K168" s="500"/>
      <c r="L168" s="500"/>
      <c r="M168" s="500"/>
      <c r="N168" s="500"/>
      <c r="O168" s="500"/>
      <c r="P168" s="500"/>
      <c r="Q168" s="500"/>
      <c r="R168" s="500"/>
      <c r="S168" s="500"/>
      <c r="T168" s="500"/>
      <c r="U168" s="500"/>
      <c r="V168" s="500"/>
      <c r="W168" s="500"/>
      <c r="X168" s="500"/>
      <c r="Y168" s="500"/>
      <c r="Z168" s="500"/>
      <c r="AA168" s="500"/>
      <c r="AB168" s="500"/>
      <c r="AC168" s="500"/>
      <c r="AD168" s="500"/>
      <c r="AE168" s="500"/>
      <c r="AF168" s="500"/>
      <c r="AG168" s="500"/>
      <c r="AH168" s="500"/>
      <c r="AI168" s="500"/>
      <c r="AJ168" s="500"/>
    </row>
    <row r="169" spans="1:36" ht="13.5" hidden="1" thickBot="1" x14ac:dyDescent="0.25">
      <c r="A169" s="500"/>
      <c r="C169" s="11"/>
      <c r="D169" s="544" t="s">
        <v>121</v>
      </c>
      <c r="E169" s="544" t="s">
        <v>122</v>
      </c>
      <c r="F169" s="544" t="s">
        <v>123</v>
      </c>
      <c r="G169" s="500"/>
      <c r="H169" s="500"/>
      <c r="I169" s="500"/>
      <c r="J169" s="500"/>
      <c r="K169" s="500"/>
      <c r="L169" s="500"/>
      <c r="M169" s="500"/>
      <c r="N169" s="500"/>
      <c r="O169" s="500"/>
      <c r="P169" s="500"/>
      <c r="Q169" s="500"/>
      <c r="R169" s="500"/>
      <c r="S169" s="500"/>
      <c r="T169" s="500"/>
      <c r="U169" s="500"/>
      <c r="V169" s="500"/>
      <c r="W169" s="500"/>
      <c r="X169" s="500"/>
      <c r="Y169" s="500"/>
      <c r="Z169" s="500"/>
      <c r="AA169" s="500"/>
      <c r="AB169" s="500"/>
      <c r="AC169" s="500"/>
      <c r="AD169" s="500"/>
      <c r="AE169" s="500"/>
      <c r="AF169" s="500"/>
      <c r="AG169" s="500"/>
      <c r="AH169" s="500"/>
      <c r="AI169" s="500"/>
      <c r="AJ169" s="500"/>
    </row>
    <row r="170" spans="1:36" hidden="1" x14ac:dyDescent="0.2">
      <c r="A170" s="500"/>
      <c r="C170" s="500" t="s">
        <v>255</v>
      </c>
      <c r="D170" s="545">
        <f ca="1">E198</f>
        <v>0.16884323827011061</v>
      </c>
      <c r="E170" s="545">
        <f ca="1">E203</f>
        <v>0.15378764671296441</v>
      </c>
      <c r="F170" s="545">
        <f ca="1">E208</f>
        <v>0.13303838887720731</v>
      </c>
      <c r="G170" s="500"/>
      <c r="H170" s="500"/>
      <c r="I170" s="500"/>
      <c r="J170" s="500"/>
      <c r="K170" s="500"/>
      <c r="L170" s="500"/>
      <c r="M170" s="500"/>
      <c r="N170" s="500"/>
      <c r="O170" s="500"/>
      <c r="P170" s="500"/>
      <c r="Q170" s="500"/>
      <c r="R170" s="500"/>
      <c r="S170" s="500"/>
      <c r="T170" s="500"/>
      <c r="U170" s="500"/>
      <c r="V170" s="500"/>
      <c r="W170" s="500"/>
      <c r="X170" s="500"/>
      <c r="Y170" s="500"/>
      <c r="Z170" s="500"/>
      <c r="AA170" s="500"/>
      <c r="AB170" s="500"/>
      <c r="AC170" s="500"/>
      <c r="AD170" s="500"/>
      <c r="AE170" s="500"/>
      <c r="AF170" s="500"/>
      <c r="AG170" s="500"/>
      <c r="AH170" s="500"/>
      <c r="AI170" s="500"/>
      <c r="AJ170" s="500"/>
    </row>
    <row r="171" spans="1:36" hidden="1" x14ac:dyDescent="0.2">
      <c r="A171" s="500"/>
      <c r="C171" s="500" t="s">
        <v>256</v>
      </c>
      <c r="D171" s="545">
        <f ca="1">E238</f>
        <v>0.29981500190501942</v>
      </c>
      <c r="E171" s="545">
        <f ca="1">E287</f>
        <v>0.25145303651958573</v>
      </c>
      <c r="F171" s="545">
        <f ca="1">+E336</f>
        <v>0.21529546460852544</v>
      </c>
      <c r="G171" s="500"/>
      <c r="H171" s="500"/>
      <c r="I171" s="500"/>
      <c r="J171" s="500"/>
      <c r="K171" s="500"/>
      <c r="L171" s="500"/>
      <c r="M171" s="500"/>
      <c r="N171" s="500"/>
      <c r="O171" s="500"/>
      <c r="P171" s="500"/>
      <c r="Q171" s="500"/>
      <c r="R171" s="500"/>
      <c r="S171" s="500"/>
      <c r="T171" s="500"/>
      <c r="U171" s="500"/>
      <c r="V171" s="500"/>
      <c r="W171" s="500"/>
      <c r="X171" s="500"/>
      <c r="Y171" s="500"/>
      <c r="Z171" s="500"/>
      <c r="AA171" s="500"/>
      <c r="AB171" s="500"/>
      <c r="AC171" s="500"/>
      <c r="AD171" s="500"/>
      <c r="AE171" s="500"/>
      <c r="AF171" s="500"/>
      <c r="AG171" s="500"/>
      <c r="AH171" s="500"/>
      <c r="AI171" s="500"/>
      <c r="AJ171" s="500"/>
    </row>
    <row r="172" spans="1:36" hidden="1" x14ac:dyDescent="0.2">
      <c r="A172" s="500"/>
      <c r="C172" s="500" t="s">
        <v>137</v>
      </c>
      <c r="D172" s="545">
        <f ca="1">+E255</f>
        <v>0.18839713580659345</v>
      </c>
      <c r="E172" s="545">
        <f ca="1">+E304</f>
        <v>0.1687627398026561</v>
      </c>
      <c r="F172" s="545">
        <f ca="1">+E353</f>
        <v>0.1600677684087024</v>
      </c>
      <c r="G172" s="500"/>
      <c r="H172" s="500"/>
      <c r="I172" s="500"/>
      <c r="J172" s="500"/>
      <c r="K172" s="500"/>
      <c r="L172" s="500"/>
      <c r="M172" s="500"/>
      <c r="N172" s="500"/>
      <c r="O172" s="500"/>
      <c r="P172" s="500"/>
      <c r="Q172" s="500"/>
      <c r="R172" s="500"/>
      <c r="S172" s="500"/>
      <c r="T172" s="500"/>
      <c r="U172" s="500"/>
      <c r="V172" s="500"/>
      <c r="W172" s="500"/>
      <c r="X172" s="500"/>
      <c r="Y172" s="500"/>
      <c r="Z172" s="500"/>
      <c r="AA172" s="500"/>
      <c r="AB172" s="500"/>
      <c r="AC172" s="500"/>
      <c r="AD172" s="500"/>
      <c r="AE172" s="500"/>
      <c r="AF172" s="500"/>
      <c r="AG172" s="500"/>
      <c r="AH172" s="500"/>
      <c r="AI172" s="500"/>
      <c r="AJ172" s="500"/>
    </row>
    <row r="173" spans="1:36" ht="12.75" hidden="1" customHeight="1" x14ac:dyDescent="0.2">
      <c r="A173" s="500"/>
      <c r="C173" s="500" t="s">
        <v>257</v>
      </c>
      <c r="D173" s="546" t="str">
        <f ca="1">+TEXT(E256,"0.0")&amp;"x"</f>
        <v>1.7x</v>
      </c>
      <c r="E173" s="546" t="str">
        <f ca="1">+TEXT(E305,"0.0")&amp;"x"</f>
        <v>2.1x</v>
      </c>
      <c r="F173" s="546" t="str">
        <f ca="1">+TEXT(E354,"0.0")&amp;"x"</f>
        <v>2.9x</v>
      </c>
      <c r="G173" s="500"/>
      <c r="H173" s="500"/>
      <c r="I173" s="500"/>
      <c r="J173" s="500"/>
      <c r="K173" s="500"/>
      <c r="L173" s="500"/>
      <c r="M173" s="500"/>
      <c r="N173" s="500"/>
      <c r="O173" s="500"/>
      <c r="P173" s="500"/>
      <c r="Q173" s="500"/>
      <c r="R173" s="500"/>
      <c r="S173" s="500"/>
      <c r="T173" s="500"/>
      <c r="U173" s="500"/>
      <c r="V173" s="500"/>
      <c r="W173" s="500"/>
      <c r="X173" s="500"/>
      <c r="Y173" s="500"/>
      <c r="Z173" s="500"/>
      <c r="AA173" s="500"/>
      <c r="AB173" s="500"/>
      <c r="AC173" s="500"/>
      <c r="AD173" s="500"/>
      <c r="AE173" s="500"/>
      <c r="AF173" s="500"/>
      <c r="AG173" s="500"/>
      <c r="AH173" s="500"/>
      <c r="AI173" s="500"/>
      <c r="AJ173" s="500"/>
    </row>
    <row r="174" spans="1:36" hidden="1" x14ac:dyDescent="0.2">
      <c r="A174" s="500"/>
      <c r="C174" s="500" t="s">
        <v>258</v>
      </c>
      <c r="D174" s="519">
        <f ca="1">ROUND(E257,-3)</f>
        <v>6980000</v>
      </c>
      <c r="E174" s="519">
        <f ca="1">ROUND(E306,-3)</f>
        <v>8726000</v>
      </c>
      <c r="F174" s="519">
        <f ca="1">ROUND(E355,-3)</f>
        <v>12082000</v>
      </c>
      <c r="G174" s="340"/>
      <c r="H174" s="500"/>
      <c r="I174" s="500"/>
      <c r="J174" s="500"/>
      <c r="K174" s="500"/>
      <c r="L174" s="500"/>
      <c r="M174" s="500"/>
      <c r="N174" s="500"/>
      <c r="O174" s="500"/>
      <c r="P174" s="500"/>
      <c r="Q174" s="500"/>
      <c r="R174" s="500"/>
      <c r="S174" s="500"/>
      <c r="T174" s="500"/>
      <c r="U174" s="500"/>
      <c r="V174" s="500"/>
      <c r="W174" s="500"/>
      <c r="X174" s="500"/>
      <c r="Y174" s="500"/>
      <c r="Z174" s="500"/>
      <c r="AA174" s="500"/>
      <c r="AB174" s="500"/>
      <c r="AC174" s="500"/>
      <c r="AD174" s="500"/>
      <c r="AE174" s="500"/>
      <c r="AF174" s="500"/>
      <c r="AG174" s="500"/>
      <c r="AH174" s="500"/>
      <c r="AI174" s="500"/>
      <c r="AJ174" s="500"/>
    </row>
    <row r="175" spans="1:36" hidden="1" x14ac:dyDescent="0.2">
      <c r="A175" s="500"/>
      <c r="C175" s="500" t="s">
        <v>148</v>
      </c>
      <c r="D175" s="519">
        <f ca="1">ROUND(SUM(F252:H252),-3)</f>
        <v>2114000</v>
      </c>
      <c r="E175" s="519">
        <f ca="1">ROUND(E307,-3)</f>
        <v>3461000</v>
      </c>
      <c r="F175" s="519">
        <f ca="1">ROUND(E356,-3)</f>
        <v>6635000</v>
      </c>
      <c r="G175" s="500"/>
      <c r="H175" s="500"/>
      <c r="I175" s="500"/>
      <c r="J175" s="500"/>
      <c r="K175" s="500"/>
      <c r="L175" s="500"/>
      <c r="M175" s="500"/>
      <c r="N175" s="500"/>
      <c r="O175" s="500"/>
      <c r="P175" s="500"/>
      <c r="Q175" s="500"/>
      <c r="R175" s="500"/>
      <c r="S175" s="500"/>
      <c r="T175" s="500"/>
      <c r="U175" s="500"/>
      <c r="V175" s="500"/>
      <c r="W175" s="500"/>
      <c r="X175" s="500"/>
      <c r="Y175" s="500"/>
      <c r="Z175" s="500"/>
      <c r="AA175" s="500"/>
      <c r="AB175" s="500"/>
      <c r="AC175" s="500"/>
      <c r="AD175" s="500"/>
      <c r="AE175" s="500"/>
      <c r="AF175" s="500"/>
      <c r="AG175" s="500"/>
      <c r="AH175" s="500"/>
      <c r="AI175" s="500"/>
      <c r="AJ175" s="500"/>
    </row>
    <row r="176" spans="1:36" hidden="1" x14ac:dyDescent="0.2">
      <c r="A176" s="500"/>
      <c r="C176" s="500"/>
      <c r="D176" s="500"/>
      <c r="E176" s="500"/>
      <c r="F176" s="500"/>
      <c r="G176" s="500"/>
      <c r="H176" s="500"/>
      <c r="I176" s="500"/>
      <c r="J176" s="500"/>
      <c r="K176" s="500"/>
      <c r="L176" s="500"/>
      <c r="M176" s="500"/>
      <c r="N176" s="500"/>
      <c r="O176" s="500"/>
      <c r="P176" s="500"/>
      <c r="Q176" s="500"/>
      <c r="R176" s="500"/>
      <c r="S176" s="500"/>
      <c r="T176" s="500"/>
      <c r="U176" s="500"/>
      <c r="V176" s="500"/>
      <c r="W176" s="500"/>
      <c r="X176" s="500"/>
      <c r="Y176" s="500"/>
      <c r="Z176" s="500"/>
      <c r="AA176" s="500"/>
      <c r="AB176" s="500"/>
      <c r="AC176" s="500"/>
      <c r="AD176" s="500"/>
      <c r="AE176" s="500"/>
      <c r="AF176" s="500"/>
      <c r="AG176" s="500"/>
      <c r="AH176" s="500"/>
      <c r="AI176" s="500"/>
      <c r="AJ176" s="500"/>
    </row>
    <row r="177" spans="3:21" hidden="1" x14ac:dyDescent="0.2">
      <c r="C177" s="856"/>
      <c r="D177" s="856"/>
      <c r="E177" s="500"/>
      <c r="F177" s="15"/>
      <c r="G177" s="500"/>
      <c r="H177" s="500"/>
      <c r="I177" s="500"/>
      <c r="J177" s="500"/>
      <c r="K177" s="500"/>
      <c r="L177" s="500"/>
      <c r="M177" s="500"/>
      <c r="N177" s="500"/>
      <c r="O177" s="500"/>
      <c r="P177" s="500"/>
      <c r="Q177" s="500"/>
      <c r="R177" s="500"/>
      <c r="S177" s="500"/>
      <c r="T177" s="500"/>
      <c r="U177" s="500"/>
    </row>
    <row r="178" spans="3:21" hidden="1" x14ac:dyDescent="0.2">
      <c r="C178" s="688" t="s">
        <v>259</v>
      </c>
      <c r="D178" s="523"/>
      <c r="E178" s="500"/>
      <c r="F178" s="15"/>
      <c r="G178" s="500"/>
      <c r="H178" s="500"/>
      <c r="I178" s="500"/>
      <c r="J178" s="500"/>
      <c r="K178" s="500"/>
      <c r="L178" s="500"/>
      <c r="M178" s="500"/>
      <c r="N178" s="500"/>
      <c r="O178" s="500"/>
      <c r="P178" s="500"/>
      <c r="Q178" s="500"/>
      <c r="R178" s="500"/>
      <c r="S178" s="500"/>
      <c r="T178" s="500"/>
      <c r="U178" s="500"/>
    </row>
    <row r="179" spans="3:21" hidden="1" x14ac:dyDescent="0.2">
      <c r="C179" s="688" t="s">
        <v>260</v>
      </c>
      <c r="D179" s="500"/>
      <c r="E179" s="500"/>
      <c r="F179" s="15"/>
      <c r="G179" s="15"/>
      <c r="H179" s="500"/>
      <c r="I179" s="500"/>
      <c r="J179" s="500"/>
      <c r="K179" s="500"/>
      <c r="L179" s="500"/>
      <c r="M179" s="500"/>
      <c r="N179" s="500"/>
      <c r="O179" s="500"/>
      <c r="P179" s="500"/>
      <c r="Q179" s="500"/>
      <c r="R179" s="500"/>
      <c r="S179" s="500"/>
      <c r="T179" s="500"/>
      <c r="U179" s="500"/>
    </row>
    <row r="180" spans="3:21" hidden="1" x14ac:dyDescent="0.2">
      <c r="C180" s="500"/>
      <c r="D180" s="500"/>
      <c r="E180" s="500"/>
      <c r="F180" s="15"/>
      <c r="G180" s="15"/>
      <c r="H180" s="15"/>
      <c r="I180" s="15"/>
      <c r="J180" s="15"/>
      <c r="K180" s="15"/>
      <c r="L180" s="15"/>
      <c r="M180" s="500"/>
      <c r="N180" s="500"/>
      <c r="O180" s="500"/>
      <c r="P180" s="500"/>
      <c r="Q180" s="500"/>
      <c r="R180" s="500"/>
      <c r="S180" s="500"/>
      <c r="T180" s="500"/>
      <c r="U180" s="500"/>
    </row>
    <row r="181" spans="3:21" hidden="1" x14ac:dyDescent="0.2">
      <c r="C181" s="500"/>
      <c r="D181" s="500"/>
      <c r="E181" s="500"/>
      <c r="F181" s="15"/>
      <c r="G181" s="15"/>
      <c r="H181" s="15"/>
      <c r="I181" s="15"/>
      <c r="J181" s="15"/>
      <c r="K181" s="15"/>
      <c r="L181" s="15"/>
      <c r="M181" s="500"/>
      <c r="N181" s="500"/>
      <c r="O181" s="500"/>
      <c r="P181" s="500"/>
      <c r="Q181" s="500"/>
      <c r="R181" s="500"/>
      <c r="S181" s="500"/>
      <c r="T181" s="500"/>
      <c r="U181" s="500"/>
    </row>
    <row r="182" spans="3:21" hidden="1" x14ac:dyDescent="0.2">
      <c r="C182" s="500"/>
      <c r="D182" s="500"/>
      <c r="E182" s="500"/>
      <c r="F182" s="15"/>
      <c r="G182" s="15"/>
      <c r="H182" s="15"/>
      <c r="I182" s="15"/>
      <c r="J182" s="15"/>
      <c r="K182" s="15"/>
      <c r="L182" s="15"/>
      <c r="M182" s="500"/>
      <c r="N182" s="500"/>
      <c r="O182" s="500"/>
      <c r="P182" s="500"/>
      <c r="Q182" s="500"/>
      <c r="R182" s="500"/>
      <c r="S182" s="500"/>
      <c r="T182" s="500"/>
      <c r="U182" s="500"/>
    </row>
    <row r="183" spans="3:21" hidden="1" x14ac:dyDescent="0.2">
      <c r="C183" s="500"/>
      <c r="D183" s="500"/>
      <c r="E183" s="500"/>
      <c r="F183" s="15"/>
      <c r="G183" s="15"/>
      <c r="H183" s="15"/>
      <c r="I183" s="15"/>
      <c r="J183" s="15"/>
      <c r="K183" s="15"/>
      <c r="L183" s="15"/>
      <c r="M183" s="500"/>
      <c r="N183" s="500"/>
      <c r="O183" s="500"/>
      <c r="P183" s="500"/>
      <c r="Q183" s="500"/>
      <c r="R183" s="500"/>
      <c r="S183" s="500"/>
      <c r="T183" s="500"/>
      <c r="U183" s="500"/>
    </row>
    <row r="184" spans="3:21" hidden="1" x14ac:dyDescent="0.2">
      <c r="C184" s="500"/>
      <c r="D184" s="500"/>
      <c r="E184" s="500"/>
      <c r="F184" s="15"/>
      <c r="G184" s="15"/>
      <c r="H184" s="15"/>
      <c r="I184" s="15"/>
      <c r="J184" s="15"/>
      <c r="K184" s="15"/>
      <c r="L184" s="15"/>
      <c r="M184" s="500"/>
      <c r="N184" s="500"/>
      <c r="O184" s="500"/>
      <c r="P184" s="500"/>
      <c r="Q184" s="500"/>
      <c r="R184" s="500"/>
      <c r="S184" s="500"/>
      <c r="T184" s="500"/>
      <c r="U184" s="500"/>
    </row>
    <row r="185" spans="3:21" hidden="1" x14ac:dyDescent="0.2">
      <c r="C185" s="500"/>
      <c r="D185" s="500"/>
      <c r="E185" s="500"/>
      <c r="F185" s="15"/>
      <c r="G185" s="15"/>
      <c r="H185" s="15"/>
      <c r="I185" s="15"/>
      <c r="J185" s="15"/>
      <c r="K185" s="15"/>
      <c r="L185" s="15"/>
      <c r="M185" s="500"/>
      <c r="N185" s="500"/>
      <c r="O185" s="500"/>
      <c r="P185" s="500"/>
      <c r="Q185" s="500"/>
      <c r="R185" s="500"/>
      <c r="S185" s="500"/>
      <c r="T185" s="500"/>
      <c r="U185" s="500"/>
    </row>
    <row r="186" spans="3:21" hidden="1" x14ac:dyDescent="0.2">
      <c r="C186" s="500"/>
      <c r="D186" s="500"/>
      <c r="E186" s="500"/>
      <c r="F186" s="15"/>
      <c r="G186" s="15"/>
      <c r="H186" s="317"/>
      <c r="I186" s="519"/>
      <c r="J186" s="519"/>
      <c r="K186" s="547"/>
      <c r="L186" s="519"/>
      <c r="M186" s="548"/>
      <c r="N186" s="519"/>
      <c r="O186" s="525"/>
      <c r="P186" s="525"/>
      <c r="Q186" s="15"/>
      <c r="R186" s="15"/>
      <c r="S186" s="15"/>
      <c r="T186" s="15"/>
      <c r="U186" s="15"/>
    </row>
    <row r="187" spans="3:21" hidden="1" x14ac:dyDescent="0.2">
      <c r="C187" s="500"/>
      <c r="D187" s="500"/>
      <c r="E187" s="500"/>
      <c r="F187" s="15"/>
      <c r="G187" s="15"/>
      <c r="H187" s="317"/>
      <c r="I187" s="519"/>
      <c r="J187" s="519"/>
      <c r="K187" s="547"/>
      <c r="L187" s="519"/>
      <c r="M187" s="548"/>
      <c r="N187" s="519"/>
      <c r="O187" s="525"/>
      <c r="P187" s="525"/>
      <c r="Q187" s="15"/>
      <c r="R187" s="15"/>
      <c r="S187" s="15"/>
      <c r="T187" s="15"/>
      <c r="U187" s="15"/>
    </row>
    <row r="188" spans="3:21" hidden="1" x14ac:dyDescent="0.2">
      <c r="C188" s="500"/>
      <c r="D188" s="500"/>
      <c r="E188" s="500"/>
      <c r="F188" s="15"/>
      <c r="G188" s="15"/>
      <c r="H188" s="317"/>
      <c r="I188" s="519"/>
      <c r="J188" s="519"/>
      <c r="K188" s="547"/>
      <c r="L188" s="519"/>
      <c r="M188" s="548"/>
      <c r="N188" s="519"/>
      <c r="O188" s="525"/>
      <c r="P188" s="525"/>
      <c r="Q188" s="15"/>
      <c r="R188" s="15"/>
      <c r="S188" s="15"/>
      <c r="T188" s="15"/>
      <c r="U188" s="15"/>
    </row>
    <row r="189" spans="3:21" hidden="1" x14ac:dyDescent="0.2">
      <c r="C189" s="500"/>
      <c r="D189" s="500"/>
      <c r="E189" s="500"/>
      <c r="F189" s="15"/>
      <c r="G189" s="15"/>
      <c r="H189" s="317"/>
      <c r="I189" s="519"/>
      <c r="J189" s="519"/>
      <c r="K189" s="547"/>
      <c r="L189" s="519"/>
      <c r="M189" s="548"/>
      <c r="N189" s="519"/>
      <c r="O189" s="525"/>
      <c r="P189" s="525"/>
      <c r="Q189" s="15"/>
      <c r="R189" s="15"/>
      <c r="S189" s="15"/>
      <c r="T189" s="15"/>
      <c r="U189" s="15"/>
    </row>
    <row r="190" spans="3:21" hidden="1" x14ac:dyDescent="0.2">
      <c r="C190" s="500"/>
      <c r="D190" s="500"/>
      <c r="E190" s="500"/>
      <c r="F190" s="15"/>
      <c r="G190" s="15"/>
      <c r="H190" s="317"/>
      <c r="I190" s="519"/>
      <c r="J190" s="519"/>
      <c r="K190" s="547"/>
      <c r="L190" s="519"/>
      <c r="M190" s="548"/>
      <c r="N190" s="519"/>
      <c r="O190" s="525"/>
      <c r="P190" s="525"/>
      <c r="Q190" s="15"/>
      <c r="R190" s="15"/>
      <c r="S190" s="15"/>
      <c r="T190" s="15"/>
      <c r="U190" s="15"/>
    </row>
    <row r="191" spans="3:21" ht="17.25" hidden="1" x14ac:dyDescent="0.3">
      <c r="C191" s="853" t="s">
        <v>261</v>
      </c>
      <c r="D191" s="853"/>
      <c r="E191" s="853"/>
      <c r="F191" s="853"/>
      <c r="G191" s="853"/>
      <c r="H191" s="853"/>
      <c r="I191" s="853"/>
      <c r="J191" s="853"/>
      <c r="K191" s="853"/>
      <c r="L191" s="853"/>
      <c r="M191" s="853"/>
      <c r="N191" s="853"/>
      <c r="O191" s="853"/>
      <c r="P191" s="15"/>
      <c r="Q191" s="500"/>
      <c r="R191" s="500"/>
      <c r="S191" s="500"/>
      <c r="T191" s="500"/>
      <c r="U191" s="500"/>
    </row>
    <row r="192" spans="3:21" hidden="1" x14ac:dyDescent="0.2">
      <c r="C192" s="500"/>
      <c r="D192" s="500"/>
      <c r="E192" s="500"/>
      <c r="F192" s="656" t="s">
        <v>28</v>
      </c>
      <c r="G192" s="656" t="s">
        <v>29</v>
      </c>
      <c r="H192" s="656" t="s">
        <v>30</v>
      </c>
      <c r="I192" s="656" t="s">
        <v>31</v>
      </c>
      <c r="J192" s="656" t="s">
        <v>45</v>
      </c>
      <c r="K192" s="656" t="s">
        <v>46</v>
      </c>
      <c r="L192" s="656" t="s">
        <v>262</v>
      </c>
      <c r="M192" s="656" t="s">
        <v>263</v>
      </c>
      <c r="N192" s="656" t="s">
        <v>264</v>
      </c>
      <c r="O192" s="656" t="s">
        <v>265</v>
      </c>
      <c r="P192" s="292"/>
      <c r="Q192" s="500"/>
      <c r="R192" s="500"/>
      <c r="S192" s="500"/>
      <c r="T192" s="500"/>
      <c r="U192" s="500"/>
    </row>
    <row r="193" spans="3:21" hidden="1" x14ac:dyDescent="0.2">
      <c r="C193" s="500" t="s">
        <v>143</v>
      </c>
      <c r="D193" s="500"/>
      <c r="E193" s="500"/>
      <c r="F193" s="657">
        <f t="shared" ref="F193:O193" ca="1" si="274">F86</f>
        <v>655592.18618399987</v>
      </c>
      <c r="G193" s="657">
        <f t="shared" ca="1" si="274"/>
        <v>775409.93710768002</v>
      </c>
      <c r="H193" s="657">
        <f t="shared" ca="1" si="274"/>
        <v>833852.52727383364</v>
      </c>
      <c r="I193" s="657">
        <f t="shared" ca="1" si="274"/>
        <v>896029.48853035062</v>
      </c>
      <c r="J193" s="657">
        <f t="shared" ca="1" si="274"/>
        <v>950225.65983185044</v>
      </c>
      <c r="K193" s="657">
        <f t="shared" ca="1" si="274"/>
        <v>994772.12443781272</v>
      </c>
      <c r="L193" s="657">
        <f t="shared" ca="1" si="274"/>
        <v>1041228.7652932375</v>
      </c>
      <c r="M193" s="657">
        <f t="shared" ca="1" si="274"/>
        <v>1089674.4828684377</v>
      </c>
      <c r="N193" s="657">
        <f t="shared" ca="1" si="274"/>
        <v>1140191.3813329544</v>
      </c>
      <c r="O193" s="657">
        <f t="shared" ca="1" si="274"/>
        <v>1192864.8975914982</v>
      </c>
      <c r="P193" s="13"/>
      <c r="Q193" s="500"/>
      <c r="R193" s="500"/>
      <c r="S193" s="500"/>
      <c r="T193" s="500"/>
      <c r="U193" s="500"/>
    </row>
    <row r="194" spans="3:21" hidden="1" x14ac:dyDescent="0.2">
      <c r="C194" s="500" t="s">
        <v>266</v>
      </c>
      <c r="D194" s="500"/>
      <c r="E194" s="500"/>
      <c r="F194" s="657">
        <f t="shared" ref="F194:O194" si="275">SUM(F106:F109)</f>
        <v>0</v>
      </c>
      <c r="G194" s="657">
        <f t="shared" si="275"/>
        <v>0</v>
      </c>
      <c r="H194" s="657">
        <f t="shared" si="275"/>
        <v>0</v>
      </c>
      <c r="I194" s="657">
        <f t="shared" si="275"/>
        <v>0</v>
      </c>
      <c r="J194" s="657">
        <f t="shared" si="275"/>
        <v>0</v>
      </c>
      <c r="K194" s="657">
        <f t="shared" si="275"/>
        <v>0</v>
      </c>
      <c r="L194" s="657">
        <f t="shared" si="275"/>
        <v>0</v>
      </c>
      <c r="M194" s="657">
        <f t="shared" si="275"/>
        <v>0</v>
      </c>
      <c r="N194" s="657">
        <f t="shared" si="275"/>
        <v>0</v>
      </c>
      <c r="O194" s="657">
        <f t="shared" si="275"/>
        <v>0</v>
      </c>
      <c r="P194" s="15"/>
      <c r="Q194" s="500"/>
      <c r="R194" s="500"/>
      <c r="S194" s="500"/>
      <c r="T194" s="500"/>
      <c r="U194" s="500"/>
    </row>
    <row r="195" spans="3:21" hidden="1" x14ac:dyDescent="0.2">
      <c r="C195" s="500"/>
      <c r="D195" s="500"/>
      <c r="E195" s="500"/>
      <c r="F195" s="657"/>
      <c r="G195" s="657"/>
      <c r="H195" s="657"/>
      <c r="I195" s="657"/>
      <c r="J195" s="657"/>
      <c r="K195" s="657"/>
      <c r="L195" s="657"/>
      <c r="M195" s="657"/>
      <c r="N195" s="657"/>
      <c r="O195" s="657"/>
      <c r="P195" s="15"/>
      <c r="Q195" s="500"/>
      <c r="R195" s="500"/>
      <c r="S195" s="500"/>
      <c r="T195" s="500"/>
      <c r="U195" s="500"/>
    </row>
    <row r="196" spans="3:21" hidden="1" x14ac:dyDescent="0.2">
      <c r="C196" s="500" t="s">
        <v>267</v>
      </c>
      <c r="D196" s="500"/>
      <c r="E196" s="500"/>
      <c r="F196" s="657"/>
      <c r="G196" s="657"/>
      <c r="H196" s="657">
        <f ca="1">(H193/RefiCap)*(1-Cost_of_Sale)</f>
        <v>14706126.390102157</v>
      </c>
      <c r="I196" s="657"/>
      <c r="J196" s="657"/>
      <c r="K196" s="657"/>
      <c r="L196" s="657"/>
      <c r="M196" s="657"/>
      <c r="N196" s="657"/>
      <c r="O196" s="657"/>
      <c r="P196" s="15"/>
      <c r="Q196" s="500"/>
      <c r="R196" s="500"/>
      <c r="S196" s="500"/>
      <c r="T196" s="500"/>
      <c r="U196" s="500"/>
    </row>
    <row r="197" spans="3:21" hidden="1" x14ac:dyDescent="0.2">
      <c r="C197" s="500" t="s">
        <v>268</v>
      </c>
      <c r="D197" s="500"/>
      <c r="E197" s="531">
        <f>-D6</f>
        <v>-10860000</v>
      </c>
      <c r="F197" s="657">
        <f ca="1">SUM(F193:F196)</f>
        <v>655592.18618399987</v>
      </c>
      <c r="G197" s="657">
        <f ca="1">SUM(G193:G196)</f>
        <v>775409.93710768002</v>
      </c>
      <c r="H197" s="657">
        <f ca="1">SUM(H193:H196)</f>
        <v>15539978.917375991</v>
      </c>
      <c r="I197" s="15"/>
      <c r="J197" s="15"/>
      <c r="K197" s="15"/>
      <c r="L197" s="15"/>
      <c r="M197" s="15"/>
      <c r="N197" s="15"/>
      <c r="O197" s="15"/>
      <c r="P197" s="15"/>
      <c r="Q197" s="500"/>
      <c r="R197" s="500"/>
      <c r="S197" s="500"/>
      <c r="T197" s="500"/>
      <c r="U197" s="500"/>
    </row>
    <row r="198" spans="3:21" hidden="1" x14ac:dyDescent="0.2">
      <c r="C198" s="500" t="s">
        <v>269</v>
      </c>
      <c r="D198" s="500"/>
      <c r="E198" s="529">
        <f ca="1">IRR(E197:H197)</f>
        <v>0.16884323827011061</v>
      </c>
      <c r="F198" s="15"/>
      <c r="G198" s="15"/>
      <c r="H198" s="15"/>
      <c r="I198" s="15"/>
      <c r="J198" s="15"/>
      <c r="K198" s="15"/>
      <c r="L198" s="15"/>
      <c r="M198" s="15"/>
      <c r="N198" s="15"/>
      <c r="O198" s="15"/>
      <c r="P198" s="15"/>
      <c r="Q198" s="500"/>
      <c r="R198" s="500"/>
      <c r="S198" s="500"/>
      <c r="T198" s="500"/>
      <c r="U198" s="500"/>
    </row>
    <row r="199" spans="3:21" hidden="1" x14ac:dyDescent="0.2">
      <c r="C199" s="500"/>
      <c r="D199" s="500"/>
      <c r="E199" s="539"/>
      <c r="F199" s="15"/>
      <c r="G199" s="15"/>
      <c r="H199" s="15"/>
      <c r="I199" s="15"/>
      <c r="J199" s="15"/>
      <c r="K199" s="15"/>
      <c r="L199" s="15"/>
      <c r="M199" s="15"/>
      <c r="N199" s="15"/>
      <c r="O199" s="15"/>
      <c r="P199" s="15"/>
      <c r="Q199" s="500"/>
      <c r="R199" s="500"/>
      <c r="S199" s="500"/>
      <c r="T199" s="500"/>
      <c r="U199" s="500"/>
    </row>
    <row r="200" spans="3:21" hidden="1" x14ac:dyDescent="0.2">
      <c r="C200" s="500"/>
      <c r="D200" s="500"/>
      <c r="E200" s="500"/>
      <c r="F200" s="15"/>
      <c r="G200" s="15"/>
      <c r="H200" s="15"/>
      <c r="I200" s="15"/>
      <c r="J200" s="15"/>
      <c r="K200" s="15"/>
      <c r="L200" s="15"/>
      <c r="M200" s="15"/>
      <c r="N200" s="15"/>
      <c r="O200" s="15"/>
      <c r="P200" s="15"/>
      <c r="Q200" s="500"/>
      <c r="R200" s="500"/>
      <c r="S200" s="500"/>
      <c r="T200" s="500"/>
      <c r="U200" s="500"/>
    </row>
    <row r="201" spans="3:21" hidden="1" x14ac:dyDescent="0.2">
      <c r="C201" s="500" t="s">
        <v>270</v>
      </c>
      <c r="D201" s="500"/>
      <c r="E201" s="500"/>
      <c r="F201" s="15"/>
      <c r="G201" s="15"/>
      <c r="H201" s="15"/>
      <c r="I201" s="15"/>
      <c r="J201" s="339">
        <f ca="1">(J193/RefiCap)*(1-Cost_of_Sale)</f>
        <v>16758525.273398088</v>
      </c>
      <c r="K201" s="15"/>
      <c r="L201" s="15"/>
      <c r="M201" s="15"/>
      <c r="N201" s="15"/>
      <c r="O201" s="15"/>
      <c r="P201" s="15"/>
      <c r="Q201" s="500"/>
      <c r="R201" s="500"/>
      <c r="S201" s="500"/>
      <c r="T201" s="500"/>
      <c r="U201" s="500"/>
    </row>
    <row r="202" spans="3:21" hidden="1" x14ac:dyDescent="0.2">
      <c r="C202" s="500" t="s">
        <v>271</v>
      </c>
      <c r="D202" s="500"/>
      <c r="E202" s="538">
        <f>E197</f>
        <v>-10860000</v>
      </c>
      <c r="F202" s="13">
        <f ca="1">SUM(F193:F194,F201)</f>
        <v>655592.18618399987</v>
      </c>
      <c r="G202" s="13">
        <f ca="1">SUM(G193:G194,G201)</f>
        <v>775409.93710768002</v>
      </c>
      <c r="H202" s="13">
        <f ca="1">SUM(H193:H194,H201)</f>
        <v>833852.52727383364</v>
      </c>
      <c r="I202" s="13">
        <f ca="1">SUM(I193:I194,I201)</f>
        <v>896029.48853035062</v>
      </c>
      <c r="J202" s="13">
        <f ca="1">SUM(J193:J194,J201)</f>
        <v>17708750.933229938</v>
      </c>
      <c r="K202" s="15"/>
      <c r="L202" s="15"/>
      <c r="M202" s="15"/>
      <c r="N202" s="15"/>
      <c r="O202" s="15"/>
      <c r="P202" s="15"/>
      <c r="Q202" s="500"/>
      <c r="R202" s="500"/>
      <c r="S202" s="500"/>
      <c r="T202" s="500"/>
      <c r="U202" s="500"/>
    </row>
    <row r="203" spans="3:21" hidden="1" x14ac:dyDescent="0.2">
      <c r="C203" s="500" t="s">
        <v>272</v>
      </c>
      <c r="D203" s="500"/>
      <c r="E203" s="529">
        <f ca="1">IRR(E202:J202)</f>
        <v>0.15378764671296441</v>
      </c>
      <c r="F203" s="15"/>
      <c r="G203" s="15"/>
      <c r="H203" s="15"/>
      <c r="I203" s="15"/>
      <c r="J203" s="15"/>
      <c r="K203" s="15"/>
      <c r="L203" s="316"/>
      <c r="M203" s="15"/>
      <c r="N203" s="15"/>
      <c r="O203" s="15"/>
      <c r="P203" s="15"/>
      <c r="Q203" s="500"/>
      <c r="R203" s="500"/>
      <c r="S203" s="500"/>
      <c r="T203" s="500"/>
      <c r="U203" s="500"/>
    </row>
    <row r="204" spans="3:21" hidden="1" x14ac:dyDescent="0.2">
      <c r="C204" s="500"/>
      <c r="D204" s="500"/>
      <c r="E204" s="529"/>
      <c r="F204" s="15"/>
      <c r="G204" s="15"/>
      <c r="H204" s="15"/>
      <c r="I204" s="15"/>
      <c r="J204" s="15"/>
      <c r="K204" s="15"/>
      <c r="L204" s="316"/>
      <c r="M204" s="15"/>
      <c r="N204" s="15"/>
      <c r="O204" s="15"/>
      <c r="P204" s="15"/>
      <c r="Q204" s="500"/>
      <c r="R204" s="500"/>
      <c r="S204" s="500"/>
      <c r="T204" s="500"/>
      <c r="U204" s="500"/>
    </row>
    <row r="205" spans="3:21" hidden="1" x14ac:dyDescent="0.2">
      <c r="C205" s="500"/>
      <c r="D205" s="500"/>
      <c r="E205" s="500"/>
      <c r="F205" s="15"/>
      <c r="G205" s="15"/>
      <c r="H205" s="15"/>
      <c r="I205" s="15"/>
      <c r="J205" s="15"/>
      <c r="K205" s="15"/>
      <c r="L205" s="15"/>
      <c r="M205" s="15"/>
      <c r="N205" s="15"/>
      <c r="O205" s="15"/>
      <c r="P205" s="15"/>
      <c r="Q205" s="500"/>
      <c r="R205" s="500"/>
      <c r="S205" s="500"/>
      <c r="T205" s="500"/>
      <c r="U205" s="500"/>
    </row>
    <row r="206" spans="3:21" hidden="1" x14ac:dyDescent="0.2">
      <c r="C206" s="500" t="s">
        <v>273</v>
      </c>
      <c r="D206" s="500"/>
      <c r="E206" s="500"/>
      <c r="F206" s="15"/>
      <c r="G206" s="15"/>
      <c r="H206" s="15"/>
      <c r="I206" s="15"/>
      <c r="J206" s="13"/>
      <c r="K206" s="15"/>
      <c r="L206" s="15"/>
      <c r="M206" s="15"/>
      <c r="N206" s="15"/>
      <c r="O206" s="339">
        <f ca="1">(O193/RefiCap)*(1-Cost_of_Sale)</f>
        <v>21037799.102977332</v>
      </c>
      <c r="P206" s="15"/>
      <c r="Q206" s="500"/>
      <c r="R206" s="500"/>
      <c r="S206" s="500"/>
      <c r="T206" s="500"/>
      <c r="U206" s="500"/>
    </row>
    <row r="207" spans="3:21" hidden="1" x14ac:dyDescent="0.2">
      <c r="C207" s="500" t="s">
        <v>274</v>
      </c>
      <c r="D207" s="500"/>
      <c r="E207" s="538">
        <f>E202</f>
        <v>-10860000</v>
      </c>
      <c r="F207" s="13">
        <f t="shared" ref="F207:O207" ca="1" si="276">SUM(F193:F194,F206)</f>
        <v>655592.18618399987</v>
      </c>
      <c r="G207" s="13">
        <f t="shared" ca="1" si="276"/>
        <v>775409.93710768002</v>
      </c>
      <c r="H207" s="13">
        <f t="shared" ca="1" si="276"/>
        <v>833852.52727383364</v>
      </c>
      <c r="I207" s="13">
        <f t="shared" ca="1" si="276"/>
        <v>896029.48853035062</v>
      </c>
      <c r="J207" s="13">
        <f t="shared" ca="1" si="276"/>
        <v>950225.65983185044</v>
      </c>
      <c r="K207" s="13">
        <f t="shared" ca="1" si="276"/>
        <v>994772.12443781272</v>
      </c>
      <c r="L207" s="13">
        <f t="shared" ca="1" si="276"/>
        <v>1041228.7652932375</v>
      </c>
      <c r="M207" s="13">
        <f t="shared" ca="1" si="276"/>
        <v>1089674.4828684377</v>
      </c>
      <c r="N207" s="13">
        <f t="shared" ca="1" si="276"/>
        <v>1140191.3813329544</v>
      </c>
      <c r="O207" s="13">
        <f t="shared" ca="1" si="276"/>
        <v>22230664.000568829</v>
      </c>
      <c r="P207" s="15"/>
      <c r="Q207" s="500"/>
      <c r="R207" s="500"/>
      <c r="S207" s="500"/>
      <c r="T207" s="500"/>
      <c r="U207" s="500"/>
    </row>
    <row r="208" spans="3:21" hidden="1" x14ac:dyDescent="0.2">
      <c r="C208" s="500" t="s">
        <v>275</v>
      </c>
      <c r="D208" s="500"/>
      <c r="E208" s="529">
        <f ca="1">IRR(E207:O207)</f>
        <v>0.13303838887720731</v>
      </c>
      <c r="F208" s="15"/>
      <c r="G208" s="15"/>
      <c r="H208" s="15"/>
      <c r="I208" s="15"/>
      <c r="J208" s="15"/>
      <c r="K208" s="15"/>
      <c r="L208" s="15"/>
      <c r="M208" s="15"/>
      <c r="N208" s="15"/>
      <c r="O208" s="15"/>
      <c r="P208" s="15"/>
      <c r="Q208" s="500"/>
      <c r="R208" s="500"/>
      <c r="S208" s="500"/>
      <c r="T208" s="500"/>
      <c r="U208" s="500"/>
    </row>
    <row r="209" spans="3:21" hidden="1" x14ac:dyDescent="0.2">
      <c r="C209" s="500"/>
      <c r="D209" s="500"/>
      <c r="E209" s="500"/>
      <c r="F209" s="15"/>
      <c r="G209" s="15"/>
      <c r="H209" s="15"/>
      <c r="I209" s="15"/>
      <c r="J209" s="15"/>
      <c r="K209" s="15"/>
      <c r="L209" s="15"/>
      <c r="M209" s="15"/>
      <c r="N209" s="15"/>
      <c r="O209" s="15"/>
      <c r="P209" s="15"/>
      <c r="Q209" s="500"/>
      <c r="R209" s="500"/>
      <c r="S209" s="500"/>
      <c r="T209" s="500"/>
      <c r="U209" s="500"/>
    </row>
    <row r="210" spans="3:21" hidden="1" x14ac:dyDescent="0.2">
      <c r="C210" s="500"/>
      <c r="D210" s="500"/>
      <c r="E210" s="500"/>
      <c r="F210" s="15"/>
      <c r="G210" s="15"/>
      <c r="H210" s="15"/>
      <c r="I210" s="15"/>
      <c r="J210" s="15"/>
      <c r="K210" s="15"/>
      <c r="L210" s="15"/>
      <c r="M210" s="15"/>
      <c r="N210" s="15"/>
      <c r="O210" s="15"/>
      <c r="P210" s="15"/>
      <c r="Q210" s="500"/>
      <c r="R210" s="500"/>
      <c r="S210" s="500"/>
      <c r="T210" s="500"/>
      <c r="U210" s="500"/>
    </row>
    <row r="211" spans="3:21" hidden="1" x14ac:dyDescent="0.2">
      <c r="C211" s="500"/>
      <c r="D211" s="500"/>
      <c r="E211" s="500"/>
      <c r="F211" s="15"/>
      <c r="G211" s="15"/>
      <c r="H211" s="15"/>
      <c r="I211" s="15"/>
      <c r="J211" s="15"/>
      <c r="K211" s="15"/>
      <c r="L211" s="15"/>
      <c r="M211" s="15"/>
      <c r="N211" s="15"/>
      <c r="O211" s="15"/>
      <c r="P211" s="15"/>
      <c r="Q211" s="500"/>
      <c r="R211" s="500"/>
      <c r="S211" s="500"/>
      <c r="T211" s="500"/>
      <c r="U211" s="500"/>
    </row>
    <row r="212" spans="3:21" ht="15.75" hidden="1" x14ac:dyDescent="0.25">
      <c r="C212" s="852" t="s">
        <v>276</v>
      </c>
      <c r="D212" s="852"/>
      <c r="E212" s="852"/>
      <c r="F212" s="852"/>
      <c r="G212" s="852"/>
      <c r="H212" s="852"/>
      <c r="I212" s="15"/>
      <c r="J212" s="15"/>
      <c r="K212" s="15"/>
      <c r="L212" s="15"/>
      <c r="M212" s="15"/>
      <c r="N212" s="15"/>
      <c r="O212" s="15"/>
      <c r="P212" s="15"/>
      <c r="Q212" s="500"/>
      <c r="R212" s="500"/>
      <c r="S212" s="500"/>
      <c r="T212" s="500"/>
      <c r="U212" s="500"/>
    </row>
    <row r="213" spans="3:21" ht="15" hidden="1" x14ac:dyDescent="0.25">
      <c r="C213" s="304"/>
      <c r="D213" s="304"/>
      <c r="E213" s="304"/>
      <c r="F213" s="656" t="s">
        <v>28</v>
      </c>
      <c r="G213" s="656" t="s">
        <v>29</v>
      </c>
      <c r="H213" s="656" t="s">
        <v>30</v>
      </c>
      <c r="I213" s="305"/>
      <c r="J213" s="305"/>
      <c r="K213" s="305"/>
      <c r="L213" s="305"/>
      <c r="M213" s="305"/>
      <c r="N213" s="305"/>
      <c r="O213" s="305"/>
      <c r="P213" s="305"/>
      <c r="Q213" s="500"/>
      <c r="R213" s="500"/>
      <c r="S213" s="500"/>
      <c r="T213" s="500"/>
      <c r="U213" s="500"/>
    </row>
    <row r="214" spans="3:21" hidden="1" x14ac:dyDescent="0.2">
      <c r="C214" s="500" t="s">
        <v>143</v>
      </c>
      <c r="D214" s="500"/>
      <c r="E214" s="500"/>
      <c r="F214" s="657">
        <f ca="1">+F193</f>
        <v>655592.18618399987</v>
      </c>
      <c r="G214" s="657">
        <f ca="1">+G193</f>
        <v>775409.93710768002</v>
      </c>
      <c r="H214" s="657">
        <f ca="1">+H193</f>
        <v>833852.52727383364</v>
      </c>
      <c r="I214" s="15"/>
      <c r="J214" s="15"/>
      <c r="K214" s="15"/>
      <c r="L214" s="15"/>
      <c r="M214" s="15"/>
      <c r="N214" s="15"/>
      <c r="O214" s="15"/>
      <c r="P214" s="15"/>
      <c r="Q214" s="500"/>
      <c r="R214" s="500"/>
      <c r="S214" s="500"/>
      <c r="T214" s="500"/>
      <c r="U214" s="500"/>
    </row>
    <row r="215" spans="3:21" hidden="1" x14ac:dyDescent="0.2">
      <c r="C215" s="500"/>
      <c r="D215" s="500"/>
      <c r="E215" s="500"/>
      <c r="F215" s="15"/>
      <c r="G215" s="15"/>
      <c r="H215" s="15"/>
      <c r="I215" s="15"/>
      <c r="J215" s="15"/>
      <c r="K215" s="15"/>
      <c r="L215" s="15"/>
      <c r="M215" s="15"/>
      <c r="N215" s="15"/>
      <c r="O215" s="15"/>
      <c r="P215" s="15"/>
      <c r="Q215" s="500"/>
      <c r="R215" s="500"/>
      <c r="S215" s="500"/>
      <c r="T215" s="500"/>
      <c r="U215" s="500"/>
    </row>
    <row r="216" spans="3:21" hidden="1" x14ac:dyDescent="0.2">
      <c r="C216" s="11" t="str">
        <f t="shared" ref="C216:C222" si="277">+C92</f>
        <v>Debt service</v>
      </c>
      <c r="D216" s="500"/>
      <c r="E216" s="500"/>
      <c r="F216" s="15"/>
      <c r="G216" s="15"/>
      <c r="H216" s="15"/>
      <c r="I216" s="15"/>
      <c r="J216" s="15"/>
      <c r="K216" s="15"/>
      <c r="L216" s="15"/>
      <c r="M216" s="15"/>
      <c r="N216" s="15"/>
      <c r="O216" s="15"/>
      <c r="P216" s="15"/>
      <c r="Q216" s="500"/>
      <c r="R216" s="500"/>
      <c r="S216" s="500"/>
      <c r="T216" s="500"/>
      <c r="U216" s="500"/>
    </row>
    <row r="217" spans="3:21" hidden="1" x14ac:dyDescent="0.2">
      <c r="C217" s="32" t="str">
        <f t="shared" si="277"/>
        <v>Additional debt/Refinance</v>
      </c>
      <c r="D217" s="500"/>
      <c r="E217" s="500"/>
      <c r="F217" s="531">
        <f t="shared" ref="F217:H222" si="278">+F93</f>
        <v>6630000</v>
      </c>
      <c r="G217" s="531">
        <f t="shared" si="278"/>
        <v>6555827.3689279072</v>
      </c>
      <c r="H217" s="531">
        <f t="shared" si="278"/>
        <v>6476951.343151113</v>
      </c>
      <c r="I217" s="15"/>
      <c r="J217" s="15"/>
      <c r="K217" s="15"/>
      <c r="L217" s="15"/>
      <c r="M217" s="15"/>
      <c r="N217" s="15"/>
      <c r="O217" s="15"/>
      <c r="P217" s="15"/>
      <c r="Q217" s="500"/>
      <c r="R217" s="500"/>
      <c r="S217" s="500"/>
      <c r="T217" s="500"/>
      <c r="U217" s="500"/>
    </row>
    <row r="218" spans="3:21" hidden="1" x14ac:dyDescent="0.2">
      <c r="C218" s="503" t="str">
        <f t="shared" si="277"/>
        <v>Additional debt/Refinance</v>
      </c>
      <c r="D218" s="500"/>
      <c r="E218" s="500"/>
      <c r="F218" s="531">
        <f t="shared" si="278"/>
        <v>0</v>
      </c>
      <c r="G218" s="531">
        <f t="shared" si="278"/>
        <v>0</v>
      </c>
      <c r="H218" s="531">
        <f t="shared" si="278"/>
        <v>0</v>
      </c>
      <c r="I218" s="15"/>
      <c r="J218" s="15"/>
      <c r="K218" s="15"/>
      <c r="L218" s="15"/>
      <c r="M218" s="15"/>
      <c r="N218" s="15"/>
      <c r="O218" s="15"/>
      <c r="P218" s="15"/>
      <c r="Q218" s="500"/>
      <c r="R218" s="500"/>
      <c r="S218" s="500"/>
      <c r="T218" s="500"/>
      <c r="U218" s="500"/>
    </row>
    <row r="219" spans="3:21" hidden="1" x14ac:dyDescent="0.2">
      <c r="C219" s="32" t="str">
        <f t="shared" si="277"/>
        <v>Payment</v>
      </c>
      <c r="D219" s="500"/>
      <c r="E219" s="500"/>
      <c r="F219" s="531">
        <f t="shared" si="278"/>
        <v>494590.59982209268</v>
      </c>
      <c r="G219" s="531">
        <f t="shared" si="278"/>
        <v>494590.59982209268</v>
      </c>
      <c r="H219" s="531">
        <f t="shared" si="278"/>
        <v>494590.59982209268</v>
      </c>
      <c r="I219" s="15"/>
      <c r="J219" s="15"/>
      <c r="K219" s="15"/>
      <c r="L219" s="15"/>
      <c r="M219" s="15"/>
      <c r="N219" s="15"/>
      <c r="O219" s="15"/>
      <c r="P219" s="15"/>
      <c r="Q219" s="500"/>
      <c r="R219" s="500"/>
      <c r="S219" s="500"/>
      <c r="T219" s="500"/>
      <c r="U219" s="500"/>
    </row>
    <row r="220" spans="3:21" hidden="1" x14ac:dyDescent="0.2">
      <c r="C220" s="32" t="str">
        <f t="shared" si="277"/>
        <v>Principal</v>
      </c>
      <c r="D220" s="500"/>
      <c r="E220" s="500"/>
      <c r="F220" s="531">
        <f t="shared" si="278"/>
        <v>74172.631072092685</v>
      </c>
      <c r="G220" s="531">
        <f t="shared" si="278"/>
        <v>78876.025776794355</v>
      </c>
      <c r="H220" s="531">
        <f t="shared" si="278"/>
        <v>83877.669598838489</v>
      </c>
      <c r="I220" s="15"/>
      <c r="J220" s="15"/>
      <c r="K220" s="15"/>
      <c r="L220" s="15"/>
      <c r="M220" s="15"/>
      <c r="N220" s="15"/>
      <c r="O220" s="15"/>
      <c r="P220" s="15"/>
      <c r="Q220" s="500"/>
      <c r="R220" s="500"/>
      <c r="S220" s="500"/>
      <c r="T220" s="500"/>
      <c r="U220" s="500"/>
    </row>
    <row r="221" spans="3:21" hidden="1" x14ac:dyDescent="0.2">
      <c r="C221" s="32" t="str">
        <f t="shared" si="277"/>
        <v>Interest</v>
      </c>
      <c r="D221" s="500"/>
      <c r="E221" s="500"/>
      <c r="F221" s="531">
        <f t="shared" si="278"/>
        <v>420417.96875</v>
      </c>
      <c r="G221" s="531">
        <f t="shared" si="278"/>
        <v>415714.57404529833</v>
      </c>
      <c r="H221" s="531">
        <f t="shared" si="278"/>
        <v>410712.9302232542</v>
      </c>
      <c r="I221" s="15"/>
      <c r="J221" s="15"/>
      <c r="K221" s="15"/>
      <c r="L221" s="15"/>
      <c r="M221" s="15"/>
      <c r="N221" s="15"/>
      <c r="O221" s="15"/>
      <c r="P221" s="15"/>
      <c r="Q221" s="500"/>
      <c r="R221" s="500"/>
      <c r="S221" s="500"/>
      <c r="T221" s="500"/>
      <c r="U221" s="500"/>
    </row>
    <row r="222" spans="3:21" hidden="1" x14ac:dyDescent="0.2">
      <c r="C222" s="32" t="str">
        <f t="shared" si="277"/>
        <v>Ending balance</v>
      </c>
      <c r="D222" s="500"/>
      <c r="E222" s="500"/>
      <c r="F222" s="531">
        <f t="shared" si="278"/>
        <v>6555827.3689279072</v>
      </c>
      <c r="G222" s="531">
        <f t="shared" si="278"/>
        <v>6476951.343151113</v>
      </c>
      <c r="H222" s="531">
        <f t="shared" si="278"/>
        <v>6393073.6735522747</v>
      </c>
      <c r="I222" s="15"/>
      <c r="J222" s="15"/>
      <c r="K222" s="15"/>
      <c r="L222" s="15"/>
      <c r="M222" s="15"/>
      <c r="N222" s="15"/>
      <c r="O222" s="15"/>
      <c r="P222" s="15"/>
      <c r="Q222" s="500"/>
      <c r="R222" s="500"/>
      <c r="S222" s="500"/>
      <c r="T222" s="500"/>
      <c r="U222" s="500"/>
    </row>
    <row r="223" spans="3:21" hidden="1" x14ac:dyDescent="0.2">
      <c r="C223" s="500"/>
      <c r="D223" s="500"/>
      <c r="E223" s="500"/>
      <c r="F223" s="538"/>
      <c r="G223" s="538"/>
      <c r="H223" s="538"/>
      <c r="I223" s="15"/>
      <c r="J223" s="15"/>
      <c r="K223" s="15"/>
      <c r="L223" s="15"/>
      <c r="M223" s="15"/>
      <c r="N223" s="15"/>
      <c r="O223" s="15"/>
      <c r="P223" s="15"/>
      <c r="Q223" s="500"/>
      <c r="R223" s="500"/>
      <c r="S223" s="500"/>
      <c r="T223" s="500"/>
      <c r="U223" s="500"/>
    </row>
    <row r="224" spans="3:21" hidden="1" x14ac:dyDescent="0.2">
      <c r="C224" s="269"/>
      <c r="D224" s="500"/>
      <c r="E224" s="500"/>
      <c r="F224" s="538"/>
      <c r="G224" s="538"/>
      <c r="H224" s="538"/>
      <c r="I224" s="15"/>
      <c r="J224" s="15"/>
      <c r="K224" s="15"/>
      <c r="L224" s="15"/>
      <c r="M224" s="15"/>
      <c r="N224" s="15"/>
      <c r="O224" s="15"/>
      <c r="P224" s="15"/>
      <c r="Q224" s="500"/>
      <c r="R224" s="500"/>
      <c r="S224" s="500"/>
      <c r="T224" s="500"/>
      <c r="U224" s="500"/>
    </row>
    <row r="225" spans="3:28" hidden="1" x14ac:dyDescent="0.2">
      <c r="C225" s="500"/>
      <c r="D225" s="500"/>
      <c r="E225" s="500"/>
      <c r="F225" s="538">
        <f t="shared" ref="F225:H226" si="279">+F102</f>
        <v>0</v>
      </c>
      <c r="G225" s="538">
        <f t="shared" si="279"/>
        <v>0</v>
      </c>
      <c r="H225" s="538">
        <f t="shared" si="279"/>
        <v>0</v>
      </c>
      <c r="I225" s="15"/>
      <c r="J225" s="15"/>
      <c r="K225" s="15"/>
      <c r="L225" s="15"/>
      <c r="M225" s="15"/>
      <c r="N225" s="15"/>
      <c r="O225" s="15"/>
      <c r="P225" s="15"/>
      <c r="Q225" s="500"/>
      <c r="R225" s="500"/>
      <c r="S225" s="500"/>
      <c r="T225" s="500"/>
      <c r="U225" s="500"/>
      <c r="V225" s="500"/>
      <c r="W225" s="500"/>
      <c r="X225" s="500"/>
      <c r="Y225" s="500"/>
      <c r="Z225" s="500"/>
      <c r="AA225" s="500"/>
      <c r="AB225" s="500"/>
    </row>
    <row r="226" spans="3:28" hidden="1" x14ac:dyDescent="0.2">
      <c r="C226" s="658" t="s">
        <v>277</v>
      </c>
      <c r="D226" s="500"/>
      <c r="E226" s="531"/>
      <c r="F226" s="531">
        <f t="shared" ca="1" si="279"/>
        <v>11919857.93061818</v>
      </c>
      <c r="G226" s="531">
        <f t="shared" ca="1" si="279"/>
        <v>14098362.492866909</v>
      </c>
      <c r="H226" s="531">
        <f t="shared" ca="1" si="279"/>
        <v>15160955.04134243</v>
      </c>
      <c r="I226" s="15"/>
      <c r="J226" s="15"/>
      <c r="K226" s="15"/>
      <c r="L226" s="15"/>
      <c r="M226" s="15"/>
      <c r="N226" s="15"/>
      <c r="O226" s="15"/>
      <c r="P226" s="15"/>
      <c r="Q226" s="500"/>
      <c r="R226" s="500"/>
      <c r="S226" s="500"/>
      <c r="T226" s="500"/>
      <c r="U226" s="500"/>
      <c r="V226" s="500"/>
      <c r="W226" s="500"/>
      <c r="X226" s="500"/>
      <c r="Y226" s="500"/>
      <c r="Z226" s="500"/>
      <c r="AA226" s="500"/>
      <c r="AB226" s="500"/>
    </row>
    <row r="227" spans="3:28" hidden="1" x14ac:dyDescent="0.2">
      <c r="C227" s="35"/>
      <c r="D227" s="500"/>
      <c r="E227" s="531"/>
      <c r="F227" s="531"/>
      <c r="G227" s="531"/>
      <c r="H227" s="531"/>
      <c r="I227" s="15"/>
      <c r="J227" s="15"/>
      <c r="K227" s="15"/>
      <c r="L227" s="15"/>
      <c r="M227" s="15"/>
      <c r="N227" s="15"/>
      <c r="O227" s="15"/>
      <c r="P227" s="15"/>
      <c r="Q227" s="500"/>
      <c r="R227" s="500"/>
      <c r="S227" s="500"/>
      <c r="T227" s="500"/>
      <c r="U227" s="500"/>
      <c r="V227" s="500"/>
      <c r="W227" s="500"/>
      <c r="X227" s="500"/>
      <c r="Y227" s="500"/>
      <c r="Z227" s="500"/>
      <c r="AA227" s="500"/>
      <c r="AB227" s="500"/>
    </row>
    <row r="228" spans="3:28" hidden="1" x14ac:dyDescent="0.2">
      <c r="C228" s="503" t="str">
        <f>+C105</f>
        <v>Net Cash Flow after Debt Service</v>
      </c>
      <c r="D228" s="500"/>
      <c r="E228" s="531"/>
      <c r="F228" s="531">
        <f t="shared" ref="F228:H232" ca="1" si="280">+F105</f>
        <v>161001.58636190719</v>
      </c>
      <c r="G228" s="531">
        <f t="shared" ca="1" si="280"/>
        <v>280819.33728558733</v>
      </c>
      <c r="H228" s="531">
        <f t="shared" ca="1" si="280"/>
        <v>339261.92745174095</v>
      </c>
      <c r="I228" s="15"/>
      <c r="J228" s="15"/>
      <c r="K228" s="15"/>
      <c r="L228" s="15"/>
      <c r="M228" s="15"/>
      <c r="N228" s="15"/>
      <c r="O228" s="15"/>
      <c r="P228" s="15"/>
      <c r="Q228" s="500"/>
      <c r="R228" s="500"/>
      <c r="S228" s="500"/>
      <c r="T228" s="500"/>
      <c r="U228" s="500"/>
      <c r="V228" s="500"/>
      <c r="W228" s="500"/>
      <c r="X228" s="500"/>
      <c r="Y228" s="500"/>
      <c r="Z228" s="500"/>
      <c r="AA228" s="500"/>
      <c r="AB228" s="500"/>
    </row>
    <row r="229" spans="3:28" hidden="1" x14ac:dyDescent="0.2">
      <c r="C229" s="503" t="str">
        <f>+C106</f>
        <v>Cash from Sale of POH</v>
      </c>
      <c r="D229" s="500"/>
      <c r="E229" s="531"/>
      <c r="F229" s="531">
        <f t="shared" si="280"/>
        <v>0</v>
      </c>
      <c r="G229" s="531">
        <f t="shared" si="280"/>
        <v>0</v>
      </c>
      <c r="H229" s="531">
        <f t="shared" si="280"/>
        <v>0</v>
      </c>
      <c r="I229" s="15"/>
      <c r="J229" s="15"/>
      <c r="K229" s="15"/>
      <c r="L229" s="15"/>
      <c r="M229" s="15"/>
      <c r="N229" s="15"/>
      <c r="O229" s="15"/>
      <c r="P229" s="15"/>
      <c r="Q229" s="500"/>
      <c r="R229" s="500"/>
      <c r="S229" s="500"/>
      <c r="T229" s="500"/>
      <c r="U229" s="500"/>
      <c r="V229" s="500"/>
      <c r="W229" s="500"/>
      <c r="X229" s="500"/>
      <c r="Y229" s="500"/>
      <c r="Z229" s="500"/>
      <c r="AA229" s="500"/>
      <c r="AB229" s="500"/>
    </row>
    <row r="230" spans="3:28" hidden="1" x14ac:dyDescent="0.2">
      <c r="C230" s="503" t="str">
        <f>+C107</f>
        <v>Net Operating Cash Flow From POH</v>
      </c>
      <c r="D230" s="500"/>
      <c r="E230" s="531"/>
      <c r="F230" s="531">
        <f t="shared" si="280"/>
        <v>0</v>
      </c>
      <c r="G230" s="531">
        <f t="shared" si="280"/>
        <v>0</v>
      </c>
      <c r="H230" s="531">
        <f t="shared" si="280"/>
        <v>0</v>
      </c>
      <c r="I230" s="15"/>
      <c r="J230" s="15"/>
      <c r="K230" s="15"/>
      <c r="L230" s="15"/>
      <c r="M230" s="15"/>
      <c r="N230" s="15"/>
      <c r="O230" s="15"/>
      <c r="P230" s="15"/>
      <c r="Q230" s="500"/>
      <c r="R230" s="500"/>
      <c r="S230" s="500"/>
      <c r="T230" s="500"/>
      <c r="U230" s="500"/>
      <c r="V230" s="500"/>
      <c r="W230" s="500"/>
      <c r="X230" s="500"/>
      <c r="Y230" s="500"/>
      <c r="Z230" s="500"/>
      <c r="AA230" s="500"/>
      <c r="AB230" s="500"/>
    </row>
    <row r="231" spans="3:28" hidden="1" x14ac:dyDescent="0.2">
      <c r="C231" s="503" t="str">
        <f>+C108</f>
        <v>Note Income from POH</v>
      </c>
      <c r="D231" s="500"/>
      <c r="E231" s="531"/>
      <c r="F231" s="531">
        <f t="shared" si="280"/>
        <v>0</v>
      </c>
      <c r="G231" s="531">
        <f t="shared" si="280"/>
        <v>0</v>
      </c>
      <c r="H231" s="531">
        <f t="shared" si="280"/>
        <v>0</v>
      </c>
      <c r="I231" s="15"/>
      <c r="J231" s="15"/>
      <c r="K231" s="15"/>
      <c r="L231" s="15"/>
      <c r="M231" s="15"/>
      <c r="N231" s="15"/>
      <c r="O231" s="15"/>
      <c r="P231" s="15"/>
      <c r="Q231" s="500"/>
      <c r="R231" s="500"/>
      <c r="S231" s="500"/>
      <c r="T231" s="500"/>
      <c r="U231" s="500"/>
      <c r="V231" s="500"/>
      <c r="W231" s="500"/>
      <c r="X231" s="500"/>
      <c r="Y231" s="500"/>
      <c r="Z231" s="500"/>
      <c r="AA231" s="500"/>
      <c r="AB231" s="500"/>
    </row>
    <row r="232" spans="3:28" hidden="1" x14ac:dyDescent="0.2">
      <c r="C232" s="503" t="str">
        <f>+C109</f>
        <v>POH Seller Carry Note</v>
      </c>
      <c r="D232" s="500"/>
      <c r="E232" s="531"/>
      <c r="F232" s="531">
        <f t="shared" si="280"/>
        <v>0</v>
      </c>
      <c r="G232" s="531">
        <f t="shared" si="280"/>
        <v>0</v>
      </c>
      <c r="H232" s="531">
        <f t="shared" si="280"/>
        <v>0</v>
      </c>
      <c r="I232" s="15"/>
      <c r="J232" s="15"/>
      <c r="K232" s="15"/>
      <c r="L232" s="15"/>
      <c r="M232" s="15"/>
      <c r="N232" s="15"/>
      <c r="O232" s="15"/>
      <c r="P232" s="15"/>
      <c r="Q232" s="15"/>
      <c r="R232" s="15"/>
      <c r="S232" s="15"/>
      <c r="T232" s="15"/>
      <c r="U232" s="15"/>
      <c r="V232" s="500"/>
      <c r="W232" s="500"/>
      <c r="X232" s="500"/>
      <c r="Y232" s="500"/>
      <c r="Z232" s="500"/>
      <c r="AA232" s="500"/>
      <c r="AB232" s="500"/>
    </row>
    <row r="233" spans="3:28" hidden="1" x14ac:dyDescent="0.2">
      <c r="C233" s="503" t="str">
        <f>+C114</f>
        <v>Return of Capital (other)</v>
      </c>
      <c r="D233" s="500"/>
      <c r="E233" s="531"/>
      <c r="F233" s="531">
        <f>+F114</f>
        <v>0</v>
      </c>
      <c r="G233" s="531">
        <f>+G114</f>
        <v>0</v>
      </c>
      <c r="H233" s="531">
        <f>+H114</f>
        <v>0</v>
      </c>
      <c r="I233" s="15"/>
      <c r="J233" s="15"/>
      <c r="K233" s="15"/>
      <c r="L233" s="15"/>
      <c r="M233" s="15"/>
      <c r="N233" s="15"/>
      <c r="O233" s="15"/>
      <c r="P233" s="15"/>
      <c r="Q233" s="15"/>
      <c r="R233" s="15"/>
      <c r="S233" s="15"/>
      <c r="T233" s="15"/>
      <c r="U233" s="15"/>
      <c r="V233" s="500"/>
      <c r="W233" s="500"/>
      <c r="X233" s="500"/>
      <c r="Y233" s="500"/>
      <c r="Z233" s="500"/>
      <c r="AA233" s="500"/>
      <c r="AB233" s="500"/>
    </row>
    <row r="234" spans="3:28" hidden="1" x14ac:dyDescent="0.2">
      <c r="C234" s="503" t="str">
        <f>+C115</f>
        <v>Sale Proceeds at Exit</v>
      </c>
      <c r="D234" s="500"/>
      <c r="E234" s="531"/>
      <c r="F234" s="531">
        <f>+F115</f>
        <v>0</v>
      </c>
      <c r="G234" s="531">
        <f>+G115</f>
        <v>0</v>
      </c>
      <c r="H234" s="531">
        <f ca="1">+(H214/RefiCap)*(1-Cost_of_Sale)</f>
        <v>14706126.390102157</v>
      </c>
      <c r="I234" s="15"/>
      <c r="J234" s="15"/>
      <c r="K234" s="15"/>
      <c r="L234" s="15"/>
      <c r="M234" s="15"/>
      <c r="N234" s="15"/>
      <c r="O234" s="15"/>
      <c r="P234" s="15"/>
      <c r="Q234" s="15"/>
      <c r="R234" s="15"/>
      <c r="S234" s="15"/>
      <c r="T234" s="15"/>
      <c r="U234" s="15"/>
      <c r="V234" s="500"/>
      <c r="W234" s="500"/>
      <c r="X234" s="500"/>
      <c r="Y234" s="500"/>
      <c r="Z234" s="500"/>
      <c r="AA234" s="500"/>
      <c r="AB234" s="500"/>
    </row>
    <row r="235" spans="3:28" hidden="1" x14ac:dyDescent="0.2">
      <c r="C235" s="503" t="s">
        <v>278</v>
      </c>
      <c r="D235" s="500"/>
      <c r="E235" s="531"/>
      <c r="F235" s="531"/>
      <c r="G235" s="531"/>
      <c r="H235" s="531">
        <f>-H222</f>
        <v>-6393073.6735522747</v>
      </c>
      <c r="I235" s="15"/>
      <c r="J235" s="15"/>
      <c r="K235" s="15"/>
      <c r="L235" s="15"/>
      <c r="M235" s="15"/>
      <c r="N235" s="15"/>
      <c r="O235" s="15"/>
      <c r="P235" s="15"/>
      <c r="Q235" s="15"/>
      <c r="R235" s="15"/>
      <c r="S235" s="15"/>
      <c r="T235" s="15"/>
      <c r="U235" s="15"/>
      <c r="V235" s="500"/>
      <c r="W235" s="500"/>
      <c r="X235" s="500"/>
      <c r="Y235" s="500"/>
      <c r="Z235" s="500"/>
      <c r="AA235" s="500"/>
      <c r="AB235" s="500"/>
    </row>
    <row r="236" spans="3:28" ht="13.5" hidden="1" thickBot="1" x14ac:dyDescent="0.25">
      <c r="C236" s="575" t="str">
        <f>+C116</f>
        <v>Pretax Income Available for Distribution</v>
      </c>
      <c r="D236" s="500"/>
      <c r="E236" s="531">
        <f>+E116</f>
        <v>-4230000</v>
      </c>
      <c r="F236" s="531">
        <f ca="1">SUM(F228:F235)</f>
        <v>161001.58636190719</v>
      </c>
      <c r="G236" s="531">
        <f ca="1">SUM(G228:G235)</f>
        <v>280819.33728558733</v>
      </c>
      <c r="H236" s="531">
        <f ca="1">SUM(H228:H235)</f>
        <v>8652314.6440016236</v>
      </c>
      <c r="I236" s="15"/>
      <c r="J236" s="15"/>
      <c r="K236" s="15"/>
      <c r="L236" s="15"/>
      <c r="M236" s="15"/>
      <c r="N236" s="15"/>
      <c r="O236" s="15"/>
      <c r="P236" s="15"/>
      <c r="Q236" s="15"/>
      <c r="R236" s="15"/>
      <c r="S236" s="15"/>
      <c r="T236" s="15"/>
      <c r="U236" s="15"/>
      <c r="V236" s="500"/>
      <c r="W236" s="500"/>
      <c r="X236" s="500"/>
      <c r="Y236" s="500"/>
      <c r="Z236" s="500"/>
      <c r="AA236" s="500"/>
      <c r="AB236" s="500"/>
    </row>
    <row r="237" spans="3:28" ht="13.5" hidden="1" thickTop="1" x14ac:dyDescent="0.2">
      <c r="C237" s="500"/>
      <c r="D237" s="500"/>
      <c r="E237" s="500"/>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3:28" hidden="1" x14ac:dyDescent="0.2">
      <c r="C238" s="500" t="s">
        <v>279</v>
      </c>
      <c r="D238" s="500"/>
      <c r="E238" s="529">
        <f ca="1">IRR(E236:H236)</f>
        <v>0.29981500190501942</v>
      </c>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3:28" hidden="1" x14ac:dyDescent="0.2">
      <c r="C239" s="500"/>
      <c r="D239" s="500"/>
      <c r="E239" s="500"/>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3:28" hidden="1" x14ac:dyDescent="0.2">
      <c r="C240" s="11" t="str">
        <f t="shared" ref="C240:C245" si="281">+C120</f>
        <v>Distributions</v>
      </c>
      <c r="D240" s="500"/>
      <c r="E240" s="500"/>
      <c r="F240" s="13"/>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3:28" hidden="1" x14ac:dyDescent="0.2">
      <c r="C241" s="503" t="str">
        <f t="shared" si="281"/>
        <v>Investor Preferred Return</v>
      </c>
      <c r="D241" s="500"/>
      <c r="E241" s="500"/>
      <c r="F241" s="13"/>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3:28" hidden="1" x14ac:dyDescent="0.2">
      <c r="C242" s="23" t="str">
        <f t="shared" si="281"/>
        <v>Beginning balance</v>
      </c>
      <c r="D242" s="500"/>
      <c r="E242" s="531"/>
      <c r="F242" s="657">
        <f>+F122</f>
        <v>4230000</v>
      </c>
      <c r="G242" s="657">
        <f ca="1">+G122</f>
        <v>4280498.4136380926</v>
      </c>
      <c r="H242" s="657">
        <f ca="1">+H122</f>
        <v>4213703.99703441</v>
      </c>
      <c r="I242" s="15"/>
      <c r="J242" s="15"/>
      <c r="K242" s="15"/>
      <c r="L242" s="15"/>
      <c r="M242" s="15"/>
      <c r="N242" s="15"/>
      <c r="O242" s="15"/>
      <c r="P242" s="15"/>
      <c r="Q242" s="15"/>
      <c r="R242" s="15"/>
      <c r="S242" s="15"/>
      <c r="T242" s="15"/>
      <c r="U242" s="15"/>
      <c r="V242" s="15"/>
      <c r="W242" s="15"/>
      <c r="X242" s="15"/>
      <c r="Y242" s="15"/>
      <c r="Z242" s="15"/>
      <c r="AA242" s="15"/>
      <c r="AB242" s="15"/>
    </row>
    <row r="243" spans="3:28" hidden="1" x14ac:dyDescent="0.2">
      <c r="C243" s="23" t="str">
        <f t="shared" si="281"/>
        <v>Preferred return</v>
      </c>
      <c r="D243" s="500"/>
      <c r="E243" s="531"/>
      <c r="F243" s="657">
        <f>+F242*InvestorPref</f>
        <v>211500</v>
      </c>
      <c r="G243" s="657">
        <f ca="1">+G242*InvestorPref</f>
        <v>214024.92068190465</v>
      </c>
      <c r="H243" s="657">
        <f ca="1">+H242*InvestorPref</f>
        <v>210685.19985172051</v>
      </c>
      <c r="I243" s="15"/>
      <c r="J243" s="15"/>
      <c r="K243" s="15"/>
      <c r="L243" s="15"/>
      <c r="M243" s="15"/>
      <c r="N243" s="15"/>
      <c r="O243" s="15"/>
      <c r="P243" s="15"/>
      <c r="Q243" s="15"/>
      <c r="R243" s="15"/>
      <c r="S243" s="15"/>
      <c r="T243" s="15"/>
      <c r="U243" s="15"/>
      <c r="V243" s="15"/>
      <c r="W243" s="15"/>
      <c r="X243" s="15"/>
      <c r="Y243" s="15"/>
      <c r="Z243" s="15"/>
      <c r="AA243" s="15"/>
      <c r="AB243" s="15"/>
    </row>
    <row r="244" spans="3:28" hidden="1" x14ac:dyDescent="0.2">
      <c r="C244" s="23" t="str">
        <f t="shared" si="281"/>
        <v>Payment</v>
      </c>
      <c r="D244" s="500"/>
      <c r="E244" s="531"/>
      <c r="F244" s="657">
        <f ca="1">MAX(-F242-F243,-F236)</f>
        <v>-161001.58636190719</v>
      </c>
      <c r="G244" s="657">
        <f t="shared" ref="G244:H244" ca="1" si="282">MAX(-G242-G243,-G236)</f>
        <v>-280819.33728558733</v>
      </c>
      <c r="H244" s="657">
        <f t="shared" ca="1" si="282"/>
        <v>-4424389.1968861306</v>
      </c>
      <c r="I244" s="15"/>
      <c r="J244" s="15"/>
      <c r="K244" s="15"/>
      <c r="L244" s="15"/>
      <c r="M244" s="15"/>
      <c r="N244" s="15"/>
      <c r="O244" s="15"/>
      <c r="P244" s="15"/>
      <c r="Q244" s="15"/>
      <c r="R244" s="15"/>
      <c r="S244" s="15"/>
      <c r="T244" s="15"/>
      <c r="U244" s="15"/>
      <c r="V244" s="15"/>
      <c r="W244" s="15"/>
      <c r="X244" s="15"/>
      <c r="Y244" s="15"/>
      <c r="Z244" s="15"/>
      <c r="AA244" s="15"/>
      <c r="AB244" s="15"/>
    </row>
    <row r="245" spans="3:28" hidden="1" x14ac:dyDescent="0.2">
      <c r="C245" s="23" t="str">
        <f t="shared" si="281"/>
        <v>Ending balance</v>
      </c>
      <c r="D245" s="500"/>
      <c r="E245" s="531"/>
      <c r="F245" s="710">
        <f ca="1">SUM(F242:F244)</f>
        <v>4280498.4136380926</v>
      </c>
      <c r="G245" s="710">
        <f t="shared" ref="G245:H245" ca="1" si="283">SUM(G242:G244)</f>
        <v>4213703.99703441</v>
      </c>
      <c r="H245" s="710">
        <f t="shared" ca="1" si="283"/>
        <v>0</v>
      </c>
      <c r="I245" s="15"/>
      <c r="J245" s="15"/>
      <c r="K245" s="15"/>
      <c r="L245" s="15"/>
      <c r="M245" s="15"/>
      <c r="N245" s="15"/>
      <c r="O245" s="15"/>
      <c r="P245" s="15"/>
      <c r="Q245" s="15"/>
      <c r="R245" s="15"/>
      <c r="S245" s="15"/>
      <c r="T245" s="15"/>
      <c r="U245" s="15"/>
      <c r="V245" s="15"/>
      <c r="W245" s="15"/>
      <c r="X245" s="15"/>
      <c r="Y245" s="15"/>
      <c r="Z245" s="15"/>
      <c r="AA245" s="15"/>
      <c r="AB245" s="15"/>
    </row>
    <row r="246" spans="3:28" hidden="1" x14ac:dyDescent="0.2">
      <c r="C246" s="503" t="s">
        <v>280</v>
      </c>
      <c r="D246" s="500"/>
      <c r="E246" s="531"/>
      <c r="F246" s="657">
        <f ca="1">+F236+F244</f>
        <v>0</v>
      </c>
      <c r="G246" s="657">
        <f t="shared" ref="G246:H246" ca="1" si="284">+G236+G244</f>
        <v>0</v>
      </c>
      <c r="H246" s="657">
        <f t="shared" ca="1" si="284"/>
        <v>4227925.447115493</v>
      </c>
      <c r="I246" s="15"/>
      <c r="J246" s="15"/>
      <c r="K246" s="15"/>
      <c r="L246" s="15"/>
      <c r="M246" s="15"/>
      <c r="N246" s="15"/>
      <c r="O246" s="15"/>
      <c r="P246" s="15"/>
      <c r="Q246" s="15"/>
      <c r="R246" s="15"/>
      <c r="S246" s="15"/>
      <c r="T246" s="15"/>
      <c r="U246" s="15"/>
      <c r="V246" s="15"/>
      <c r="W246" s="15"/>
      <c r="X246" s="15"/>
      <c r="Y246" s="15"/>
      <c r="Z246" s="15"/>
      <c r="AA246" s="15"/>
      <c r="AB246" s="15"/>
    </row>
    <row r="247" spans="3:28" hidden="1" x14ac:dyDescent="0.2">
      <c r="C247" s="41" t="str">
        <f t="shared" ref="C247:C253" si="285">+C127</f>
        <v>Split</v>
      </c>
      <c r="D247" s="500"/>
      <c r="E247" s="531"/>
      <c r="F247" s="657"/>
      <c r="G247" s="657"/>
      <c r="H247" s="657"/>
      <c r="I247" s="15"/>
      <c r="J247" s="15"/>
      <c r="K247" s="15"/>
      <c r="L247" s="15"/>
      <c r="M247" s="15"/>
      <c r="N247" s="15"/>
      <c r="O247" s="15"/>
      <c r="P247" s="15"/>
      <c r="Q247" s="15"/>
      <c r="R247" s="15"/>
      <c r="S247" s="15"/>
      <c r="T247" s="15"/>
      <c r="U247" s="15"/>
      <c r="V247" s="15"/>
      <c r="W247" s="15"/>
      <c r="X247" s="15"/>
      <c r="Y247" s="15"/>
      <c r="Z247" s="15"/>
      <c r="AA247" s="15"/>
      <c r="AB247" s="15"/>
    </row>
    <row r="248" spans="3:28" hidden="1" x14ac:dyDescent="0.2">
      <c r="C248" s="537" t="str">
        <f t="shared" si="285"/>
        <v>Investor</v>
      </c>
      <c r="D248" s="500"/>
      <c r="E248" s="531"/>
      <c r="F248" s="657">
        <f ca="1">+F246*InvestorPromote</f>
        <v>0</v>
      </c>
      <c r="G248" s="657">
        <f ca="1">+G246*InvestorPromote</f>
        <v>0</v>
      </c>
      <c r="H248" s="657">
        <f ca="1">+H246*InvestorPromote</f>
        <v>2113962.7235577465</v>
      </c>
      <c r="I248" s="15"/>
      <c r="J248" s="15"/>
      <c r="K248" s="15"/>
      <c r="L248" s="15"/>
      <c r="M248" s="15"/>
      <c r="N248" s="15"/>
      <c r="O248" s="15"/>
      <c r="P248" s="15"/>
      <c r="Q248" s="15"/>
      <c r="R248" s="15"/>
      <c r="S248" s="15"/>
      <c r="T248" s="15"/>
      <c r="U248" s="15"/>
      <c r="V248" s="15"/>
      <c r="W248" s="15"/>
      <c r="X248" s="15"/>
      <c r="Y248" s="15"/>
      <c r="Z248" s="15"/>
      <c r="AA248" s="15"/>
      <c r="AB248" s="15"/>
    </row>
    <row r="249" spans="3:28" hidden="1" x14ac:dyDescent="0.2">
      <c r="C249" s="537" t="str">
        <f t="shared" si="285"/>
        <v>BVG</v>
      </c>
      <c r="D249" s="500"/>
      <c r="E249" s="531"/>
      <c r="F249" s="657">
        <f ca="1">+F246*BVGPromote</f>
        <v>0</v>
      </c>
      <c r="G249" s="657">
        <f ca="1">+G246*BVGPromote</f>
        <v>0</v>
      </c>
      <c r="H249" s="657">
        <f ca="1">+H246*BVGPromote</f>
        <v>2113962.7235577465</v>
      </c>
      <c r="I249" s="15"/>
      <c r="J249" s="15"/>
      <c r="K249" s="15"/>
      <c r="L249" s="15"/>
      <c r="M249" s="15"/>
      <c r="N249" s="15"/>
      <c r="O249" s="15"/>
      <c r="P249" s="15"/>
      <c r="Q249" s="15"/>
      <c r="R249" s="15"/>
      <c r="S249" s="15"/>
      <c r="T249" s="15"/>
      <c r="U249" s="15"/>
      <c r="V249" s="15"/>
      <c r="W249" s="15"/>
      <c r="X249" s="15"/>
      <c r="Y249" s="15"/>
      <c r="Z249" s="15"/>
      <c r="AA249" s="15"/>
      <c r="AB249" s="15"/>
    </row>
    <row r="250" spans="3:28" hidden="1" x14ac:dyDescent="0.2">
      <c r="C250" s="41" t="str">
        <f t="shared" si="285"/>
        <v>Total</v>
      </c>
      <c r="D250" s="500"/>
      <c r="E250" s="531"/>
      <c r="F250" s="657"/>
      <c r="G250" s="657"/>
      <c r="H250" s="657"/>
      <c r="I250" s="15"/>
      <c r="J250" s="15"/>
      <c r="K250" s="15"/>
      <c r="L250" s="15"/>
      <c r="M250" s="15"/>
      <c r="N250" s="15"/>
      <c r="O250" s="15"/>
      <c r="P250" s="15"/>
      <c r="Q250" s="15"/>
      <c r="R250" s="15"/>
      <c r="S250" s="15"/>
      <c r="T250" s="15"/>
      <c r="U250" s="15"/>
      <c r="V250" s="15"/>
      <c r="W250" s="15"/>
      <c r="X250" s="15"/>
      <c r="Y250" s="15"/>
      <c r="Z250" s="15"/>
      <c r="AA250" s="15"/>
      <c r="AB250" s="15"/>
    </row>
    <row r="251" spans="3:28" hidden="1" x14ac:dyDescent="0.2">
      <c r="C251" s="537" t="str">
        <f t="shared" si="285"/>
        <v>Investor</v>
      </c>
      <c r="D251" s="500"/>
      <c r="E251" s="531"/>
      <c r="F251" s="657">
        <f ca="1">-F244+F248</f>
        <v>161001.58636190719</v>
      </c>
      <c r="G251" s="657">
        <f t="shared" ref="G251:H251" ca="1" si="286">-G244+G248</f>
        <v>280819.33728558733</v>
      </c>
      <c r="H251" s="657">
        <f t="shared" ca="1" si="286"/>
        <v>6538351.9204438776</v>
      </c>
      <c r="I251" s="15"/>
      <c r="J251" s="15"/>
      <c r="K251" s="15"/>
      <c r="L251" s="15"/>
      <c r="M251" s="15"/>
      <c r="N251" s="15"/>
      <c r="O251" s="15"/>
      <c r="P251" s="15"/>
      <c r="Q251" s="15"/>
      <c r="R251" s="15"/>
      <c r="S251" s="15"/>
      <c r="T251" s="15"/>
      <c r="U251" s="15"/>
      <c r="V251" s="15"/>
      <c r="W251" s="15"/>
      <c r="X251" s="15"/>
      <c r="Y251" s="15"/>
      <c r="Z251" s="15"/>
      <c r="AA251" s="15"/>
      <c r="AB251" s="15"/>
    </row>
    <row r="252" spans="3:28" hidden="1" x14ac:dyDescent="0.2">
      <c r="C252" s="537" t="str">
        <f t="shared" si="285"/>
        <v>BVG</v>
      </c>
      <c r="D252" s="500"/>
      <c r="E252" s="531"/>
      <c r="F252" s="657">
        <f ca="1">+F249</f>
        <v>0</v>
      </c>
      <c r="G252" s="657">
        <f t="shared" ref="G252:H252" ca="1" si="287">+G249</f>
        <v>0</v>
      </c>
      <c r="H252" s="657">
        <f t="shared" ca="1" si="287"/>
        <v>2113962.7235577465</v>
      </c>
      <c r="I252" s="15"/>
      <c r="J252" s="15"/>
      <c r="K252" s="15"/>
      <c r="L252" s="15"/>
      <c r="M252" s="15"/>
      <c r="N252" s="15"/>
      <c r="O252" s="15"/>
      <c r="P252" s="15"/>
      <c r="Q252" s="15"/>
      <c r="R252" s="15"/>
      <c r="S252" s="15"/>
      <c r="T252" s="15"/>
      <c r="U252" s="15"/>
      <c r="V252" s="15"/>
      <c r="W252" s="15"/>
      <c r="X252" s="15"/>
      <c r="Y252" s="15"/>
      <c r="Z252" s="15"/>
      <c r="AA252" s="15"/>
      <c r="AB252" s="15"/>
    </row>
    <row r="253" spans="3:28" hidden="1" x14ac:dyDescent="0.2">
      <c r="C253" s="41" t="str">
        <f t="shared" si="285"/>
        <v>Total Project Cash Flow</v>
      </c>
      <c r="D253" s="500"/>
      <c r="E253" s="582">
        <f>E236</f>
        <v>-4230000</v>
      </c>
      <c r="F253" s="659">
        <f ca="1">+F251</f>
        <v>161001.58636190719</v>
      </c>
      <c r="G253" s="659">
        <f t="shared" ref="G253:H253" ca="1" si="288">+G251</f>
        <v>280819.33728558733</v>
      </c>
      <c r="H253" s="659">
        <f t="shared" ca="1" si="288"/>
        <v>6538351.9204438776</v>
      </c>
      <c r="I253" s="15"/>
      <c r="J253" s="15"/>
      <c r="K253" s="15"/>
      <c r="L253" s="15"/>
      <c r="M253" s="15"/>
      <c r="N253" s="15"/>
      <c r="O253" s="15"/>
      <c r="P253" s="15"/>
      <c r="Q253" s="15"/>
      <c r="R253" s="15"/>
      <c r="S253" s="15"/>
      <c r="T253" s="15"/>
      <c r="U253" s="15"/>
      <c r="V253" s="15"/>
      <c r="W253" s="15"/>
      <c r="X253" s="15"/>
      <c r="Y253" s="15"/>
      <c r="Z253" s="15"/>
      <c r="AA253" s="15"/>
      <c r="AB253" s="15"/>
    </row>
    <row r="254" spans="3:28" hidden="1" x14ac:dyDescent="0.2">
      <c r="C254" s="278"/>
      <c r="D254" s="500"/>
      <c r="E254" s="500"/>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3:28" hidden="1" x14ac:dyDescent="0.2">
      <c r="C255" s="11" t="s">
        <v>281</v>
      </c>
      <c r="D255" s="500"/>
      <c r="E255" s="529">
        <f ca="1">IRR(E253:H253)</f>
        <v>0.18839713580659345</v>
      </c>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3:28" hidden="1" x14ac:dyDescent="0.2">
      <c r="C256" s="500" t="s">
        <v>257</v>
      </c>
      <c r="D256" s="500"/>
      <c r="E256" s="549">
        <f ca="1">SUM(F253:H253)/-E253</f>
        <v>1.6501590647970148</v>
      </c>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3:28" hidden="1" x14ac:dyDescent="0.2">
      <c r="C257" s="500" t="s">
        <v>282</v>
      </c>
      <c r="D257" s="500"/>
      <c r="E257" s="531">
        <f ca="1">SUM(F253:H253)</f>
        <v>6980172.8440913726</v>
      </c>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3:28" hidden="1" x14ac:dyDescent="0.2">
      <c r="C258" s="500"/>
      <c r="D258" s="500"/>
      <c r="E258" s="500"/>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3:28" hidden="1" x14ac:dyDescent="0.2">
      <c r="C259" s="500"/>
      <c r="D259" s="500"/>
      <c r="E259" s="500"/>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3:28" hidden="1" x14ac:dyDescent="0.2"/>
    <row r="261" spans="3:28" ht="15.75" hidden="1" x14ac:dyDescent="0.25">
      <c r="C261" s="852" t="s">
        <v>283</v>
      </c>
      <c r="D261" s="852"/>
      <c r="E261" s="852"/>
      <c r="F261" s="852"/>
      <c r="G261" s="852"/>
      <c r="H261" s="852"/>
      <c r="I261" s="852"/>
      <c r="J261" s="852"/>
      <c r="K261" s="15"/>
      <c r="L261" s="15"/>
      <c r="M261" s="15"/>
      <c r="N261" s="15"/>
      <c r="O261" s="15"/>
      <c r="P261" s="15"/>
      <c r="Q261" s="15"/>
      <c r="R261" s="15"/>
      <c r="S261" s="15"/>
      <c r="T261" s="15"/>
      <c r="U261" s="15"/>
      <c r="V261" s="500"/>
      <c r="W261" s="500"/>
      <c r="X261" s="500"/>
      <c r="Y261" s="500"/>
      <c r="Z261" s="500"/>
      <c r="AA261" s="500"/>
      <c r="AB261" s="500"/>
    </row>
    <row r="262" spans="3:28" ht="15" hidden="1" x14ac:dyDescent="0.25">
      <c r="C262" s="304"/>
      <c r="D262" s="304"/>
      <c r="E262" s="304"/>
      <c r="F262" s="656" t="s">
        <v>28</v>
      </c>
      <c r="G262" s="656" t="s">
        <v>29</v>
      </c>
      <c r="H262" s="656" t="s">
        <v>30</v>
      </c>
      <c r="I262" s="656" t="s">
        <v>31</v>
      </c>
      <c r="J262" s="656" t="s">
        <v>45</v>
      </c>
      <c r="K262" s="305"/>
      <c r="L262" s="305"/>
      <c r="M262" s="305"/>
      <c r="N262" s="305"/>
      <c r="O262" s="305"/>
      <c r="P262" s="305"/>
      <c r="Q262" s="305"/>
      <c r="R262" s="305"/>
      <c r="S262" s="305"/>
      <c r="T262" s="305"/>
      <c r="U262" s="305"/>
      <c r="V262" s="500"/>
      <c r="W262" s="500"/>
      <c r="X262" s="500"/>
      <c r="Y262" s="500"/>
      <c r="Z262" s="500"/>
      <c r="AA262" s="500"/>
      <c r="AB262" s="500"/>
    </row>
    <row r="263" spans="3:28" hidden="1" x14ac:dyDescent="0.2">
      <c r="C263" s="500" t="s">
        <v>143</v>
      </c>
      <c r="D263" s="500"/>
      <c r="E263" s="531"/>
      <c r="F263" s="657">
        <f ca="1">+F86</f>
        <v>655592.18618399987</v>
      </c>
      <c r="G263" s="657">
        <f ca="1">+G86</f>
        <v>775409.93710768002</v>
      </c>
      <c r="H263" s="657">
        <f ca="1">+H86</f>
        <v>833852.52727383364</v>
      </c>
      <c r="I263" s="657">
        <f ca="1">+I86</f>
        <v>896029.48853035062</v>
      </c>
      <c r="J263" s="657">
        <f ca="1">+J86</f>
        <v>950225.65983185044</v>
      </c>
      <c r="K263" s="15"/>
      <c r="L263" s="15"/>
      <c r="M263" s="15"/>
      <c r="N263" s="15"/>
      <c r="O263" s="15"/>
      <c r="P263" s="15"/>
      <c r="Q263" s="15"/>
      <c r="R263" s="15"/>
      <c r="S263" s="15"/>
      <c r="T263" s="15"/>
      <c r="U263" s="15"/>
      <c r="V263" s="500"/>
      <c r="W263" s="500"/>
      <c r="X263" s="500"/>
      <c r="Y263" s="500"/>
      <c r="Z263" s="500"/>
      <c r="AA263" s="500"/>
      <c r="AB263" s="500"/>
    </row>
    <row r="264" spans="3:28" hidden="1" x14ac:dyDescent="0.2">
      <c r="C264" s="500"/>
      <c r="D264" s="500"/>
      <c r="E264" s="531"/>
      <c r="F264" s="657"/>
      <c r="G264" s="657"/>
      <c r="H264" s="657"/>
      <c r="I264" s="657"/>
      <c r="J264" s="657"/>
      <c r="K264" s="15"/>
      <c r="L264" s="15"/>
      <c r="M264" s="15"/>
      <c r="N264" s="15"/>
      <c r="O264" s="15"/>
      <c r="P264" s="15"/>
      <c r="Q264" s="15"/>
      <c r="R264" s="15"/>
      <c r="S264" s="15"/>
      <c r="T264" s="15"/>
      <c r="U264" s="15"/>
      <c r="V264" s="500"/>
      <c r="W264" s="500"/>
      <c r="X264" s="500"/>
      <c r="Y264" s="500"/>
      <c r="Z264" s="500"/>
      <c r="AA264" s="500"/>
      <c r="AB264" s="500"/>
    </row>
    <row r="265" spans="3:28" hidden="1" x14ac:dyDescent="0.2">
      <c r="C265" s="11" t="str">
        <f>+C216</f>
        <v>Debt service</v>
      </c>
      <c r="D265" s="500"/>
      <c r="E265" s="531"/>
      <c r="F265" s="657"/>
      <c r="G265" s="657"/>
      <c r="H265" s="657"/>
      <c r="I265" s="657"/>
      <c r="J265" s="657"/>
      <c r="K265" s="15"/>
      <c r="L265" s="15"/>
      <c r="M265" s="15"/>
      <c r="N265" s="15"/>
      <c r="O265" s="15"/>
      <c r="P265" s="15"/>
      <c r="Q265" s="15"/>
      <c r="R265" s="15"/>
      <c r="S265" s="15"/>
      <c r="T265" s="15"/>
      <c r="U265" s="15"/>
      <c r="V265" s="500"/>
      <c r="W265" s="500"/>
      <c r="X265" s="500"/>
      <c r="Y265" s="500"/>
      <c r="Z265" s="500"/>
      <c r="AA265" s="500"/>
      <c r="AB265" s="500"/>
    </row>
    <row r="266" spans="3:28" hidden="1" x14ac:dyDescent="0.2">
      <c r="C266" s="32" t="str">
        <f t="shared" ref="C266:C285" si="289">+C217</f>
        <v>Additional debt/Refinance</v>
      </c>
      <c r="D266" s="500"/>
      <c r="E266" s="531"/>
      <c r="F266" s="531">
        <f t="shared" ref="F266:J271" si="290">F93</f>
        <v>6630000</v>
      </c>
      <c r="G266" s="531">
        <f t="shared" si="290"/>
        <v>6555827.3689279072</v>
      </c>
      <c r="H266" s="531">
        <f t="shared" si="290"/>
        <v>6476951.343151113</v>
      </c>
      <c r="I266" s="531">
        <f t="shared" si="290"/>
        <v>6393073.6735522747</v>
      </c>
      <c r="J266" s="531">
        <f t="shared" si="290"/>
        <v>6303877.1986025721</v>
      </c>
      <c r="K266" s="15"/>
      <c r="L266" s="15"/>
      <c r="M266" s="15"/>
      <c r="N266" s="15"/>
      <c r="O266" s="15"/>
      <c r="P266" s="15"/>
      <c r="Q266" s="15"/>
      <c r="R266" s="15"/>
      <c r="S266" s="15"/>
      <c r="T266" s="15"/>
      <c r="U266" s="15"/>
      <c r="V266" s="500"/>
      <c r="W266" s="500"/>
      <c r="X266" s="500"/>
      <c r="Y266" s="500"/>
      <c r="Z266" s="500"/>
      <c r="AA266" s="500"/>
      <c r="AB266" s="500"/>
    </row>
    <row r="267" spans="3:28" hidden="1" x14ac:dyDescent="0.2">
      <c r="C267" s="503" t="str">
        <f t="shared" si="289"/>
        <v>Additional debt/Refinance</v>
      </c>
      <c r="D267" s="500"/>
      <c r="E267" s="531"/>
      <c r="F267" s="531">
        <f t="shared" si="290"/>
        <v>0</v>
      </c>
      <c r="G267" s="531">
        <f t="shared" si="290"/>
        <v>0</v>
      </c>
      <c r="H267" s="531">
        <f t="shared" si="290"/>
        <v>0</v>
      </c>
      <c r="I267" s="531">
        <f t="shared" si="290"/>
        <v>0</v>
      </c>
      <c r="J267" s="531">
        <f t="shared" si="290"/>
        <v>0</v>
      </c>
      <c r="K267" s="15"/>
      <c r="L267" s="15"/>
      <c r="M267" s="15"/>
      <c r="N267" s="15"/>
      <c r="O267" s="15"/>
      <c r="P267" s="15"/>
      <c r="Q267" s="15"/>
      <c r="R267" s="15"/>
      <c r="S267" s="15"/>
      <c r="T267" s="15"/>
      <c r="U267" s="15"/>
      <c r="V267" s="500"/>
      <c r="W267" s="500"/>
      <c r="X267" s="500"/>
      <c r="Y267" s="500"/>
      <c r="Z267" s="500"/>
      <c r="AA267" s="500"/>
      <c r="AB267" s="500"/>
    </row>
    <row r="268" spans="3:28" hidden="1" x14ac:dyDescent="0.2">
      <c r="C268" s="32" t="str">
        <f t="shared" si="289"/>
        <v>Payment</v>
      </c>
      <c r="D268" s="500"/>
      <c r="E268" s="531"/>
      <c r="F268" s="531">
        <f t="shared" si="290"/>
        <v>494590.59982209268</v>
      </c>
      <c r="G268" s="531">
        <f t="shared" si="290"/>
        <v>494590.59982209268</v>
      </c>
      <c r="H268" s="531">
        <f t="shared" si="290"/>
        <v>494590.59982209268</v>
      </c>
      <c r="I268" s="531">
        <f t="shared" si="290"/>
        <v>494590.59982209268</v>
      </c>
      <c r="J268" s="531">
        <f t="shared" si="290"/>
        <v>494590.59982209268</v>
      </c>
      <c r="K268" s="15"/>
      <c r="L268" s="15"/>
      <c r="M268" s="15"/>
      <c r="N268" s="15"/>
      <c r="O268" s="15"/>
      <c r="P268" s="15"/>
      <c r="Q268" s="15"/>
      <c r="R268" s="15"/>
      <c r="S268" s="15"/>
      <c r="T268" s="15"/>
      <c r="U268" s="15"/>
      <c r="V268" s="500"/>
      <c r="W268" s="500"/>
      <c r="X268" s="500"/>
      <c r="Y268" s="500"/>
      <c r="Z268" s="500"/>
      <c r="AA268" s="500"/>
      <c r="AB268" s="500"/>
    </row>
    <row r="269" spans="3:28" hidden="1" x14ac:dyDescent="0.2">
      <c r="C269" s="32" t="str">
        <f t="shared" si="289"/>
        <v>Principal</v>
      </c>
      <c r="D269" s="500"/>
      <c r="E269" s="531"/>
      <c r="F269" s="531">
        <f t="shared" si="290"/>
        <v>74172.631072092685</v>
      </c>
      <c r="G269" s="531">
        <f t="shared" si="290"/>
        <v>78876.025776794355</v>
      </c>
      <c r="H269" s="531">
        <f t="shared" si="290"/>
        <v>83877.669598838489</v>
      </c>
      <c r="I269" s="531">
        <f t="shared" si="290"/>
        <v>89196.474949702329</v>
      </c>
      <c r="J269" s="531">
        <f t="shared" si="290"/>
        <v>94852.553504455602</v>
      </c>
      <c r="K269" s="15"/>
      <c r="L269" s="15"/>
      <c r="M269" s="15"/>
      <c r="N269" s="15"/>
      <c r="O269" s="15"/>
      <c r="P269" s="15"/>
      <c r="Q269" s="15"/>
      <c r="R269" s="15"/>
      <c r="S269" s="15"/>
      <c r="T269" s="15"/>
      <c r="U269" s="15"/>
      <c r="V269" s="500"/>
      <c r="W269" s="500"/>
      <c r="X269" s="500"/>
      <c r="Y269" s="500"/>
      <c r="Z269" s="500"/>
      <c r="AA269" s="500"/>
      <c r="AB269" s="500"/>
    </row>
    <row r="270" spans="3:28" hidden="1" x14ac:dyDescent="0.2">
      <c r="C270" s="32" t="str">
        <f t="shared" si="289"/>
        <v>Interest</v>
      </c>
      <c r="D270" s="500"/>
      <c r="E270" s="531"/>
      <c r="F270" s="531">
        <f t="shared" si="290"/>
        <v>420417.96875</v>
      </c>
      <c r="G270" s="531">
        <f t="shared" si="290"/>
        <v>415714.57404529833</v>
      </c>
      <c r="H270" s="531">
        <f t="shared" si="290"/>
        <v>410712.9302232542</v>
      </c>
      <c r="I270" s="531">
        <f t="shared" si="290"/>
        <v>405394.12487239036</v>
      </c>
      <c r="J270" s="531">
        <f t="shared" si="290"/>
        <v>399738.04631763708</v>
      </c>
      <c r="K270" s="15"/>
      <c r="L270" s="15"/>
      <c r="M270" s="15"/>
      <c r="N270" s="15"/>
      <c r="O270" s="15"/>
      <c r="P270" s="15"/>
      <c r="Q270" s="15"/>
      <c r="R270" s="15"/>
      <c r="S270" s="15"/>
      <c r="T270" s="15"/>
      <c r="U270" s="15"/>
      <c r="V270" s="500"/>
      <c r="W270" s="500"/>
      <c r="X270" s="500"/>
      <c r="Y270" s="500"/>
      <c r="Z270" s="500"/>
      <c r="AA270" s="500"/>
      <c r="AB270" s="500"/>
    </row>
    <row r="271" spans="3:28" hidden="1" x14ac:dyDescent="0.2">
      <c r="C271" s="32" t="str">
        <f t="shared" si="289"/>
        <v>Ending balance</v>
      </c>
      <c r="D271" s="500"/>
      <c r="E271" s="531"/>
      <c r="F271" s="531">
        <f t="shared" si="290"/>
        <v>6555827.3689279072</v>
      </c>
      <c r="G271" s="531">
        <f t="shared" si="290"/>
        <v>6476951.343151113</v>
      </c>
      <c r="H271" s="531">
        <f t="shared" si="290"/>
        <v>6393073.6735522747</v>
      </c>
      <c r="I271" s="531">
        <f t="shared" si="290"/>
        <v>6303877.1986025721</v>
      </c>
      <c r="J271" s="531">
        <f t="shared" si="290"/>
        <v>6209024.6450981162</v>
      </c>
      <c r="K271" s="15"/>
      <c r="L271" s="15"/>
      <c r="M271" s="15"/>
      <c r="N271" s="15"/>
      <c r="O271" s="15"/>
      <c r="P271" s="15"/>
      <c r="Q271" s="15"/>
      <c r="R271" s="15"/>
      <c r="S271" s="15"/>
      <c r="T271" s="15"/>
      <c r="U271" s="15"/>
      <c r="V271" s="500"/>
      <c r="W271" s="500"/>
      <c r="X271" s="500"/>
      <c r="Y271" s="500"/>
      <c r="Z271" s="500"/>
      <c r="AA271" s="500"/>
      <c r="AB271" s="500"/>
    </row>
    <row r="272" spans="3:28" hidden="1" x14ac:dyDescent="0.2">
      <c r="C272" s="500"/>
      <c r="D272" s="500"/>
      <c r="E272" s="531"/>
      <c r="F272" s="531"/>
      <c r="G272" s="531"/>
      <c r="H272" s="531"/>
      <c r="I272" s="657"/>
      <c r="J272" s="657"/>
      <c r="K272" s="15"/>
      <c r="L272" s="15"/>
      <c r="M272" s="15"/>
      <c r="N272" s="15"/>
      <c r="O272" s="15"/>
      <c r="P272" s="15"/>
      <c r="Q272" s="15"/>
      <c r="R272" s="15"/>
      <c r="S272" s="15"/>
      <c r="T272" s="15"/>
      <c r="U272" s="15"/>
      <c r="V272" s="500"/>
      <c r="W272" s="500"/>
      <c r="X272" s="500"/>
      <c r="Y272" s="500"/>
      <c r="Z272" s="500"/>
      <c r="AA272" s="500"/>
      <c r="AB272" s="500"/>
    </row>
    <row r="273" spans="3:28" hidden="1" x14ac:dyDescent="0.2">
      <c r="C273" s="269">
        <f t="shared" si="289"/>
        <v>0</v>
      </c>
      <c r="D273" s="500"/>
      <c r="E273" s="531"/>
      <c r="F273" s="531"/>
      <c r="G273" s="531"/>
      <c r="H273" s="531"/>
      <c r="I273" s="657"/>
      <c r="J273" s="657"/>
      <c r="K273" s="15"/>
      <c r="L273" s="15"/>
      <c r="M273" s="15"/>
      <c r="N273" s="15"/>
      <c r="O273" s="15"/>
      <c r="P273" s="15"/>
      <c r="Q273" s="15"/>
      <c r="R273" s="15"/>
      <c r="S273" s="15"/>
      <c r="T273" s="15"/>
      <c r="U273" s="15"/>
      <c r="V273" s="500"/>
      <c r="W273" s="500"/>
      <c r="X273" s="500"/>
      <c r="Y273" s="500"/>
      <c r="Z273" s="500"/>
      <c r="AA273" s="500"/>
      <c r="AB273" s="500"/>
    </row>
    <row r="274" spans="3:28" hidden="1" x14ac:dyDescent="0.2">
      <c r="C274" s="500"/>
      <c r="D274" s="500"/>
      <c r="E274" s="531"/>
      <c r="F274" s="531"/>
      <c r="G274" s="531"/>
      <c r="H274" s="531"/>
      <c r="I274" s="657"/>
      <c r="J274" s="657"/>
      <c r="K274" s="15"/>
      <c r="L274" s="15"/>
      <c r="M274" s="15"/>
      <c r="N274" s="15"/>
      <c r="O274" s="15"/>
      <c r="P274" s="15"/>
      <c r="Q274" s="15"/>
      <c r="R274" s="15"/>
      <c r="S274" s="15"/>
      <c r="T274" s="15"/>
      <c r="U274" s="15"/>
      <c r="V274" s="500"/>
      <c r="W274" s="500"/>
      <c r="X274" s="500"/>
      <c r="Y274" s="500"/>
      <c r="Z274" s="500"/>
      <c r="AA274" s="500"/>
      <c r="AB274" s="500"/>
    </row>
    <row r="275" spans="3:28" hidden="1" x14ac:dyDescent="0.2">
      <c r="C275" s="36" t="str">
        <f t="shared" si="289"/>
        <v>Refinance Valuation (from Proforma above)</v>
      </c>
      <c r="D275" s="500"/>
      <c r="E275" s="531"/>
      <c r="F275" s="531">
        <f ca="1">F103</f>
        <v>11919857.93061818</v>
      </c>
      <c r="G275" s="531">
        <f ca="1">G103</f>
        <v>14098362.492866909</v>
      </c>
      <c r="H275" s="531">
        <f ca="1">H103</f>
        <v>15160955.04134243</v>
      </c>
      <c r="I275" s="531">
        <f ca="1">I103</f>
        <v>16291445.246006375</v>
      </c>
      <c r="J275" s="531">
        <f ca="1">J103</f>
        <v>17276830.178760916</v>
      </c>
      <c r="K275" s="15"/>
      <c r="L275" s="15"/>
      <c r="M275" s="15"/>
      <c r="N275" s="15"/>
      <c r="O275" s="15"/>
      <c r="P275" s="15"/>
      <c r="Q275" s="15"/>
      <c r="R275" s="15"/>
      <c r="S275" s="15"/>
      <c r="T275" s="15"/>
      <c r="U275" s="15"/>
      <c r="V275" s="500"/>
      <c r="W275" s="500"/>
      <c r="X275" s="500"/>
      <c r="Y275" s="500"/>
      <c r="Z275" s="500"/>
      <c r="AA275" s="500"/>
      <c r="AB275" s="500"/>
    </row>
    <row r="276" spans="3:28" hidden="1" x14ac:dyDescent="0.2">
      <c r="C276" s="35"/>
      <c r="D276" s="500"/>
      <c r="E276" s="531"/>
      <c r="F276" s="531"/>
      <c r="G276" s="531"/>
      <c r="H276" s="531"/>
      <c r="I276" s="657"/>
      <c r="J276" s="657"/>
      <c r="K276" s="15"/>
      <c r="L276" s="15"/>
      <c r="M276" s="15"/>
      <c r="N276" s="15"/>
      <c r="O276" s="15"/>
      <c r="P276" s="15"/>
      <c r="Q276" s="15"/>
      <c r="R276" s="15"/>
      <c r="S276" s="15"/>
      <c r="T276" s="15"/>
      <c r="U276" s="15"/>
      <c r="V276" s="500"/>
      <c r="W276" s="500"/>
      <c r="X276" s="500"/>
      <c r="Y276" s="500"/>
      <c r="Z276" s="500"/>
      <c r="AA276" s="500"/>
      <c r="AB276" s="500"/>
    </row>
    <row r="277" spans="3:28" hidden="1" x14ac:dyDescent="0.2">
      <c r="C277" s="503" t="str">
        <f t="shared" si="289"/>
        <v>Net Cash Flow after Debt Service</v>
      </c>
      <c r="D277" s="500"/>
      <c r="E277" s="531"/>
      <c r="F277" s="531">
        <f t="shared" ref="F277:J281" ca="1" si="291">F105</f>
        <v>161001.58636190719</v>
      </c>
      <c r="G277" s="531">
        <f t="shared" ca="1" si="291"/>
        <v>280819.33728558733</v>
      </c>
      <c r="H277" s="531">
        <f t="shared" ca="1" si="291"/>
        <v>339261.92745174095</v>
      </c>
      <c r="I277" s="531">
        <f t="shared" ca="1" si="291"/>
        <v>401438.88870825793</v>
      </c>
      <c r="J277" s="531">
        <f t="shared" ca="1" si="291"/>
        <v>455635.06000975776</v>
      </c>
      <c r="K277" s="15"/>
      <c r="L277" s="15"/>
      <c r="M277" s="15"/>
      <c r="N277" s="15"/>
      <c r="O277" s="15"/>
      <c r="P277" s="15"/>
      <c r="Q277" s="15"/>
      <c r="R277" s="15"/>
      <c r="S277" s="15"/>
      <c r="T277" s="15"/>
      <c r="U277" s="15"/>
      <c r="V277" s="500"/>
      <c r="W277" s="500"/>
      <c r="X277" s="500"/>
      <c r="Y277" s="500"/>
      <c r="Z277" s="500"/>
      <c r="AA277" s="500"/>
      <c r="AB277" s="500"/>
    </row>
    <row r="278" spans="3:28" hidden="1" x14ac:dyDescent="0.2">
      <c r="C278" s="503" t="str">
        <f t="shared" si="289"/>
        <v>Cash from Sale of POH</v>
      </c>
      <c r="D278" s="500"/>
      <c r="E278" s="531"/>
      <c r="F278" s="531">
        <f t="shared" si="291"/>
        <v>0</v>
      </c>
      <c r="G278" s="531">
        <f t="shared" si="291"/>
        <v>0</v>
      </c>
      <c r="H278" s="531">
        <f t="shared" si="291"/>
        <v>0</v>
      </c>
      <c r="I278" s="531">
        <f t="shared" si="291"/>
        <v>0</v>
      </c>
      <c r="J278" s="531">
        <f t="shared" si="291"/>
        <v>0</v>
      </c>
      <c r="K278" s="15"/>
      <c r="L278" s="15"/>
      <c r="M278" s="15"/>
      <c r="N278" s="15"/>
      <c r="O278" s="15"/>
      <c r="P278" s="15"/>
      <c r="Q278" s="15"/>
      <c r="R278" s="15"/>
      <c r="S278" s="15"/>
      <c r="T278" s="15"/>
      <c r="U278" s="15"/>
      <c r="V278" s="500"/>
      <c r="W278" s="500"/>
      <c r="X278" s="500"/>
      <c r="Y278" s="500"/>
      <c r="Z278" s="500"/>
      <c r="AA278" s="500"/>
      <c r="AB278" s="500"/>
    </row>
    <row r="279" spans="3:28" hidden="1" x14ac:dyDescent="0.2">
      <c r="C279" s="503" t="str">
        <f t="shared" si="289"/>
        <v>Net Operating Cash Flow From POH</v>
      </c>
      <c r="D279" s="500"/>
      <c r="E279" s="531"/>
      <c r="F279" s="531">
        <f t="shared" si="291"/>
        <v>0</v>
      </c>
      <c r="G279" s="531">
        <f t="shared" si="291"/>
        <v>0</v>
      </c>
      <c r="H279" s="531">
        <f t="shared" si="291"/>
        <v>0</v>
      </c>
      <c r="I279" s="531">
        <f t="shared" si="291"/>
        <v>0</v>
      </c>
      <c r="J279" s="531">
        <f t="shared" si="291"/>
        <v>0</v>
      </c>
      <c r="K279" s="15"/>
      <c r="L279" s="15"/>
      <c r="M279" s="15"/>
      <c r="N279" s="15"/>
      <c r="O279" s="15"/>
      <c r="P279" s="15"/>
      <c r="Q279" s="15"/>
      <c r="R279" s="15"/>
      <c r="S279" s="15"/>
      <c r="T279" s="15"/>
      <c r="U279" s="15"/>
      <c r="V279" s="500"/>
      <c r="W279" s="500"/>
      <c r="X279" s="500"/>
      <c r="Y279" s="500"/>
      <c r="Z279" s="500"/>
      <c r="AA279" s="500"/>
      <c r="AB279" s="500"/>
    </row>
    <row r="280" spans="3:28" hidden="1" x14ac:dyDescent="0.2">
      <c r="C280" s="503" t="str">
        <f t="shared" si="289"/>
        <v>Note Income from POH</v>
      </c>
      <c r="D280" s="500"/>
      <c r="E280" s="531"/>
      <c r="F280" s="531">
        <f t="shared" si="291"/>
        <v>0</v>
      </c>
      <c r="G280" s="531">
        <f t="shared" si="291"/>
        <v>0</v>
      </c>
      <c r="H280" s="531">
        <f t="shared" si="291"/>
        <v>0</v>
      </c>
      <c r="I280" s="531">
        <f t="shared" si="291"/>
        <v>0</v>
      </c>
      <c r="J280" s="531">
        <f t="shared" si="291"/>
        <v>0</v>
      </c>
      <c r="K280" s="15"/>
      <c r="L280" s="15"/>
      <c r="M280" s="15"/>
      <c r="N280" s="15"/>
      <c r="O280" s="15"/>
      <c r="P280" s="15"/>
      <c r="Q280" s="15"/>
      <c r="R280" s="15"/>
      <c r="S280" s="15"/>
      <c r="T280" s="15"/>
      <c r="U280" s="15"/>
      <c r="V280" s="500"/>
      <c r="W280" s="500"/>
      <c r="X280" s="500"/>
      <c r="Y280" s="500"/>
      <c r="Z280" s="500"/>
      <c r="AA280" s="500"/>
      <c r="AB280" s="500"/>
    </row>
    <row r="281" spans="3:28" hidden="1" x14ac:dyDescent="0.2">
      <c r="C281" s="503" t="str">
        <f t="shared" si="289"/>
        <v>POH Seller Carry Note</v>
      </c>
      <c r="D281" s="500"/>
      <c r="E281" s="531"/>
      <c r="F281" s="531">
        <f t="shared" si="291"/>
        <v>0</v>
      </c>
      <c r="G281" s="531">
        <f t="shared" si="291"/>
        <v>0</v>
      </c>
      <c r="H281" s="531">
        <f t="shared" si="291"/>
        <v>0</v>
      </c>
      <c r="I281" s="531">
        <f t="shared" si="291"/>
        <v>0</v>
      </c>
      <c r="J281" s="531">
        <f t="shared" si="291"/>
        <v>0</v>
      </c>
      <c r="K281" s="15"/>
      <c r="L281" s="15"/>
      <c r="M281" s="15"/>
      <c r="N281" s="15"/>
      <c r="O281" s="15"/>
      <c r="P281" s="15"/>
      <c r="Q281" s="15"/>
      <c r="R281" s="15"/>
      <c r="S281" s="15"/>
      <c r="T281" s="15"/>
      <c r="U281" s="15"/>
      <c r="V281" s="500"/>
      <c r="W281" s="500"/>
      <c r="X281" s="500"/>
      <c r="Y281" s="500"/>
      <c r="Z281" s="500"/>
      <c r="AA281" s="500"/>
      <c r="AB281" s="500"/>
    </row>
    <row r="282" spans="3:28" hidden="1" x14ac:dyDescent="0.2">
      <c r="C282" s="503" t="str">
        <f t="shared" si="289"/>
        <v>Return of Capital (other)</v>
      </c>
      <c r="D282" s="500"/>
      <c r="E282" s="531"/>
      <c r="F282" s="531">
        <f t="shared" ref="F282:I283" si="292">F114</f>
        <v>0</v>
      </c>
      <c r="G282" s="531">
        <f t="shared" si="292"/>
        <v>0</v>
      </c>
      <c r="H282" s="531">
        <f t="shared" si="292"/>
        <v>0</v>
      </c>
      <c r="I282" s="531">
        <f t="shared" si="292"/>
        <v>0</v>
      </c>
      <c r="J282" s="531"/>
      <c r="K282" s="15"/>
      <c r="L282" s="15"/>
      <c r="M282" s="15"/>
      <c r="N282" s="15"/>
      <c r="O282" s="15"/>
      <c r="P282" s="15"/>
      <c r="Q282" s="15"/>
      <c r="R282" s="15"/>
      <c r="S282" s="15"/>
      <c r="T282" s="15"/>
      <c r="U282" s="15"/>
      <c r="V282" s="500"/>
      <c r="W282" s="500"/>
      <c r="X282" s="500"/>
      <c r="Y282" s="500"/>
      <c r="Z282" s="500"/>
      <c r="AA282" s="500"/>
      <c r="AB282" s="500"/>
    </row>
    <row r="283" spans="3:28" hidden="1" x14ac:dyDescent="0.2">
      <c r="C283" s="503" t="str">
        <f t="shared" si="289"/>
        <v>Sale Proceeds at Exit</v>
      </c>
      <c r="D283" s="500"/>
      <c r="E283" s="531"/>
      <c r="F283" s="531">
        <f t="shared" si="292"/>
        <v>0</v>
      </c>
      <c r="G283" s="531">
        <f t="shared" si="292"/>
        <v>0</v>
      </c>
      <c r="H283" s="531">
        <f t="shared" si="292"/>
        <v>0</v>
      </c>
      <c r="I283" s="531">
        <f t="shared" si="292"/>
        <v>0</v>
      </c>
      <c r="J283" s="531">
        <f ca="1">+(J263/RefiCap)*(1-Cost_of_Sale)</f>
        <v>16758525.273398088</v>
      </c>
      <c r="K283" s="15"/>
      <c r="L283" s="15"/>
      <c r="M283" s="15"/>
      <c r="N283" s="15"/>
      <c r="O283" s="15"/>
      <c r="P283" s="15"/>
      <c r="Q283" s="15"/>
      <c r="R283" s="15"/>
      <c r="S283" s="15"/>
      <c r="T283" s="15"/>
      <c r="U283" s="15"/>
      <c r="V283" s="500"/>
      <c r="W283" s="500"/>
      <c r="X283" s="500"/>
      <c r="Y283" s="500"/>
      <c r="Z283" s="500"/>
      <c r="AA283" s="500"/>
      <c r="AB283" s="500"/>
    </row>
    <row r="284" spans="3:28" hidden="1" x14ac:dyDescent="0.2">
      <c r="C284" s="503" t="str">
        <f t="shared" si="289"/>
        <v>Repay Outstanding Loan</v>
      </c>
      <c r="D284" s="500"/>
      <c r="E284" s="531"/>
      <c r="F284" s="531"/>
      <c r="G284" s="531"/>
      <c r="H284" s="531"/>
      <c r="I284" s="531"/>
      <c r="J284" s="531">
        <f>-J271</f>
        <v>-6209024.6450981162</v>
      </c>
      <c r="K284" s="15"/>
      <c r="L284" s="15"/>
      <c r="M284" s="15"/>
      <c r="N284" s="15"/>
      <c r="O284" s="15"/>
      <c r="P284" s="15"/>
      <c r="Q284" s="15"/>
      <c r="R284" s="15"/>
      <c r="S284" s="15"/>
      <c r="T284" s="15"/>
      <c r="U284" s="15"/>
      <c r="V284" s="500"/>
      <c r="W284" s="500"/>
      <c r="X284" s="500"/>
      <c r="Y284" s="500"/>
      <c r="Z284" s="500"/>
      <c r="AA284" s="500"/>
      <c r="AB284" s="500"/>
    </row>
    <row r="285" spans="3:28" ht="13.5" hidden="1" thickBot="1" x14ac:dyDescent="0.25">
      <c r="C285" s="575" t="str">
        <f t="shared" si="289"/>
        <v>Pretax Income Available for Distribution</v>
      </c>
      <c r="D285" s="500"/>
      <c r="E285" s="531">
        <f>E236</f>
        <v>-4230000</v>
      </c>
      <c r="F285" s="531">
        <f ca="1">SUM(F277:F284)</f>
        <v>161001.58636190719</v>
      </c>
      <c r="G285" s="531">
        <f t="shared" ref="G285:J285" ca="1" si="293">SUM(G277:G284)</f>
        <v>280819.33728558733</v>
      </c>
      <c r="H285" s="531">
        <f t="shared" ca="1" si="293"/>
        <v>339261.92745174095</v>
      </c>
      <c r="I285" s="531">
        <f t="shared" ca="1" si="293"/>
        <v>401438.88870825793</v>
      </c>
      <c r="J285" s="531">
        <f t="shared" ca="1" si="293"/>
        <v>11005135.688309729</v>
      </c>
      <c r="K285" s="15"/>
      <c r="L285" s="15"/>
      <c r="M285" s="15"/>
      <c r="N285" s="15"/>
      <c r="O285" s="15"/>
      <c r="P285" s="15"/>
      <c r="Q285" s="15"/>
      <c r="R285" s="15"/>
      <c r="S285" s="15"/>
      <c r="T285" s="15"/>
      <c r="U285" s="15"/>
      <c r="V285" s="500"/>
      <c r="W285" s="500"/>
      <c r="X285" s="500"/>
      <c r="Y285" s="500"/>
      <c r="Z285" s="500"/>
      <c r="AA285" s="500"/>
      <c r="AB285" s="500"/>
    </row>
    <row r="286" spans="3:28" ht="13.5" hidden="1" thickTop="1" x14ac:dyDescent="0.2">
      <c r="C286" s="500"/>
      <c r="D286" s="500"/>
      <c r="E286" s="500"/>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3:28" hidden="1" x14ac:dyDescent="0.2">
      <c r="C287" s="11" t="s">
        <v>284</v>
      </c>
      <c r="D287" s="500"/>
      <c r="E287" s="529">
        <f ca="1">IRR(E285:J285)</f>
        <v>0.25145303651958573</v>
      </c>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3:28" hidden="1" x14ac:dyDescent="0.2">
      <c r="C288" s="503"/>
      <c r="D288" s="500"/>
      <c r="E288" s="500"/>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3:28" hidden="1" x14ac:dyDescent="0.2">
      <c r="C289" s="11" t="str">
        <f t="shared" ref="C289:C302" si="294">+C240</f>
        <v>Distributions</v>
      </c>
      <c r="D289" s="500"/>
      <c r="E289" s="500"/>
      <c r="F289" s="13"/>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3:28" hidden="1" x14ac:dyDescent="0.2">
      <c r="C290" s="503" t="str">
        <f t="shared" si="294"/>
        <v>Investor Preferred Return</v>
      </c>
      <c r="D290" s="500"/>
      <c r="E290" s="500"/>
      <c r="F290" s="13"/>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3:28" hidden="1" x14ac:dyDescent="0.2">
      <c r="C291" s="23" t="str">
        <f t="shared" si="294"/>
        <v>Beginning balance</v>
      </c>
      <c r="D291" s="500"/>
      <c r="E291" s="531"/>
      <c r="F291" s="657">
        <f>-E285</f>
        <v>4230000</v>
      </c>
      <c r="G291" s="657">
        <f ca="1">+F294</f>
        <v>4280498.4136380926</v>
      </c>
      <c r="H291" s="657">
        <f t="shared" ref="H291:J291" ca="1" si="295">+G294</f>
        <v>4213703.99703441</v>
      </c>
      <c r="I291" s="657">
        <f t="shared" ca="1" si="295"/>
        <v>4085127.2694343897</v>
      </c>
      <c r="J291" s="657">
        <f t="shared" ca="1" si="295"/>
        <v>3887944.744197851</v>
      </c>
      <c r="K291" s="15"/>
      <c r="L291" s="15"/>
      <c r="M291" s="15"/>
      <c r="N291" s="15"/>
      <c r="O291" s="15"/>
      <c r="P291" s="15"/>
      <c r="Q291" s="15"/>
      <c r="R291" s="15"/>
      <c r="S291" s="15"/>
      <c r="T291" s="15"/>
      <c r="U291" s="15"/>
      <c r="V291" s="15"/>
      <c r="W291" s="15"/>
      <c r="X291" s="15"/>
      <c r="Y291" s="15"/>
      <c r="Z291" s="15"/>
      <c r="AA291" s="15"/>
      <c r="AB291" s="15"/>
    </row>
    <row r="292" spans="3:28" hidden="1" x14ac:dyDescent="0.2">
      <c r="C292" s="23" t="str">
        <f t="shared" si="294"/>
        <v>Preferred return</v>
      </c>
      <c r="D292" s="500"/>
      <c r="E292" s="531"/>
      <c r="F292" s="657">
        <f>+F291*InvestorPref</f>
        <v>211500</v>
      </c>
      <c r="G292" s="657">
        <f ca="1">+G291*InvestorPref</f>
        <v>214024.92068190465</v>
      </c>
      <c r="H292" s="657">
        <f ca="1">+H291*InvestorPref</f>
        <v>210685.19985172051</v>
      </c>
      <c r="I292" s="657">
        <f ca="1">+I291*InvestorPref</f>
        <v>204256.36347171949</v>
      </c>
      <c r="J292" s="657">
        <f ca="1">+J291*InvestorPref</f>
        <v>194397.23720989257</v>
      </c>
      <c r="K292" s="15"/>
      <c r="L292" s="15"/>
      <c r="M292" s="15"/>
      <c r="N292" s="15"/>
      <c r="O292" s="15"/>
      <c r="P292" s="15"/>
      <c r="Q292" s="15"/>
      <c r="R292" s="15"/>
      <c r="S292" s="15"/>
      <c r="T292" s="15"/>
      <c r="U292" s="15"/>
      <c r="V292" s="15"/>
      <c r="W292" s="15"/>
      <c r="X292" s="15"/>
      <c r="Y292" s="15"/>
      <c r="Z292" s="15"/>
      <c r="AA292" s="15"/>
      <c r="AB292" s="15"/>
    </row>
    <row r="293" spans="3:28" hidden="1" x14ac:dyDescent="0.2">
      <c r="C293" s="23" t="str">
        <f t="shared" si="294"/>
        <v>Payment</v>
      </c>
      <c r="D293" s="500"/>
      <c r="E293" s="531"/>
      <c r="F293" s="657">
        <f ca="1">MAX(-F291-F292,-F285)</f>
        <v>-161001.58636190719</v>
      </c>
      <c r="G293" s="657">
        <f t="shared" ref="G293:J293" ca="1" si="296">MAX(-G291-G292,-G285)</f>
        <v>-280819.33728558733</v>
      </c>
      <c r="H293" s="657">
        <f t="shared" ca="1" si="296"/>
        <v>-339261.92745174095</v>
      </c>
      <c r="I293" s="657">
        <f t="shared" ca="1" si="296"/>
        <v>-401438.88870825793</v>
      </c>
      <c r="J293" s="657">
        <f t="shared" ca="1" si="296"/>
        <v>-4082341.9814077434</v>
      </c>
      <c r="K293" s="15"/>
      <c r="L293" s="15"/>
      <c r="M293" s="15"/>
      <c r="N293" s="15"/>
      <c r="O293" s="15"/>
      <c r="P293" s="15"/>
      <c r="Q293" s="15"/>
      <c r="R293" s="15"/>
      <c r="S293" s="15"/>
      <c r="T293" s="15"/>
      <c r="U293" s="15"/>
      <c r="V293" s="15"/>
      <c r="W293" s="15"/>
      <c r="X293" s="15"/>
      <c r="Y293" s="15"/>
      <c r="Z293" s="15"/>
      <c r="AA293" s="15"/>
      <c r="AB293" s="15"/>
    </row>
    <row r="294" spans="3:28" hidden="1" x14ac:dyDescent="0.2">
      <c r="C294" s="23" t="str">
        <f t="shared" si="294"/>
        <v>Ending balance</v>
      </c>
      <c r="D294" s="500"/>
      <c r="E294" s="531"/>
      <c r="F294" s="710">
        <f ca="1">SUM(F291:F293)</f>
        <v>4280498.4136380926</v>
      </c>
      <c r="G294" s="710">
        <f t="shared" ref="G294:J294" ca="1" si="297">SUM(G291:G293)</f>
        <v>4213703.99703441</v>
      </c>
      <c r="H294" s="710">
        <f t="shared" ca="1" si="297"/>
        <v>4085127.2694343897</v>
      </c>
      <c r="I294" s="710">
        <f t="shared" ca="1" si="297"/>
        <v>3887944.744197851</v>
      </c>
      <c r="J294" s="710">
        <f t="shared" ca="1" si="297"/>
        <v>0</v>
      </c>
      <c r="K294" s="15"/>
      <c r="L294" s="15"/>
      <c r="M294" s="15"/>
      <c r="N294" s="15"/>
      <c r="O294" s="15"/>
      <c r="P294" s="15"/>
      <c r="Q294" s="15"/>
      <c r="R294" s="15"/>
      <c r="S294" s="15"/>
      <c r="T294" s="15"/>
      <c r="U294" s="15"/>
      <c r="V294" s="15"/>
      <c r="W294" s="15"/>
      <c r="X294" s="15"/>
      <c r="Y294" s="15"/>
      <c r="Z294" s="15"/>
      <c r="AA294" s="15"/>
      <c r="AB294" s="15"/>
    </row>
    <row r="295" spans="3:28" hidden="1" x14ac:dyDescent="0.2">
      <c r="C295" s="503" t="str">
        <f t="shared" si="294"/>
        <v>Available After Pref / Return Of Capital</v>
      </c>
      <c r="D295" s="500"/>
      <c r="E295" s="531"/>
      <c r="F295" s="657">
        <f ca="1">+F285+F293</f>
        <v>0</v>
      </c>
      <c r="G295" s="657">
        <f t="shared" ref="G295:J295" ca="1" si="298">+G285+G293</f>
        <v>0</v>
      </c>
      <c r="H295" s="657">
        <f t="shared" ca="1" si="298"/>
        <v>0</v>
      </c>
      <c r="I295" s="657">
        <f t="shared" ca="1" si="298"/>
        <v>0</v>
      </c>
      <c r="J295" s="657">
        <f t="shared" ca="1" si="298"/>
        <v>6922793.7069019862</v>
      </c>
      <c r="K295" s="15"/>
      <c r="L295" s="15"/>
      <c r="M295" s="15"/>
      <c r="N295" s="15"/>
      <c r="O295" s="15"/>
      <c r="P295" s="15"/>
      <c r="Q295" s="15"/>
      <c r="R295" s="15"/>
      <c r="S295" s="15"/>
      <c r="T295" s="15"/>
      <c r="U295" s="15"/>
      <c r="V295" s="15"/>
      <c r="W295" s="15"/>
      <c r="X295" s="15"/>
      <c r="Y295" s="15"/>
      <c r="Z295" s="15"/>
      <c r="AA295" s="15"/>
      <c r="AB295" s="15"/>
    </row>
    <row r="296" spans="3:28" hidden="1" x14ac:dyDescent="0.2">
      <c r="C296" s="41" t="str">
        <f t="shared" si="294"/>
        <v>Split</v>
      </c>
      <c r="D296" s="500"/>
      <c r="E296" s="531"/>
      <c r="F296" s="657"/>
      <c r="G296" s="657"/>
      <c r="H296" s="657"/>
      <c r="I296" s="657"/>
      <c r="J296" s="657"/>
      <c r="K296" s="15"/>
      <c r="L296" s="15"/>
      <c r="M296" s="15"/>
      <c r="N296" s="15"/>
      <c r="O296" s="15"/>
      <c r="P296" s="15"/>
      <c r="Q296" s="15"/>
      <c r="R296" s="15"/>
      <c r="S296" s="15"/>
      <c r="T296" s="15"/>
      <c r="U296" s="15"/>
      <c r="V296" s="15"/>
      <c r="W296" s="15"/>
      <c r="X296" s="15"/>
      <c r="Y296" s="15"/>
      <c r="Z296" s="15"/>
      <c r="AA296" s="15"/>
      <c r="AB296" s="15"/>
    </row>
    <row r="297" spans="3:28" hidden="1" x14ac:dyDescent="0.2">
      <c r="C297" s="537" t="str">
        <f t="shared" si="294"/>
        <v>Investor</v>
      </c>
      <c r="D297" s="500"/>
      <c r="E297" s="531"/>
      <c r="F297" s="657">
        <f ca="1">+F295*InvestorPromote</f>
        <v>0</v>
      </c>
      <c r="G297" s="657">
        <f ca="1">+G295*InvestorPromote</f>
        <v>0</v>
      </c>
      <c r="H297" s="657">
        <f ca="1">+H295*InvestorPromote</f>
        <v>0</v>
      </c>
      <c r="I297" s="657">
        <f ca="1">+I295*InvestorPromote</f>
        <v>0</v>
      </c>
      <c r="J297" s="657">
        <f ca="1">+J295*InvestorPromote</f>
        <v>3461396.8534509931</v>
      </c>
      <c r="K297" s="15"/>
      <c r="L297" s="15"/>
      <c r="M297" s="15"/>
      <c r="N297" s="15"/>
      <c r="O297" s="15"/>
      <c r="P297" s="15"/>
      <c r="Q297" s="15"/>
      <c r="R297" s="15"/>
      <c r="S297" s="15"/>
      <c r="T297" s="15"/>
      <c r="U297" s="15"/>
      <c r="V297" s="15"/>
      <c r="W297" s="15"/>
      <c r="X297" s="15"/>
      <c r="Y297" s="15"/>
      <c r="Z297" s="15"/>
      <c r="AA297" s="15"/>
      <c r="AB297" s="15"/>
    </row>
    <row r="298" spans="3:28" hidden="1" x14ac:dyDescent="0.2">
      <c r="C298" s="537" t="str">
        <f t="shared" si="294"/>
        <v>BVG</v>
      </c>
      <c r="D298" s="500"/>
      <c r="E298" s="531"/>
      <c r="F298" s="657">
        <f ca="1">+F295*BVGPromote</f>
        <v>0</v>
      </c>
      <c r="G298" s="657">
        <f ca="1">+G295*BVGPromote</f>
        <v>0</v>
      </c>
      <c r="H298" s="657">
        <f ca="1">+H295*BVGPromote</f>
        <v>0</v>
      </c>
      <c r="I298" s="657">
        <f ca="1">+I295*BVGPromote</f>
        <v>0</v>
      </c>
      <c r="J298" s="657">
        <f ca="1">+J295*BVGPromote</f>
        <v>3461396.8534509931</v>
      </c>
      <c r="K298" s="15"/>
      <c r="L298" s="15"/>
      <c r="M298" s="15"/>
      <c r="N298" s="15"/>
      <c r="O298" s="15"/>
      <c r="P298" s="15"/>
      <c r="Q298" s="15"/>
      <c r="R298" s="15"/>
      <c r="S298" s="15"/>
      <c r="T298" s="15"/>
      <c r="U298" s="15"/>
      <c r="V298" s="15"/>
      <c r="W298" s="15"/>
      <c r="X298" s="15"/>
      <c r="Y298" s="15"/>
      <c r="Z298" s="15"/>
      <c r="AA298" s="15"/>
      <c r="AB298" s="15"/>
    </row>
    <row r="299" spans="3:28" hidden="1" x14ac:dyDescent="0.2">
      <c r="C299" s="41" t="str">
        <f t="shared" si="294"/>
        <v>Total</v>
      </c>
      <c r="D299" s="500"/>
      <c r="E299" s="531"/>
      <c r="F299" s="657"/>
      <c r="G299" s="657"/>
      <c r="H299" s="657"/>
      <c r="I299" s="657"/>
      <c r="J299" s="657"/>
      <c r="K299" s="15"/>
      <c r="L299" s="15"/>
      <c r="M299" s="15"/>
      <c r="N299" s="15"/>
      <c r="O299" s="15"/>
      <c r="P299" s="15"/>
      <c r="Q299" s="15"/>
      <c r="R299" s="15"/>
      <c r="S299" s="15"/>
      <c r="T299" s="15"/>
      <c r="U299" s="15"/>
      <c r="V299" s="15"/>
      <c r="W299" s="15"/>
      <c r="X299" s="15"/>
      <c r="Y299" s="15"/>
      <c r="Z299" s="15"/>
      <c r="AA299" s="15"/>
      <c r="AB299" s="15"/>
    </row>
    <row r="300" spans="3:28" hidden="1" x14ac:dyDescent="0.2">
      <c r="C300" s="537" t="str">
        <f t="shared" si="294"/>
        <v>Investor</v>
      </c>
      <c r="D300" s="500"/>
      <c r="E300" s="531"/>
      <c r="F300" s="657">
        <f ca="1">-F293+F297</f>
        <v>161001.58636190719</v>
      </c>
      <c r="G300" s="657">
        <f t="shared" ref="G300:H300" ca="1" si="299">-G293+G297</f>
        <v>280819.33728558733</v>
      </c>
      <c r="H300" s="657">
        <f t="shared" ca="1" si="299"/>
        <v>339261.92745174095</v>
      </c>
      <c r="I300" s="657">
        <f t="shared" ref="I300:J300" ca="1" si="300">-I293+I297</f>
        <v>401438.88870825793</v>
      </c>
      <c r="J300" s="657">
        <f t="shared" ca="1" si="300"/>
        <v>7543738.834858736</v>
      </c>
      <c r="K300" s="15"/>
      <c r="L300" s="15"/>
      <c r="M300" s="15"/>
      <c r="N300" s="15"/>
      <c r="O300" s="15"/>
      <c r="P300" s="15"/>
      <c r="Q300" s="15"/>
      <c r="R300" s="15"/>
      <c r="S300" s="15"/>
      <c r="T300" s="15"/>
      <c r="U300" s="15"/>
      <c r="V300" s="15"/>
      <c r="W300" s="15"/>
      <c r="X300" s="15"/>
      <c r="Y300" s="15"/>
      <c r="Z300" s="15"/>
      <c r="AA300" s="15"/>
      <c r="AB300" s="15"/>
    </row>
    <row r="301" spans="3:28" hidden="1" x14ac:dyDescent="0.2">
      <c r="C301" s="537" t="str">
        <f t="shared" si="294"/>
        <v>BVG</v>
      </c>
      <c r="D301" s="500"/>
      <c r="E301" s="531"/>
      <c r="F301" s="657">
        <f ca="1">+F298</f>
        <v>0</v>
      </c>
      <c r="G301" s="657">
        <f t="shared" ref="G301:H301" ca="1" si="301">+G298</f>
        <v>0</v>
      </c>
      <c r="H301" s="657">
        <f t="shared" ca="1" si="301"/>
        <v>0</v>
      </c>
      <c r="I301" s="657">
        <f t="shared" ref="I301:J301" ca="1" si="302">+I298</f>
        <v>0</v>
      </c>
      <c r="J301" s="657">
        <f t="shared" ca="1" si="302"/>
        <v>3461396.8534509931</v>
      </c>
      <c r="K301" s="15"/>
      <c r="L301" s="15"/>
      <c r="M301" s="15"/>
      <c r="N301" s="15"/>
      <c r="O301" s="15"/>
      <c r="P301" s="15"/>
      <c r="Q301" s="15"/>
      <c r="R301" s="15"/>
      <c r="S301" s="15"/>
      <c r="T301" s="15"/>
      <c r="U301" s="15"/>
      <c r="V301" s="15"/>
      <c r="W301" s="15"/>
      <c r="X301" s="15"/>
      <c r="Y301" s="15"/>
      <c r="Z301" s="15"/>
      <c r="AA301" s="15"/>
      <c r="AB301" s="15"/>
    </row>
    <row r="302" spans="3:28" hidden="1" x14ac:dyDescent="0.2">
      <c r="C302" s="41" t="str">
        <f t="shared" si="294"/>
        <v>Total Project Cash Flow</v>
      </c>
      <c r="D302" s="500"/>
      <c r="E302" s="582">
        <f>E285</f>
        <v>-4230000</v>
      </c>
      <c r="F302" s="659">
        <f ca="1">+F300</f>
        <v>161001.58636190719</v>
      </c>
      <c r="G302" s="659">
        <f t="shared" ref="G302:H302" ca="1" si="303">+G300</f>
        <v>280819.33728558733</v>
      </c>
      <c r="H302" s="659">
        <f t="shared" ca="1" si="303"/>
        <v>339261.92745174095</v>
      </c>
      <c r="I302" s="659">
        <f t="shared" ref="I302:J302" ca="1" si="304">+I300</f>
        <v>401438.88870825793</v>
      </c>
      <c r="J302" s="659">
        <f t="shared" ca="1" si="304"/>
        <v>7543738.834858736</v>
      </c>
      <c r="K302" s="15"/>
      <c r="L302" s="15"/>
      <c r="M302" s="15"/>
      <c r="N302" s="15"/>
      <c r="O302" s="15"/>
      <c r="P302" s="15"/>
      <c r="Q302" s="15"/>
      <c r="R302" s="15"/>
      <c r="S302" s="15"/>
      <c r="T302" s="15"/>
      <c r="U302" s="15"/>
      <c r="V302" s="15"/>
      <c r="W302" s="15"/>
      <c r="X302" s="15"/>
      <c r="Y302" s="15"/>
      <c r="Z302" s="15"/>
      <c r="AA302" s="15"/>
      <c r="AB302" s="15"/>
    </row>
    <row r="303" spans="3:28" hidden="1" x14ac:dyDescent="0.2">
      <c r="C303" s="500"/>
      <c r="D303" s="500"/>
      <c r="E303" s="500"/>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3:28" hidden="1" x14ac:dyDescent="0.2">
      <c r="C304" s="500" t="s">
        <v>285</v>
      </c>
      <c r="D304" s="500"/>
      <c r="E304" s="529">
        <f ca="1">IRR(E302:J302)</f>
        <v>0.1687627398026561</v>
      </c>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3:28" hidden="1" x14ac:dyDescent="0.2">
      <c r="C305" s="500" t="str">
        <f>+C256</f>
        <v>Investor Equity Multiple</v>
      </c>
      <c r="D305" s="500"/>
      <c r="E305" s="531">
        <f ca="1">SUM(F302:J302)/-E302</f>
        <v>2.0629457623324421</v>
      </c>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3:28" hidden="1" x14ac:dyDescent="0.2">
      <c r="C306" s="500" t="str">
        <f>+C257</f>
        <v>Total Investor Cash Flow</v>
      </c>
      <c r="D306" s="500"/>
      <c r="E306" s="531">
        <f ca="1">SUM(F302:J302)</f>
        <v>8726260.57466623</v>
      </c>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3:28" hidden="1" x14ac:dyDescent="0.2">
      <c r="C307" s="500" t="s">
        <v>286</v>
      </c>
      <c r="E307" s="531">
        <f ca="1">SUM(F301:J301)</f>
        <v>3461396.8534509931</v>
      </c>
      <c r="F307" s="500"/>
      <c r="G307" s="500"/>
      <c r="H307" s="500"/>
      <c r="I307" s="500"/>
      <c r="J307" s="500"/>
      <c r="K307" s="500"/>
      <c r="L307" s="500"/>
      <c r="M307" s="500"/>
      <c r="N307" s="500"/>
      <c r="O307" s="500"/>
      <c r="P307" s="500"/>
      <c r="Q307" s="500"/>
      <c r="R307" s="500"/>
      <c r="S307" s="500"/>
      <c r="T307" s="500"/>
      <c r="U307" s="500"/>
      <c r="V307" s="500"/>
      <c r="W307" s="500"/>
      <c r="X307" s="500"/>
      <c r="Y307" s="500"/>
      <c r="Z307" s="500"/>
      <c r="AA307" s="500"/>
      <c r="AB307" s="500"/>
    </row>
    <row r="308" spans="3:28" hidden="1" x14ac:dyDescent="0.2"/>
    <row r="309" spans="3:28" ht="12" hidden="1" customHeight="1" x14ac:dyDescent="0.2">
      <c r="C309" s="500"/>
      <c r="E309" s="500"/>
      <c r="F309" s="500"/>
      <c r="G309" s="500"/>
      <c r="H309" s="500"/>
      <c r="I309" s="500"/>
      <c r="J309" s="500"/>
      <c r="K309" s="500"/>
      <c r="L309" s="500"/>
      <c r="M309" s="500"/>
      <c r="N309" s="500"/>
      <c r="O309" s="500"/>
      <c r="P309" s="500"/>
      <c r="Q309" s="500"/>
      <c r="R309" s="500"/>
      <c r="S309" s="500"/>
      <c r="T309" s="500"/>
      <c r="U309" s="500"/>
      <c r="V309" s="500"/>
      <c r="W309" s="500"/>
      <c r="X309" s="500"/>
      <c r="Y309" s="500"/>
      <c r="Z309" s="500"/>
      <c r="AA309" s="500"/>
      <c r="AB309" s="500"/>
    </row>
    <row r="310" spans="3:28" ht="15.75" hidden="1" x14ac:dyDescent="0.25">
      <c r="C310" s="852" t="s">
        <v>287</v>
      </c>
      <c r="D310" s="852"/>
      <c r="E310" s="852"/>
      <c r="F310" s="852"/>
      <c r="G310" s="852"/>
      <c r="H310" s="852"/>
      <c r="I310" s="852"/>
      <c r="J310" s="852"/>
      <c r="K310" s="852"/>
      <c r="L310" s="852"/>
      <c r="M310" s="852"/>
      <c r="N310" s="852"/>
      <c r="O310" s="852"/>
      <c r="P310" s="15"/>
      <c r="Q310" s="15"/>
      <c r="R310" s="15"/>
      <c r="S310" s="15"/>
      <c r="T310" s="15"/>
      <c r="U310" s="15"/>
      <c r="V310" s="500"/>
      <c r="W310" s="500"/>
      <c r="X310" s="500"/>
      <c r="Y310" s="500"/>
      <c r="Z310" s="500"/>
      <c r="AA310" s="500"/>
      <c r="AB310" s="500"/>
    </row>
    <row r="311" spans="3:28" ht="15" hidden="1" x14ac:dyDescent="0.25">
      <c r="C311" s="304"/>
      <c r="D311" s="304"/>
      <c r="E311" s="304"/>
      <c r="F311" s="656" t="s">
        <v>28</v>
      </c>
      <c r="G311" s="656" t="s">
        <v>29</v>
      </c>
      <c r="H311" s="656" t="s">
        <v>30</v>
      </c>
      <c r="I311" s="656" t="s">
        <v>31</v>
      </c>
      <c r="J311" s="656" t="s">
        <v>45</v>
      </c>
      <c r="K311" s="656" t="s">
        <v>46</v>
      </c>
      <c r="L311" s="656" t="s">
        <v>262</v>
      </c>
      <c r="M311" s="656" t="s">
        <v>263</v>
      </c>
      <c r="N311" s="656" t="s">
        <v>264</v>
      </c>
      <c r="O311" s="656" t="s">
        <v>265</v>
      </c>
      <c r="P311" s="305"/>
      <c r="Q311" s="305"/>
      <c r="R311" s="305"/>
      <c r="S311" s="305"/>
      <c r="T311" s="305"/>
      <c r="U311" s="305"/>
      <c r="V311" s="500"/>
      <c r="W311" s="500"/>
      <c r="X311" s="500"/>
      <c r="Y311" s="500"/>
      <c r="Z311" s="500"/>
      <c r="AA311" s="500"/>
      <c r="AB311" s="500"/>
    </row>
    <row r="312" spans="3:28" hidden="1" x14ac:dyDescent="0.2">
      <c r="C312" s="500" t="s">
        <v>143</v>
      </c>
      <c r="D312" s="500"/>
      <c r="E312" s="531"/>
      <c r="F312" s="657">
        <f t="shared" ref="F312:O312" ca="1" si="305">+F86</f>
        <v>655592.18618399987</v>
      </c>
      <c r="G312" s="657">
        <f t="shared" ca="1" si="305"/>
        <v>775409.93710768002</v>
      </c>
      <c r="H312" s="657">
        <f t="shared" ca="1" si="305"/>
        <v>833852.52727383364</v>
      </c>
      <c r="I312" s="657">
        <f t="shared" ca="1" si="305"/>
        <v>896029.48853035062</v>
      </c>
      <c r="J312" s="657">
        <f t="shared" ca="1" si="305"/>
        <v>950225.65983185044</v>
      </c>
      <c r="K312" s="657">
        <f t="shared" ca="1" si="305"/>
        <v>994772.12443781272</v>
      </c>
      <c r="L312" s="657">
        <f t="shared" ca="1" si="305"/>
        <v>1041228.7652932375</v>
      </c>
      <c r="M312" s="657">
        <f t="shared" ca="1" si="305"/>
        <v>1089674.4828684377</v>
      </c>
      <c r="N312" s="657">
        <f t="shared" ca="1" si="305"/>
        <v>1140191.3813329544</v>
      </c>
      <c r="O312" s="657">
        <f t="shared" ca="1" si="305"/>
        <v>1192864.8975914982</v>
      </c>
      <c r="P312" s="15"/>
      <c r="Q312" s="15"/>
      <c r="R312" s="15"/>
      <c r="S312" s="15"/>
      <c r="T312" s="15"/>
      <c r="U312" s="15"/>
      <c r="V312" s="500"/>
      <c r="W312" s="500"/>
      <c r="X312" s="500"/>
      <c r="Y312" s="500"/>
      <c r="Z312" s="500"/>
      <c r="AA312" s="500"/>
      <c r="AB312" s="500"/>
    </row>
    <row r="313" spans="3:28" hidden="1" x14ac:dyDescent="0.2">
      <c r="C313" s="500"/>
      <c r="D313" s="500"/>
      <c r="E313" s="531"/>
      <c r="F313" s="657"/>
      <c r="G313" s="657"/>
      <c r="H313" s="657"/>
      <c r="I313" s="657"/>
      <c r="J313" s="657"/>
      <c r="K313" s="657"/>
      <c r="L313" s="657"/>
      <c r="M313" s="657"/>
      <c r="N313" s="657"/>
      <c r="O313" s="657"/>
      <c r="P313" s="15"/>
      <c r="Q313" s="15"/>
      <c r="R313" s="15"/>
      <c r="S313" s="15"/>
      <c r="T313" s="15"/>
      <c r="U313" s="15"/>
      <c r="V313" s="500"/>
      <c r="W313" s="500"/>
      <c r="X313" s="500"/>
      <c r="Y313" s="500"/>
      <c r="Z313" s="500"/>
      <c r="AA313" s="500"/>
      <c r="AB313" s="500"/>
    </row>
    <row r="314" spans="3:28" hidden="1" x14ac:dyDescent="0.2">
      <c r="C314" s="11" t="str">
        <f>+C265</f>
        <v>Debt service</v>
      </c>
      <c r="D314" s="500"/>
      <c r="E314" s="531"/>
      <c r="F314" s="657"/>
      <c r="G314" s="657"/>
      <c r="H314" s="657"/>
      <c r="I314" s="657"/>
      <c r="J314" s="657"/>
      <c r="K314" s="657"/>
      <c r="L314" s="657"/>
      <c r="M314" s="657"/>
      <c r="N314" s="657"/>
      <c r="O314" s="657"/>
      <c r="P314" s="15"/>
      <c r="Q314" s="15"/>
      <c r="R314" s="15"/>
      <c r="S314" s="15"/>
      <c r="T314" s="15"/>
      <c r="U314" s="15"/>
      <c r="V314" s="500"/>
      <c r="W314" s="500"/>
      <c r="X314" s="500"/>
      <c r="Y314" s="500"/>
      <c r="Z314" s="500"/>
      <c r="AA314" s="500"/>
      <c r="AB314" s="500"/>
    </row>
    <row r="315" spans="3:28" hidden="1" x14ac:dyDescent="0.2">
      <c r="C315" s="32" t="str">
        <f t="shared" ref="C315:C334" si="306">+C266</f>
        <v>Additional debt/Refinance</v>
      </c>
      <c r="D315" s="500"/>
      <c r="E315" s="531"/>
      <c r="F315" s="531">
        <f t="shared" ref="F315:O315" si="307">F93</f>
        <v>6630000</v>
      </c>
      <c r="G315" s="531">
        <f t="shared" si="307"/>
        <v>6555827.3689279072</v>
      </c>
      <c r="H315" s="531">
        <f t="shared" si="307"/>
        <v>6476951.343151113</v>
      </c>
      <c r="I315" s="531">
        <f t="shared" si="307"/>
        <v>6393073.6735522747</v>
      </c>
      <c r="J315" s="531">
        <f t="shared" si="307"/>
        <v>6303877.1986025721</v>
      </c>
      <c r="K315" s="531">
        <f t="shared" si="307"/>
        <v>6209024.6450981162</v>
      </c>
      <c r="L315" s="531">
        <f t="shared" si="307"/>
        <v>6108157.3528493028</v>
      </c>
      <c r="M315" s="531">
        <f t="shared" ca="1" si="307"/>
        <v>10736486.573752841</v>
      </c>
      <c r="N315" s="531">
        <f t="shared" ca="1" si="307"/>
        <v>10613291.811881842</v>
      </c>
      <c r="O315" s="531">
        <f t="shared" ca="1" si="307"/>
        <v>10481972.612121204</v>
      </c>
      <c r="P315" s="15"/>
      <c r="Q315" s="15"/>
      <c r="R315" s="15"/>
      <c r="S315" s="15"/>
      <c r="T315" s="15"/>
      <c r="U315" s="15"/>
      <c r="V315" s="500"/>
      <c r="W315" s="500"/>
      <c r="X315" s="500"/>
      <c r="Y315" s="500"/>
      <c r="Z315" s="500"/>
      <c r="AA315" s="500"/>
      <c r="AB315" s="500"/>
    </row>
    <row r="316" spans="3:28" hidden="1" x14ac:dyDescent="0.2">
      <c r="C316" s="503" t="str">
        <f t="shared" si="306"/>
        <v>Additional debt/Refinance</v>
      </c>
      <c r="D316" s="500"/>
      <c r="E316" s="531"/>
      <c r="F316" s="531">
        <f t="shared" ref="F316:O316" si="308">F94</f>
        <v>0</v>
      </c>
      <c r="G316" s="531">
        <f t="shared" si="308"/>
        <v>0</v>
      </c>
      <c r="H316" s="531">
        <f t="shared" si="308"/>
        <v>0</v>
      </c>
      <c r="I316" s="531">
        <f t="shared" si="308"/>
        <v>0</v>
      </c>
      <c r="J316" s="531">
        <f t="shared" si="308"/>
        <v>0</v>
      </c>
      <c r="K316" s="531">
        <f t="shared" si="308"/>
        <v>0</v>
      </c>
      <c r="L316" s="531">
        <f t="shared" ca="1" si="308"/>
        <v>4743902.1864722893</v>
      </c>
      <c r="M316" s="531">
        <f t="shared" si="308"/>
        <v>0</v>
      </c>
      <c r="N316" s="531">
        <f t="shared" si="308"/>
        <v>0</v>
      </c>
      <c r="O316" s="531">
        <f t="shared" si="308"/>
        <v>0</v>
      </c>
      <c r="P316" s="15"/>
      <c r="Q316" s="15"/>
      <c r="R316" s="15"/>
      <c r="S316" s="15"/>
      <c r="T316" s="15"/>
      <c r="U316" s="15"/>
      <c r="V316" s="500"/>
      <c r="W316" s="500"/>
      <c r="X316" s="500"/>
      <c r="Y316" s="500"/>
      <c r="Z316" s="500"/>
      <c r="AA316" s="500"/>
      <c r="AB316" s="500"/>
    </row>
    <row r="317" spans="3:28" hidden="1" x14ac:dyDescent="0.2">
      <c r="C317" s="32" t="str">
        <f t="shared" si="306"/>
        <v>Payment</v>
      </c>
      <c r="D317" s="500"/>
      <c r="E317" s="531"/>
      <c r="F317" s="531">
        <f t="shared" ref="F317:O317" si="309">F95</f>
        <v>494590.59982209268</v>
      </c>
      <c r="G317" s="531">
        <f t="shared" si="309"/>
        <v>494590.59982209268</v>
      </c>
      <c r="H317" s="531">
        <f t="shared" si="309"/>
        <v>494590.59982209268</v>
      </c>
      <c r="I317" s="531">
        <f t="shared" si="309"/>
        <v>494590.59982209268</v>
      </c>
      <c r="J317" s="531">
        <f t="shared" si="309"/>
        <v>494590.59982209268</v>
      </c>
      <c r="K317" s="531">
        <f t="shared" si="309"/>
        <v>494590.59982209268</v>
      </c>
      <c r="L317" s="531">
        <f t="shared" ca="1" si="309"/>
        <v>831243.68372963683</v>
      </c>
      <c r="M317" s="531">
        <f t="shared" ca="1" si="309"/>
        <v>831243.68372963683</v>
      </c>
      <c r="N317" s="531">
        <f t="shared" ca="1" si="309"/>
        <v>831243.68372963683</v>
      </c>
      <c r="O317" s="531">
        <f t="shared" ca="1" si="309"/>
        <v>831243.68372963683</v>
      </c>
      <c r="P317" s="15"/>
      <c r="Q317" s="15"/>
      <c r="R317" s="15"/>
      <c r="S317" s="15"/>
      <c r="T317" s="15"/>
      <c r="U317" s="15"/>
      <c r="V317" s="500"/>
      <c r="W317" s="500"/>
      <c r="X317" s="500"/>
      <c r="Y317" s="500"/>
      <c r="Z317" s="500"/>
      <c r="AA317" s="500"/>
      <c r="AB317" s="500"/>
    </row>
    <row r="318" spans="3:28" hidden="1" x14ac:dyDescent="0.2">
      <c r="C318" s="32" t="str">
        <f t="shared" si="306"/>
        <v>Principal</v>
      </c>
      <c r="D318" s="500"/>
      <c r="E318" s="531"/>
      <c r="F318" s="531">
        <f t="shared" ref="F318:O318" si="310">F96</f>
        <v>74172.631072092685</v>
      </c>
      <c r="G318" s="531">
        <f t="shared" si="310"/>
        <v>78876.025776794355</v>
      </c>
      <c r="H318" s="531">
        <f t="shared" si="310"/>
        <v>83877.669598838489</v>
      </c>
      <c r="I318" s="531">
        <f t="shared" si="310"/>
        <v>89196.474949702329</v>
      </c>
      <c r="J318" s="531">
        <f t="shared" si="310"/>
        <v>94852.553504455602</v>
      </c>
      <c r="K318" s="531">
        <f t="shared" si="310"/>
        <v>100867.29224881367</v>
      </c>
      <c r="L318" s="531">
        <f t="shared" ca="1" si="310"/>
        <v>115572.96556875133</v>
      </c>
      <c r="M318" s="531">
        <f t="shared" ca="1" si="310"/>
        <v>123194.76187099889</v>
      </c>
      <c r="N318" s="531">
        <f t="shared" ca="1" si="310"/>
        <v>131319.19976063736</v>
      </c>
      <c r="O318" s="531">
        <f t="shared" ca="1" si="310"/>
        <v>139979.42740318528</v>
      </c>
      <c r="P318" s="15"/>
      <c r="Q318" s="15"/>
      <c r="R318" s="15"/>
      <c r="S318" s="15"/>
      <c r="T318" s="15"/>
      <c r="U318" s="15"/>
      <c r="V318" s="500"/>
      <c r="W318" s="500"/>
      <c r="X318" s="500"/>
      <c r="Y318" s="500"/>
      <c r="Z318" s="500"/>
      <c r="AA318" s="500"/>
      <c r="AB318" s="500"/>
    </row>
    <row r="319" spans="3:28" hidden="1" x14ac:dyDescent="0.2">
      <c r="C319" s="32" t="str">
        <f t="shared" si="306"/>
        <v>Interest</v>
      </c>
      <c r="D319" s="500"/>
      <c r="E319" s="531"/>
      <c r="F319" s="531">
        <f t="shared" ref="F319:O319" si="311">F97</f>
        <v>420417.96875</v>
      </c>
      <c r="G319" s="531">
        <f t="shared" si="311"/>
        <v>415714.57404529833</v>
      </c>
      <c r="H319" s="531">
        <f t="shared" si="311"/>
        <v>410712.9302232542</v>
      </c>
      <c r="I319" s="531">
        <f t="shared" si="311"/>
        <v>405394.12487239036</v>
      </c>
      <c r="J319" s="531">
        <f t="shared" si="311"/>
        <v>399738.04631763708</v>
      </c>
      <c r="K319" s="531">
        <f t="shared" si="311"/>
        <v>393723.30757327902</v>
      </c>
      <c r="L319" s="531">
        <f t="shared" ca="1" si="311"/>
        <v>715670.7181608855</v>
      </c>
      <c r="M319" s="531">
        <f t="shared" ca="1" si="311"/>
        <v>708048.92185863794</v>
      </c>
      <c r="N319" s="531">
        <f t="shared" ca="1" si="311"/>
        <v>699924.48396899947</v>
      </c>
      <c r="O319" s="531">
        <f t="shared" ca="1" si="311"/>
        <v>691264.25632645155</v>
      </c>
      <c r="P319" s="15"/>
      <c r="Q319" s="15"/>
      <c r="R319" s="15"/>
      <c r="S319" s="15"/>
      <c r="T319" s="15"/>
      <c r="U319" s="15"/>
      <c r="V319" s="500"/>
      <c r="W319" s="500"/>
      <c r="X319" s="500"/>
      <c r="Y319" s="500"/>
      <c r="Z319" s="500"/>
      <c r="AA319" s="500"/>
      <c r="AB319" s="500"/>
    </row>
    <row r="320" spans="3:28" hidden="1" x14ac:dyDescent="0.2">
      <c r="C320" s="32" t="str">
        <f t="shared" si="306"/>
        <v>Ending balance</v>
      </c>
      <c r="D320" s="500"/>
      <c r="E320" s="531"/>
      <c r="F320" s="709">
        <f t="shared" ref="F320:O320" si="312">F98</f>
        <v>6555827.3689279072</v>
      </c>
      <c r="G320" s="709">
        <f t="shared" si="312"/>
        <v>6476951.343151113</v>
      </c>
      <c r="H320" s="709">
        <f t="shared" si="312"/>
        <v>6393073.6735522747</v>
      </c>
      <c r="I320" s="709">
        <f t="shared" si="312"/>
        <v>6303877.1986025721</v>
      </c>
      <c r="J320" s="709">
        <f t="shared" si="312"/>
        <v>6209024.6450981162</v>
      </c>
      <c r="K320" s="709">
        <f t="shared" si="312"/>
        <v>6108157.3528493028</v>
      </c>
      <c r="L320" s="709">
        <f t="shared" ca="1" si="312"/>
        <v>10736486.573752841</v>
      </c>
      <c r="M320" s="709">
        <f t="shared" ca="1" si="312"/>
        <v>10613291.811881842</v>
      </c>
      <c r="N320" s="709">
        <f t="shared" ca="1" si="312"/>
        <v>10481972.612121204</v>
      </c>
      <c r="O320" s="709">
        <f t="shared" ca="1" si="312"/>
        <v>10341993.184718018</v>
      </c>
      <c r="P320" s="15"/>
      <c r="Q320" s="15"/>
      <c r="R320" s="15"/>
      <c r="S320" s="15"/>
      <c r="T320" s="15"/>
      <c r="U320" s="15"/>
      <c r="V320" s="500"/>
      <c r="W320" s="500"/>
      <c r="X320" s="500"/>
      <c r="Y320" s="500"/>
      <c r="Z320" s="500"/>
      <c r="AA320" s="500"/>
      <c r="AB320" s="500"/>
    </row>
    <row r="321" spans="3:28" hidden="1" x14ac:dyDescent="0.2">
      <c r="C321" s="500"/>
      <c r="D321" s="500"/>
      <c r="E321" s="531"/>
      <c r="F321" s="531"/>
      <c r="G321" s="531"/>
      <c r="H321" s="531"/>
      <c r="I321" s="657"/>
      <c r="J321" s="657"/>
      <c r="K321" s="657"/>
      <c r="L321" s="657"/>
      <c r="M321" s="657"/>
      <c r="N321" s="657"/>
      <c r="O321" s="657"/>
      <c r="P321" s="15"/>
      <c r="Q321" s="15"/>
      <c r="R321" s="15"/>
      <c r="S321" s="15"/>
      <c r="T321" s="15"/>
      <c r="U321" s="15"/>
      <c r="V321" s="500"/>
      <c r="W321" s="500"/>
      <c r="X321" s="500"/>
      <c r="Y321" s="500"/>
      <c r="Z321" s="500"/>
      <c r="AA321" s="500"/>
      <c r="AB321" s="500"/>
    </row>
    <row r="322" spans="3:28" hidden="1" x14ac:dyDescent="0.2">
      <c r="C322" s="269">
        <f t="shared" si="306"/>
        <v>0</v>
      </c>
      <c r="D322" s="500"/>
      <c r="E322" s="531"/>
      <c r="F322" s="531"/>
      <c r="G322" s="531"/>
      <c r="H322" s="531"/>
      <c r="I322" s="657"/>
      <c r="J322" s="657"/>
      <c r="K322" s="657"/>
      <c r="L322" s="657"/>
      <c r="M322" s="657"/>
      <c r="N322" s="657"/>
      <c r="O322" s="657"/>
      <c r="P322" s="15"/>
      <c r="Q322" s="15"/>
      <c r="R322" s="15"/>
      <c r="S322" s="15"/>
      <c r="T322" s="15"/>
      <c r="U322" s="15"/>
      <c r="V322" s="500"/>
      <c r="W322" s="500"/>
      <c r="X322" s="500"/>
      <c r="Y322" s="500"/>
      <c r="Z322" s="500"/>
      <c r="AA322" s="500"/>
      <c r="AB322" s="500"/>
    </row>
    <row r="323" spans="3:28" hidden="1" x14ac:dyDescent="0.2">
      <c r="C323" s="500"/>
      <c r="D323" s="500"/>
      <c r="E323" s="531"/>
      <c r="F323" s="531"/>
      <c r="G323" s="531"/>
      <c r="H323" s="531"/>
      <c r="I323" s="657"/>
      <c r="J323" s="657"/>
      <c r="K323" s="657"/>
      <c r="L323" s="657"/>
      <c r="M323" s="657"/>
      <c r="N323" s="657"/>
      <c r="O323" s="657"/>
      <c r="P323" s="15"/>
      <c r="Q323" s="15"/>
      <c r="R323" s="15"/>
      <c r="S323" s="15"/>
      <c r="T323" s="15"/>
      <c r="U323" s="15"/>
      <c r="V323" s="500"/>
      <c r="W323" s="500"/>
      <c r="X323" s="500"/>
      <c r="Y323" s="500"/>
      <c r="Z323" s="500"/>
      <c r="AA323" s="500"/>
      <c r="AB323" s="500"/>
    </row>
    <row r="324" spans="3:28" hidden="1" x14ac:dyDescent="0.2">
      <c r="C324" s="36" t="str">
        <f t="shared" si="306"/>
        <v>Refinance Valuation (from Proforma above)</v>
      </c>
      <c r="D324" s="500"/>
      <c r="E324" s="531"/>
      <c r="F324" s="531">
        <f t="shared" ref="F324:O324" ca="1" si="313">F103</f>
        <v>11919857.93061818</v>
      </c>
      <c r="G324" s="531">
        <f t="shared" ca="1" si="313"/>
        <v>14098362.492866909</v>
      </c>
      <c r="H324" s="531">
        <f t="shared" ca="1" si="313"/>
        <v>15160955.04134243</v>
      </c>
      <c r="I324" s="531">
        <f t="shared" ca="1" si="313"/>
        <v>16291445.246006375</v>
      </c>
      <c r="J324" s="531">
        <f t="shared" ca="1" si="313"/>
        <v>17276830.178760916</v>
      </c>
      <c r="K324" s="531">
        <f t="shared" ca="1" si="313"/>
        <v>18086765.898869321</v>
      </c>
      <c r="L324" s="531">
        <f t="shared" ca="1" si="313"/>
        <v>18931432.096240681</v>
      </c>
      <c r="M324" s="531">
        <f t="shared" ca="1" si="313"/>
        <v>19812263.324880686</v>
      </c>
      <c r="N324" s="531">
        <f t="shared" ca="1" si="313"/>
        <v>20730752.387871899</v>
      </c>
      <c r="O324" s="531">
        <f t="shared" ca="1" si="313"/>
        <v>21688452.683481786</v>
      </c>
      <c r="P324" s="15"/>
      <c r="Q324" s="15"/>
      <c r="R324" s="15"/>
      <c r="S324" s="15"/>
      <c r="T324" s="15"/>
      <c r="U324" s="15"/>
      <c r="V324" s="500"/>
      <c r="W324" s="500"/>
      <c r="X324" s="500"/>
      <c r="Y324" s="500"/>
      <c r="Z324" s="500"/>
      <c r="AA324" s="500"/>
      <c r="AB324" s="500"/>
    </row>
    <row r="325" spans="3:28" hidden="1" x14ac:dyDescent="0.2">
      <c r="C325" s="35"/>
      <c r="D325" s="500"/>
      <c r="E325" s="531"/>
      <c r="F325" s="531"/>
      <c r="G325" s="531"/>
      <c r="H325" s="531"/>
      <c r="I325" s="657"/>
      <c r="J325" s="657"/>
      <c r="K325" s="657"/>
      <c r="L325" s="657"/>
      <c r="M325" s="657"/>
      <c r="N325" s="657"/>
      <c r="O325" s="657"/>
      <c r="P325" s="15"/>
      <c r="Q325" s="15"/>
      <c r="R325" s="15"/>
      <c r="S325" s="15"/>
      <c r="T325" s="15"/>
      <c r="U325" s="15"/>
      <c r="V325" s="500"/>
      <c r="W325" s="500"/>
      <c r="X325" s="500"/>
      <c r="Y325" s="500"/>
      <c r="Z325" s="500"/>
      <c r="AA325" s="500"/>
      <c r="AB325" s="500"/>
    </row>
    <row r="326" spans="3:28" hidden="1" x14ac:dyDescent="0.2">
      <c r="C326" s="503" t="str">
        <f t="shared" si="306"/>
        <v>Net Cash Flow after Debt Service</v>
      </c>
      <c r="D326" s="500"/>
      <c r="E326" s="531"/>
      <c r="F326" s="531">
        <f t="shared" ref="F326:O326" ca="1" si="314">F105</f>
        <v>161001.58636190719</v>
      </c>
      <c r="G326" s="531">
        <f t="shared" ca="1" si="314"/>
        <v>280819.33728558733</v>
      </c>
      <c r="H326" s="531">
        <f t="shared" ca="1" si="314"/>
        <v>339261.92745174095</v>
      </c>
      <c r="I326" s="531">
        <f t="shared" ca="1" si="314"/>
        <v>401438.88870825793</v>
      </c>
      <c r="J326" s="531">
        <f t="shared" ca="1" si="314"/>
        <v>455635.06000975776</v>
      </c>
      <c r="K326" s="531">
        <f t="shared" ca="1" si="314"/>
        <v>500181.52461572003</v>
      </c>
      <c r="L326" s="531">
        <f t="shared" ca="1" si="314"/>
        <v>209985.08156360069</v>
      </c>
      <c r="M326" s="531">
        <f t="shared" ca="1" si="314"/>
        <v>258430.79913880082</v>
      </c>
      <c r="N326" s="531">
        <f t="shared" ca="1" si="314"/>
        <v>308947.69760331756</v>
      </c>
      <c r="O326" s="531">
        <f t="shared" ca="1" si="314"/>
        <v>361621.21386186138</v>
      </c>
      <c r="P326" s="15"/>
      <c r="Q326" s="15"/>
      <c r="R326" s="15"/>
      <c r="S326" s="15"/>
      <c r="T326" s="15"/>
      <c r="U326" s="15"/>
      <c r="V326" s="500"/>
      <c r="W326" s="500"/>
      <c r="X326" s="500"/>
      <c r="Y326" s="500"/>
      <c r="Z326" s="500"/>
      <c r="AA326" s="500"/>
      <c r="AB326" s="500"/>
    </row>
    <row r="327" spans="3:28" hidden="1" x14ac:dyDescent="0.2">
      <c r="C327" s="503" t="str">
        <f t="shared" si="306"/>
        <v>Cash from Sale of POH</v>
      </c>
      <c r="D327" s="500"/>
      <c r="E327" s="531"/>
      <c r="F327" s="531">
        <f t="shared" ref="F327:O327" si="315">F106</f>
        <v>0</v>
      </c>
      <c r="G327" s="531">
        <f t="shared" si="315"/>
        <v>0</v>
      </c>
      <c r="H327" s="531">
        <f t="shared" si="315"/>
        <v>0</v>
      </c>
      <c r="I327" s="531">
        <f t="shared" si="315"/>
        <v>0</v>
      </c>
      <c r="J327" s="531">
        <f t="shared" si="315"/>
        <v>0</v>
      </c>
      <c r="K327" s="531">
        <f t="shared" si="315"/>
        <v>0</v>
      </c>
      <c r="L327" s="531">
        <f t="shared" si="315"/>
        <v>0</v>
      </c>
      <c r="M327" s="531">
        <f t="shared" si="315"/>
        <v>0</v>
      </c>
      <c r="N327" s="531">
        <f t="shared" si="315"/>
        <v>0</v>
      </c>
      <c r="O327" s="531">
        <f t="shared" si="315"/>
        <v>0</v>
      </c>
      <c r="P327" s="15"/>
      <c r="Q327" s="15"/>
      <c r="R327" s="15"/>
      <c r="S327" s="15"/>
      <c r="T327" s="15"/>
      <c r="U327" s="15"/>
      <c r="V327" s="500"/>
      <c r="W327" s="500"/>
      <c r="X327" s="500"/>
      <c r="Y327" s="500"/>
      <c r="Z327" s="500"/>
      <c r="AA327" s="500"/>
      <c r="AB327" s="500"/>
    </row>
    <row r="328" spans="3:28" hidden="1" x14ac:dyDescent="0.2">
      <c r="C328" s="503" t="str">
        <f t="shared" si="306"/>
        <v>Net Operating Cash Flow From POH</v>
      </c>
      <c r="D328" s="500"/>
      <c r="E328" s="531"/>
      <c r="F328" s="531">
        <f t="shared" ref="F328:O328" si="316">F107</f>
        <v>0</v>
      </c>
      <c r="G328" s="531">
        <f t="shared" si="316"/>
        <v>0</v>
      </c>
      <c r="H328" s="531">
        <f t="shared" si="316"/>
        <v>0</v>
      </c>
      <c r="I328" s="531">
        <f t="shared" si="316"/>
        <v>0</v>
      </c>
      <c r="J328" s="531">
        <f t="shared" si="316"/>
        <v>0</v>
      </c>
      <c r="K328" s="531">
        <f t="shared" si="316"/>
        <v>0</v>
      </c>
      <c r="L328" s="531">
        <f t="shared" si="316"/>
        <v>0</v>
      </c>
      <c r="M328" s="531">
        <f t="shared" si="316"/>
        <v>0</v>
      </c>
      <c r="N328" s="531">
        <f t="shared" si="316"/>
        <v>0</v>
      </c>
      <c r="O328" s="531">
        <f t="shared" si="316"/>
        <v>0</v>
      </c>
      <c r="P328" s="15"/>
      <c r="Q328" s="15"/>
      <c r="R328" s="15"/>
      <c r="S328" s="15"/>
      <c r="T328" s="15"/>
      <c r="U328" s="15"/>
      <c r="V328" s="500"/>
      <c r="W328" s="500"/>
      <c r="X328" s="500"/>
      <c r="Y328" s="500"/>
      <c r="Z328" s="500"/>
      <c r="AA328" s="500"/>
      <c r="AB328" s="500"/>
    </row>
    <row r="329" spans="3:28" hidden="1" x14ac:dyDescent="0.2">
      <c r="C329" s="503" t="str">
        <f t="shared" si="306"/>
        <v>Note Income from POH</v>
      </c>
      <c r="D329" s="500"/>
      <c r="E329" s="531"/>
      <c r="F329" s="531">
        <f t="shared" ref="F329:O329" si="317">F108</f>
        <v>0</v>
      </c>
      <c r="G329" s="531">
        <f t="shared" si="317"/>
        <v>0</v>
      </c>
      <c r="H329" s="531">
        <f t="shared" si="317"/>
        <v>0</v>
      </c>
      <c r="I329" s="531">
        <f t="shared" si="317"/>
        <v>0</v>
      </c>
      <c r="J329" s="531">
        <f t="shared" si="317"/>
        <v>0</v>
      </c>
      <c r="K329" s="531">
        <f t="shared" si="317"/>
        <v>0</v>
      </c>
      <c r="L329" s="531">
        <f t="shared" si="317"/>
        <v>0</v>
      </c>
      <c r="M329" s="531">
        <f t="shared" si="317"/>
        <v>0</v>
      </c>
      <c r="N329" s="531">
        <f t="shared" si="317"/>
        <v>0</v>
      </c>
      <c r="O329" s="531">
        <f t="shared" si="317"/>
        <v>0</v>
      </c>
      <c r="P329" s="15"/>
      <c r="Q329" s="15"/>
      <c r="R329" s="15"/>
      <c r="S329" s="15"/>
      <c r="T329" s="15"/>
      <c r="U329" s="15"/>
      <c r="V329" s="500"/>
      <c r="W329" s="500"/>
      <c r="X329" s="500"/>
      <c r="Y329" s="500"/>
      <c r="Z329" s="500"/>
      <c r="AA329" s="500"/>
      <c r="AB329" s="500"/>
    </row>
    <row r="330" spans="3:28" hidden="1" x14ac:dyDescent="0.2">
      <c r="C330" s="503" t="str">
        <f t="shared" si="306"/>
        <v>POH Seller Carry Note</v>
      </c>
      <c r="D330" s="500"/>
      <c r="E330" s="531"/>
      <c r="F330" s="531">
        <f t="shared" ref="F330:O330" si="318">F109</f>
        <v>0</v>
      </c>
      <c r="G330" s="531">
        <f t="shared" si="318"/>
        <v>0</v>
      </c>
      <c r="H330" s="531">
        <f t="shared" si="318"/>
        <v>0</v>
      </c>
      <c r="I330" s="531">
        <f t="shared" si="318"/>
        <v>0</v>
      </c>
      <c r="J330" s="531">
        <f t="shared" si="318"/>
        <v>0</v>
      </c>
      <c r="K330" s="531">
        <f t="shared" si="318"/>
        <v>0</v>
      </c>
      <c r="L330" s="531">
        <f t="shared" si="318"/>
        <v>0</v>
      </c>
      <c r="M330" s="531">
        <f t="shared" si="318"/>
        <v>0</v>
      </c>
      <c r="N330" s="531">
        <f t="shared" si="318"/>
        <v>0</v>
      </c>
      <c r="O330" s="531">
        <f t="shared" si="318"/>
        <v>0</v>
      </c>
      <c r="P330" s="15"/>
      <c r="Q330" s="15"/>
      <c r="R330" s="15"/>
      <c r="S330" s="15"/>
      <c r="T330" s="15"/>
      <c r="U330" s="15"/>
      <c r="V330" s="500"/>
      <c r="W330" s="500"/>
      <c r="X330" s="500"/>
      <c r="Y330" s="500"/>
      <c r="Z330" s="500"/>
      <c r="AA330" s="500"/>
      <c r="AB330" s="500"/>
    </row>
    <row r="331" spans="3:28" hidden="1" x14ac:dyDescent="0.2">
      <c r="C331" s="503" t="str">
        <f t="shared" si="306"/>
        <v>Return of Capital (other)</v>
      </c>
      <c r="D331" s="500"/>
      <c r="E331" s="531"/>
      <c r="F331" s="531">
        <f t="shared" ref="F331:N331" si="319">F114</f>
        <v>0</v>
      </c>
      <c r="G331" s="531">
        <f t="shared" si="319"/>
        <v>0</v>
      </c>
      <c r="H331" s="531">
        <f t="shared" si="319"/>
        <v>0</v>
      </c>
      <c r="I331" s="531">
        <f t="shared" si="319"/>
        <v>0</v>
      </c>
      <c r="J331" s="531">
        <f t="shared" si="319"/>
        <v>0</v>
      </c>
      <c r="K331" s="531">
        <f t="shared" ca="1" si="319"/>
        <v>4743902.1864722893</v>
      </c>
      <c r="L331" s="531">
        <f t="shared" si="319"/>
        <v>0</v>
      </c>
      <c r="M331" s="531">
        <f t="shared" si="319"/>
        <v>0</v>
      </c>
      <c r="N331" s="531">
        <f t="shared" si="319"/>
        <v>0</v>
      </c>
      <c r="O331" s="531">
        <f>IF(FirstRefiYear=10,0,O114)</f>
        <v>0</v>
      </c>
      <c r="P331" s="15"/>
      <c r="Q331" s="15"/>
      <c r="R331" s="15"/>
      <c r="S331" s="15"/>
      <c r="T331" s="15"/>
      <c r="U331" s="15"/>
      <c r="V331" s="500"/>
      <c r="W331" s="500"/>
      <c r="X331" s="500"/>
      <c r="Y331" s="500"/>
      <c r="Z331" s="500"/>
      <c r="AA331" s="500"/>
      <c r="AB331" s="500"/>
    </row>
    <row r="332" spans="3:28" hidden="1" x14ac:dyDescent="0.2">
      <c r="C332" s="503" t="str">
        <f t="shared" si="306"/>
        <v>Sale Proceeds at Exit</v>
      </c>
      <c r="D332" s="500"/>
      <c r="E332" s="531"/>
      <c r="F332" s="531">
        <f t="shared" ref="F332:N332" si="320">F115</f>
        <v>0</v>
      </c>
      <c r="G332" s="531">
        <f t="shared" si="320"/>
        <v>0</v>
      </c>
      <c r="H332" s="531">
        <f t="shared" si="320"/>
        <v>0</v>
      </c>
      <c r="I332" s="531">
        <f t="shared" si="320"/>
        <v>0</v>
      </c>
      <c r="J332" s="531">
        <f t="shared" si="320"/>
        <v>0</v>
      </c>
      <c r="K332" s="531">
        <f t="shared" si="320"/>
        <v>0</v>
      </c>
      <c r="L332" s="531">
        <f t="shared" si="320"/>
        <v>0</v>
      </c>
      <c r="M332" s="531">
        <f t="shared" si="320"/>
        <v>0</v>
      </c>
      <c r="N332" s="531">
        <f t="shared" si="320"/>
        <v>0</v>
      </c>
      <c r="O332" s="531">
        <f ca="1">+(O312/RefiCap)*(1-Cost_of_Sale)</f>
        <v>21037799.102977332</v>
      </c>
      <c r="P332" s="15"/>
      <c r="Q332" s="15"/>
      <c r="R332" s="15"/>
      <c r="S332" s="15"/>
      <c r="T332" s="15"/>
      <c r="U332" s="15"/>
      <c r="V332" s="500"/>
      <c r="W332" s="500"/>
      <c r="X332" s="500"/>
      <c r="Y332" s="500"/>
      <c r="Z332" s="500"/>
      <c r="AA332" s="500"/>
      <c r="AB332" s="500"/>
    </row>
    <row r="333" spans="3:28" hidden="1" x14ac:dyDescent="0.2">
      <c r="C333" s="503" t="str">
        <f t="shared" si="306"/>
        <v>Repay Outstanding Loan</v>
      </c>
      <c r="D333" s="500"/>
      <c r="E333" s="531"/>
      <c r="F333" s="531"/>
      <c r="G333" s="531"/>
      <c r="H333" s="531"/>
      <c r="I333" s="531"/>
      <c r="J333" s="531"/>
      <c r="K333" s="531"/>
      <c r="L333" s="531"/>
      <c r="M333" s="531"/>
      <c r="N333" s="531"/>
      <c r="O333" s="531">
        <f ca="1">-O320</f>
        <v>-10341993.184718018</v>
      </c>
      <c r="P333" s="15"/>
      <c r="Q333" s="15"/>
      <c r="R333" s="15"/>
      <c r="S333" s="15"/>
      <c r="T333" s="15"/>
      <c r="U333" s="15"/>
      <c r="V333" s="500"/>
      <c r="W333" s="500"/>
      <c r="X333" s="500"/>
      <c r="Y333" s="500"/>
      <c r="Z333" s="500"/>
      <c r="AA333" s="500"/>
      <c r="AB333" s="500"/>
    </row>
    <row r="334" spans="3:28" ht="13.5" hidden="1" thickBot="1" x14ac:dyDescent="0.25">
      <c r="C334" s="575" t="str">
        <f t="shared" si="306"/>
        <v>Pretax Income Available for Distribution</v>
      </c>
      <c r="D334" s="500"/>
      <c r="E334" s="531">
        <f>E285</f>
        <v>-4230000</v>
      </c>
      <c r="F334" s="531">
        <f ca="1">SUM(F326:F333)</f>
        <v>161001.58636190719</v>
      </c>
      <c r="G334" s="531">
        <f t="shared" ref="G334:O334" ca="1" si="321">SUM(G326:G333)</f>
        <v>280819.33728558733</v>
      </c>
      <c r="H334" s="531">
        <f t="shared" ca="1" si="321"/>
        <v>339261.92745174095</v>
      </c>
      <c r="I334" s="531">
        <f t="shared" ca="1" si="321"/>
        <v>401438.88870825793</v>
      </c>
      <c r="J334" s="531">
        <f t="shared" ca="1" si="321"/>
        <v>455635.06000975776</v>
      </c>
      <c r="K334" s="531">
        <f t="shared" ca="1" si="321"/>
        <v>5244083.7110880092</v>
      </c>
      <c r="L334" s="531">
        <f t="shared" ca="1" si="321"/>
        <v>209985.08156360069</v>
      </c>
      <c r="M334" s="531">
        <f t="shared" ca="1" si="321"/>
        <v>258430.79913880082</v>
      </c>
      <c r="N334" s="531">
        <f t="shared" ca="1" si="321"/>
        <v>308947.69760331756</v>
      </c>
      <c r="O334" s="531">
        <f t="shared" ca="1" si="321"/>
        <v>11057427.132121174</v>
      </c>
      <c r="P334" s="15"/>
      <c r="Q334" s="15"/>
      <c r="R334" s="15"/>
      <c r="S334" s="15"/>
      <c r="T334" s="15"/>
      <c r="U334" s="15"/>
      <c r="V334" s="500"/>
      <c r="W334" s="500"/>
      <c r="X334" s="500"/>
      <c r="Y334" s="500"/>
      <c r="Z334" s="500"/>
      <c r="AA334" s="500"/>
      <c r="AB334" s="500"/>
    </row>
    <row r="335" spans="3:28" ht="13.5" hidden="1" thickTop="1" x14ac:dyDescent="0.2">
      <c r="C335" s="500"/>
      <c r="D335" s="500"/>
      <c r="E335" s="500"/>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3:28" hidden="1" x14ac:dyDescent="0.2">
      <c r="C336" s="11" t="s">
        <v>288</v>
      </c>
      <c r="D336" s="500"/>
      <c r="E336" s="529">
        <f ca="1">IRR(E334:O334)</f>
        <v>0.21529546460852544</v>
      </c>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3:28" hidden="1" x14ac:dyDescent="0.2">
      <c r="C337" s="503"/>
      <c r="D337" s="500"/>
      <c r="E337" s="500"/>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3:28" hidden="1" x14ac:dyDescent="0.2">
      <c r="C338" s="11" t="str">
        <f t="shared" ref="C338:C351" si="322">+C289</f>
        <v>Distributions</v>
      </c>
      <c r="D338" s="500"/>
      <c r="E338" s="531"/>
      <c r="F338" s="657"/>
      <c r="G338" s="657"/>
      <c r="H338" s="657"/>
      <c r="I338" s="657"/>
      <c r="J338" s="657"/>
      <c r="K338" s="657"/>
      <c r="L338" s="657"/>
      <c r="M338" s="657"/>
      <c r="N338" s="657"/>
      <c r="O338" s="657"/>
      <c r="P338" s="15"/>
      <c r="Q338" s="15"/>
      <c r="R338" s="15"/>
      <c r="S338" s="15"/>
      <c r="T338" s="15"/>
      <c r="U338" s="15"/>
      <c r="V338" s="15"/>
      <c r="W338" s="15"/>
      <c r="X338" s="15"/>
      <c r="Y338" s="15"/>
      <c r="Z338" s="15"/>
      <c r="AA338" s="15"/>
      <c r="AB338" s="15"/>
    </row>
    <row r="339" spans="3:28" hidden="1" x14ac:dyDescent="0.2">
      <c r="C339" s="503" t="str">
        <f t="shared" si="322"/>
        <v>Investor Preferred Return</v>
      </c>
      <c r="D339" s="500"/>
      <c r="E339" s="531"/>
      <c r="F339" s="657"/>
      <c r="G339" s="657"/>
      <c r="H339" s="657"/>
      <c r="I339" s="657"/>
      <c r="J339" s="657"/>
      <c r="K339" s="657"/>
      <c r="L339" s="657"/>
      <c r="M339" s="657"/>
      <c r="N339" s="657"/>
      <c r="O339" s="657"/>
      <c r="P339" s="15"/>
      <c r="Q339" s="15"/>
      <c r="R339" s="15"/>
      <c r="S339" s="15"/>
      <c r="T339" s="15"/>
      <c r="U339" s="15"/>
      <c r="V339" s="15"/>
      <c r="W339" s="15"/>
      <c r="X339" s="15"/>
      <c r="Y339" s="15"/>
      <c r="Z339" s="15"/>
      <c r="AA339" s="15"/>
      <c r="AB339" s="15"/>
    </row>
    <row r="340" spans="3:28" hidden="1" x14ac:dyDescent="0.2">
      <c r="C340" s="23" t="str">
        <f t="shared" si="322"/>
        <v>Beginning balance</v>
      </c>
      <c r="D340" s="500"/>
      <c r="E340" s="531"/>
      <c r="F340" s="657">
        <f>-E334</f>
        <v>4230000</v>
      </c>
      <c r="G340" s="657">
        <f ca="1">+F343</f>
        <v>4280498.4136380926</v>
      </c>
      <c r="H340" s="657">
        <f t="shared" ref="H340:O340" ca="1" si="323">+G343</f>
        <v>4213703.99703441</v>
      </c>
      <c r="I340" s="657">
        <f t="shared" ca="1" si="323"/>
        <v>4085127.2694343897</v>
      </c>
      <c r="J340" s="657">
        <f t="shared" ca="1" si="323"/>
        <v>3887944.744197851</v>
      </c>
      <c r="K340" s="657">
        <f t="shared" ca="1" si="323"/>
        <v>3626706.9213979859</v>
      </c>
      <c r="L340" s="657">
        <f t="shared" ca="1" si="323"/>
        <v>0</v>
      </c>
      <c r="M340" s="657">
        <f t="shared" ca="1" si="323"/>
        <v>0</v>
      </c>
      <c r="N340" s="657">
        <f t="shared" ca="1" si="323"/>
        <v>0</v>
      </c>
      <c r="O340" s="657">
        <f t="shared" ca="1" si="323"/>
        <v>0</v>
      </c>
      <c r="P340" s="15"/>
      <c r="Q340" s="15"/>
      <c r="R340" s="15"/>
      <c r="S340" s="15"/>
      <c r="T340" s="15"/>
      <c r="U340" s="15"/>
      <c r="V340" s="15"/>
      <c r="W340" s="15"/>
      <c r="X340" s="15"/>
      <c r="Y340" s="15"/>
      <c r="Z340" s="15"/>
      <c r="AA340" s="15"/>
      <c r="AB340" s="15"/>
    </row>
    <row r="341" spans="3:28" hidden="1" x14ac:dyDescent="0.2">
      <c r="C341" s="23" t="str">
        <f t="shared" si="322"/>
        <v>Preferred return</v>
      </c>
      <c r="D341" s="500"/>
      <c r="E341" s="531"/>
      <c r="F341" s="657">
        <f t="shared" ref="F341:O341" si="324">+F340*InvestorPref</f>
        <v>211500</v>
      </c>
      <c r="G341" s="657">
        <f t="shared" ca="1" si="324"/>
        <v>214024.92068190465</v>
      </c>
      <c r="H341" s="657">
        <f t="shared" ca="1" si="324"/>
        <v>210685.19985172051</v>
      </c>
      <c r="I341" s="657">
        <f t="shared" ca="1" si="324"/>
        <v>204256.36347171949</v>
      </c>
      <c r="J341" s="657">
        <f t="shared" ca="1" si="324"/>
        <v>194397.23720989257</v>
      </c>
      <c r="K341" s="657">
        <f t="shared" ca="1" si="324"/>
        <v>181335.3460698993</v>
      </c>
      <c r="L341" s="657">
        <f t="shared" ca="1" si="324"/>
        <v>0</v>
      </c>
      <c r="M341" s="657">
        <f t="shared" ca="1" si="324"/>
        <v>0</v>
      </c>
      <c r="N341" s="657">
        <f t="shared" ca="1" si="324"/>
        <v>0</v>
      </c>
      <c r="O341" s="657">
        <f t="shared" ca="1" si="324"/>
        <v>0</v>
      </c>
      <c r="P341" s="15"/>
      <c r="Q341" s="15"/>
      <c r="R341" s="15"/>
      <c r="S341" s="15"/>
      <c r="T341" s="15"/>
      <c r="U341" s="15"/>
      <c r="V341" s="15"/>
      <c r="W341" s="15"/>
      <c r="X341" s="15"/>
      <c r="Y341" s="15"/>
      <c r="Z341" s="15"/>
      <c r="AA341" s="15"/>
      <c r="AB341" s="15"/>
    </row>
    <row r="342" spans="3:28" hidden="1" x14ac:dyDescent="0.2">
      <c r="C342" s="23" t="str">
        <f t="shared" si="322"/>
        <v>Payment</v>
      </c>
      <c r="D342" s="500"/>
      <c r="E342" s="531"/>
      <c r="F342" s="657">
        <f ca="1">MAX(-F340-F341,-F334)</f>
        <v>-161001.58636190719</v>
      </c>
      <c r="G342" s="657">
        <f t="shared" ref="G342:O342" ca="1" si="325">MAX(-G340-G341,-G334)</f>
        <v>-280819.33728558733</v>
      </c>
      <c r="H342" s="657">
        <f t="shared" ca="1" si="325"/>
        <v>-339261.92745174095</v>
      </c>
      <c r="I342" s="657">
        <f t="shared" ca="1" si="325"/>
        <v>-401438.88870825793</v>
      </c>
      <c r="J342" s="657">
        <f t="shared" ca="1" si="325"/>
        <v>-455635.06000975776</v>
      </c>
      <c r="K342" s="657">
        <f t="shared" ca="1" si="325"/>
        <v>-3808042.2674678853</v>
      </c>
      <c r="L342" s="657">
        <f t="shared" ca="1" si="325"/>
        <v>0</v>
      </c>
      <c r="M342" s="657">
        <f t="shared" ca="1" si="325"/>
        <v>0</v>
      </c>
      <c r="N342" s="657">
        <f t="shared" ca="1" si="325"/>
        <v>0</v>
      </c>
      <c r="O342" s="657">
        <f t="shared" ca="1" si="325"/>
        <v>0</v>
      </c>
      <c r="P342" s="15"/>
      <c r="Q342" s="15"/>
      <c r="R342" s="15"/>
      <c r="S342" s="15"/>
      <c r="T342" s="15"/>
      <c r="U342" s="15"/>
      <c r="V342" s="15"/>
      <c r="W342" s="15"/>
      <c r="X342" s="15"/>
      <c r="Y342" s="15"/>
      <c r="Z342" s="15"/>
      <c r="AA342" s="15"/>
      <c r="AB342" s="15"/>
    </row>
    <row r="343" spans="3:28" hidden="1" x14ac:dyDescent="0.2">
      <c r="C343" s="23" t="str">
        <f t="shared" si="322"/>
        <v>Ending balance</v>
      </c>
      <c r="D343" s="500"/>
      <c r="E343" s="531"/>
      <c r="F343" s="710">
        <f ca="1">SUM(F340:F342)</f>
        <v>4280498.4136380926</v>
      </c>
      <c r="G343" s="710">
        <f t="shared" ref="G343:O343" ca="1" si="326">SUM(G340:G342)</f>
        <v>4213703.99703441</v>
      </c>
      <c r="H343" s="710">
        <f t="shared" ca="1" si="326"/>
        <v>4085127.2694343897</v>
      </c>
      <c r="I343" s="710">
        <f t="shared" ca="1" si="326"/>
        <v>3887944.744197851</v>
      </c>
      <c r="J343" s="710">
        <f t="shared" ca="1" si="326"/>
        <v>3626706.9213979859</v>
      </c>
      <c r="K343" s="710">
        <f t="shared" ca="1" si="326"/>
        <v>0</v>
      </c>
      <c r="L343" s="710">
        <f t="shared" ca="1" si="326"/>
        <v>0</v>
      </c>
      <c r="M343" s="710">
        <f t="shared" ca="1" si="326"/>
        <v>0</v>
      </c>
      <c r="N343" s="710">
        <f t="shared" ca="1" si="326"/>
        <v>0</v>
      </c>
      <c r="O343" s="710">
        <f t="shared" ca="1" si="326"/>
        <v>0</v>
      </c>
      <c r="P343" s="15"/>
      <c r="Q343" s="15"/>
      <c r="R343" s="15"/>
      <c r="S343" s="15"/>
      <c r="T343" s="15"/>
      <c r="U343" s="15"/>
      <c r="V343" s="15"/>
      <c r="W343" s="15"/>
      <c r="X343" s="15"/>
      <c r="Y343" s="15"/>
      <c r="Z343" s="15"/>
      <c r="AA343" s="15"/>
      <c r="AB343" s="15"/>
    </row>
    <row r="344" spans="3:28" hidden="1" x14ac:dyDescent="0.2">
      <c r="C344" s="503" t="str">
        <f t="shared" si="322"/>
        <v>Available After Pref / Return Of Capital</v>
      </c>
      <c r="D344" s="500"/>
      <c r="E344" s="531"/>
      <c r="F344" s="657">
        <f ca="1">+F334+F342</f>
        <v>0</v>
      </c>
      <c r="G344" s="657">
        <f t="shared" ref="G344:O344" ca="1" si="327">+G334+G342</f>
        <v>0</v>
      </c>
      <c r="H344" s="657">
        <f t="shared" ca="1" si="327"/>
        <v>0</v>
      </c>
      <c r="I344" s="657">
        <f t="shared" ca="1" si="327"/>
        <v>0</v>
      </c>
      <c r="J344" s="657">
        <f t="shared" ca="1" si="327"/>
        <v>0</v>
      </c>
      <c r="K344" s="657">
        <f t="shared" ca="1" si="327"/>
        <v>1436041.4436201239</v>
      </c>
      <c r="L344" s="657">
        <f t="shared" ca="1" si="327"/>
        <v>209985.08156360069</v>
      </c>
      <c r="M344" s="657">
        <f t="shared" ca="1" si="327"/>
        <v>258430.79913880082</v>
      </c>
      <c r="N344" s="657">
        <f t="shared" ca="1" si="327"/>
        <v>308947.69760331756</v>
      </c>
      <c r="O344" s="657">
        <f t="shared" ca="1" si="327"/>
        <v>11057427.132121174</v>
      </c>
      <c r="P344" s="15"/>
      <c r="Q344" s="15"/>
      <c r="R344" s="15"/>
      <c r="S344" s="15"/>
      <c r="T344" s="15"/>
      <c r="U344" s="15"/>
      <c r="V344" s="15"/>
      <c r="W344" s="15"/>
      <c r="X344" s="15"/>
      <c r="Y344" s="15"/>
      <c r="Z344" s="15"/>
      <c r="AA344" s="15"/>
      <c r="AB344" s="15"/>
    </row>
    <row r="345" spans="3:28" hidden="1" x14ac:dyDescent="0.2">
      <c r="C345" s="41" t="str">
        <f t="shared" si="322"/>
        <v>Split</v>
      </c>
      <c r="D345" s="500"/>
      <c r="E345" s="531"/>
      <c r="F345" s="657"/>
      <c r="G345" s="657"/>
      <c r="H345" s="657"/>
      <c r="I345" s="657"/>
      <c r="J345" s="657"/>
      <c r="K345" s="657"/>
      <c r="L345" s="657"/>
      <c r="M345" s="657"/>
      <c r="N345" s="657"/>
      <c r="O345" s="657"/>
      <c r="P345" s="15"/>
      <c r="Q345" s="15"/>
      <c r="R345" s="15"/>
      <c r="S345" s="15"/>
      <c r="T345" s="15"/>
      <c r="U345" s="15"/>
      <c r="V345" s="15"/>
      <c r="W345" s="15"/>
      <c r="X345" s="15"/>
      <c r="Y345" s="15"/>
      <c r="Z345" s="15"/>
      <c r="AA345" s="15"/>
      <c r="AB345" s="15"/>
    </row>
    <row r="346" spans="3:28" hidden="1" x14ac:dyDescent="0.2">
      <c r="C346" s="537" t="str">
        <f t="shared" si="322"/>
        <v>Investor</v>
      </c>
      <c r="D346" s="500"/>
      <c r="E346" s="531"/>
      <c r="F346" s="657">
        <f t="shared" ref="F346:O346" ca="1" si="328">+F344*InvestorPromote</f>
        <v>0</v>
      </c>
      <c r="G346" s="657">
        <f t="shared" ca="1" si="328"/>
        <v>0</v>
      </c>
      <c r="H346" s="657">
        <f t="shared" ca="1" si="328"/>
        <v>0</v>
      </c>
      <c r="I346" s="657">
        <f t="shared" ca="1" si="328"/>
        <v>0</v>
      </c>
      <c r="J346" s="657">
        <f t="shared" ca="1" si="328"/>
        <v>0</v>
      </c>
      <c r="K346" s="657">
        <f t="shared" ca="1" si="328"/>
        <v>718020.72181006195</v>
      </c>
      <c r="L346" s="657">
        <f t="shared" ca="1" si="328"/>
        <v>104992.54078180034</v>
      </c>
      <c r="M346" s="657">
        <f t="shared" ca="1" si="328"/>
        <v>129215.39956940041</v>
      </c>
      <c r="N346" s="657">
        <f t="shared" ca="1" si="328"/>
        <v>154473.84880165878</v>
      </c>
      <c r="O346" s="657">
        <f t="shared" ca="1" si="328"/>
        <v>5528713.5660605868</v>
      </c>
      <c r="P346" s="15"/>
      <c r="Q346" s="15"/>
      <c r="R346" s="15"/>
      <c r="S346" s="15"/>
      <c r="T346" s="15"/>
      <c r="U346" s="15"/>
      <c r="V346" s="15"/>
      <c r="W346" s="15"/>
      <c r="X346" s="15"/>
      <c r="Y346" s="15"/>
      <c r="Z346" s="15"/>
      <c r="AA346" s="15"/>
      <c r="AB346" s="15"/>
    </row>
    <row r="347" spans="3:28" hidden="1" x14ac:dyDescent="0.2">
      <c r="C347" s="537" t="str">
        <f t="shared" si="322"/>
        <v>BVG</v>
      </c>
      <c r="D347" s="500"/>
      <c r="E347" s="531"/>
      <c r="F347" s="657">
        <f t="shared" ref="F347:O347" ca="1" si="329">+F344*BVGPromote</f>
        <v>0</v>
      </c>
      <c r="G347" s="657">
        <f t="shared" ca="1" si="329"/>
        <v>0</v>
      </c>
      <c r="H347" s="657">
        <f t="shared" ca="1" si="329"/>
        <v>0</v>
      </c>
      <c r="I347" s="657">
        <f t="shared" ca="1" si="329"/>
        <v>0</v>
      </c>
      <c r="J347" s="657">
        <f t="shared" ca="1" si="329"/>
        <v>0</v>
      </c>
      <c r="K347" s="657">
        <f t="shared" ca="1" si="329"/>
        <v>718020.72181006195</v>
      </c>
      <c r="L347" s="657">
        <f t="shared" ca="1" si="329"/>
        <v>104992.54078180034</v>
      </c>
      <c r="M347" s="657">
        <f t="shared" ca="1" si="329"/>
        <v>129215.39956940041</v>
      </c>
      <c r="N347" s="657">
        <f t="shared" ca="1" si="329"/>
        <v>154473.84880165878</v>
      </c>
      <c r="O347" s="657">
        <f t="shared" ca="1" si="329"/>
        <v>5528713.5660605868</v>
      </c>
      <c r="P347" s="15"/>
      <c r="Q347" s="15"/>
      <c r="R347" s="15"/>
      <c r="S347" s="15"/>
      <c r="T347" s="15"/>
      <c r="U347" s="15"/>
      <c r="V347" s="15"/>
      <c r="W347" s="15"/>
      <c r="X347" s="15"/>
      <c r="Y347" s="15"/>
      <c r="Z347" s="15"/>
      <c r="AA347" s="15"/>
      <c r="AB347" s="15"/>
    </row>
    <row r="348" spans="3:28" hidden="1" x14ac:dyDescent="0.2">
      <c r="C348" s="41" t="str">
        <f t="shared" si="322"/>
        <v>Total</v>
      </c>
      <c r="D348" s="500"/>
      <c r="E348" s="531"/>
      <c r="F348" s="657"/>
      <c r="G348" s="657"/>
      <c r="H348" s="657"/>
      <c r="I348" s="657"/>
      <c r="J348" s="657"/>
      <c r="K348" s="657"/>
      <c r="L348" s="657"/>
      <c r="M348" s="657"/>
      <c r="N348" s="657"/>
      <c r="O348" s="657"/>
      <c r="P348" s="15"/>
      <c r="Q348" s="15"/>
      <c r="R348" s="15"/>
      <c r="S348" s="15"/>
      <c r="T348" s="15"/>
      <c r="U348" s="15"/>
      <c r="V348" s="15"/>
      <c r="W348" s="15"/>
      <c r="X348" s="15"/>
      <c r="Y348" s="15"/>
      <c r="Z348" s="15"/>
      <c r="AA348" s="15"/>
      <c r="AB348" s="15"/>
    </row>
    <row r="349" spans="3:28" hidden="1" x14ac:dyDescent="0.2">
      <c r="C349" s="537" t="str">
        <f t="shared" si="322"/>
        <v>Investor</v>
      </c>
      <c r="D349" s="500"/>
      <c r="E349" s="531"/>
      <c r="F349" s="657">
        <f ca="1">-F342+F346</f>
        <v>161001.58636190719</v>
      </c>
      <c r="G349" s="657">
        <f t="shared" ref="G349:J349" ca="1" si="330">-G342+G346</f>
        <v>280819.33728558733</v>
      </c>
      <c r="H349" s="657">
        <f t="shared" ca="1" si="330"/>
        <v>339261.92745174095</v>
      </c>
      <c r="I349" s="657">
        <f t="shared" ca="1" si="330"/>
        <v>401438.88870825793</v>
      </c>
      <c r="J349" s="657">
        <f t="shared" ca="1" si="330"/>
        <v>455635.06000975776</v>
      </c>
      <c r="K349" s="657">
        <f t="shared" ref="K349:O349" ca="1" si="331">-K342+K346</f>
        <v>4526062.9892779477</v>
      </c>
      <c r="L349" s="657">
        <f t="shared" ca="1" si="331"/>
        <v>104992.54078180034</v>
      </c>
      <c r="M349" s="657">
        <f t="shared" ca="1" si="331"/>
        <v>129215.39956940041</v>
      </c>
      <c r="N349" s="657">
        <f t="shared" ca="1" si="331"/>
        <v>154473.84880165878</v>
      </c>
      <c r="O349" s="657">
        <f t="shared" ca="1" si="331"/>
        <v>5528713.5660605868</v>
      </c>
      <c r="P349" s="15"/>
      <c r="Q349" s="15"/>
      <c r="R349" s="15"/>
      <c r="S349" s="15"/>
      <c r="T349" s="15"/>
      <c r="U349" s="15"/>
      <c r="V349" s="15"/>
      <c r="W349" s="15"/>
      <c r="X349" s="15"/>
      <c r="Y349" s="15"/>
      <c r="Z349" s="15"/>
      <c r="AA349" s="15"/>
      <c r="AB349" s="15"/>
    </row>
    <row r="350" spans="3:28" hidden="1" x14ac:dyDescent="0.2">
      <c r="C350" s="537" t="str">
        <f t="shared" si="322"/>
        <v>BVG</v>
      </c>
      <c r="D350" s="500"/>
      <c r="E350" s="531"/>
      <c r="F350" s="657">
        <f ca="1">+F347</f>
        <v>0</v>
      </c>
      <c r="G350" s="657">
        <f t="shared" ref="G350:J350" ca="1" si="332">+G347</f>
        <v>0</v>
      </c>
      <c r="H350" s="657">
        <f t="shared" ca="1" si="332"/>
        <v>0</v>
      </c>
      <c r="I350" s="657">
        <f t="shared" ca="1" si="332"/>
        <v>0</v>
      </c>
      <c r="J350" s="657">
        <f t="shared" ca="1" si="332"/>
        <v>0</v>
      </c>
      <c r="K350" s="657">
        <f t="shared" ref="K350:O350" ca="1" si="333">+K347</f>
        <v>718020.72181006195</v>
      </c>
      <c r="L350" s="657">
        <f t="shared" ca="1" si="333"/>
        <v>104992.54078180034</v>
      </c>
      <c r="M350" s="657">
        <f t="shared" ca="1" si="333"/>
        <v>129215.39956940041</v>
      </c>
      <c r="N350" s="657">
        <f t="shared" ca="1" si="333"/>
        <v>154473.84880165878</v>
      </c>
      <c r="O350" s="657">
        <f t="shared" ca="1" si="333"/>
        <v>5528713.5660605868</v>
      </c>
      <c r="P350" s="15"/>
      <c r="Q350" s="15"/>
      <c r="R350" s="15"/>
      <c r="S350" s="15"/>
      <c r="T350" s="15"/>
      <c r="U350" s="15"/>
      <c r="V350" s="15"/>
      <c r="W350" s="15"/>
      <c r="X350" s="15"/>
      <c r="Y350" s="15"/>
      <c r="Z350" s="15"/>
      <c r="AA350" s="15"/>
      <c r="AB350" s="15"/>
    </row>
    <row r="351" spans="3:28" hidden="1" x14ac:dyDescent="0.2">
      <c r="C351" s="41" t="str">
        <f t="shared" si="322"/>
        <v>Total Project Cash Flow</v>
      </c>
      <c r="D351" s="500"/>
      <c r="E351" s="582">
        <f>E334</f>
        <v>-4230000</v>
      </c>
      <c r="F351" s="659">
        <f ca="1">+F349</f>
        <v>161001.58636190719</v>
      </c>
      <c r="G351" s="659">
        <f t="shared" ref="G351:J351" ca="1" si="334">+G349</f>
        <v>280819.33728558733</v>
      </c>
      <c r="H351" s="659">
        <f t="shared" ca="1" si="334"/>
        <v>339261.92745174095</v>
      </c>
      <c r="I351" s="659">
        <f t="shared" ca="1" si="334"/>
        <v>401438.88870825793</v>
      </c>
      <c r="J351" s="659">
        <f t="shared" ca="1" si="334"/>
        <v>455635.06000975776</v>
      </c>
      <c r="K351" s="659">
        <f t="shared" ref="K351:O351" ca="1" si="335">+K349</f>
        <v>4526062.9892779477</v>
      </c>
      <c r="L351" s="659">
        <f t="shared" ca="1" si="335"/>
        <v>104992.54078180034</v>
      </c>
      <c r="M351" s="659">
        <f t="shared" ca="1" si="335"/>
        <v>129215.39956940041</v>
      </c>
      <c r="N351" s="659">
        <f t="shared" ca="1" si="335"/>
        <v>154473.84880165878</v>
      </c>
      <c r="O351" s="659">
        <f t="shared" ca="1" si="335"/>
        <v>5528713.5660605868</v>
      </c>
      <c r="P351" s="15"/>
      <c r="Q351" s="15"/>
      <c r="R351" s="15"/>
      <c r="S351" s="15"/>
      <c r="T351" s="15"/>
      <c r="U351" s="15"/>
      <c r="V351" s="15"/>
      <c r="W351" s="15"/>
      <c r="X351" s="15"/>
      <c r="Y351" s="15"/>
      <c r="Z351" s="15"/>
      <c r="AA351" s="15"/>
      <c r="AB351" s="15"/>
    </row>
    <row r="352" spans="3:28" hidden="1" x14ac:dyDescent="0.2">
      <c r="C352" s="500"/>
      <c r="D352" s="500"/>
      <c r="E352" s="500"/>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2:28" hidden="1" x14ac:dyDescent="0.2">
      <c r="C353" s="500" t="s">
        <v>289</v>
      </c>
      <c r="D353" s="500"/>
      <c r="E353" s="529">
        <f ca="1">IRR(E351:O351)</f>
        <v>0.1600677684087024</v>
      </c>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2:28" hidden="1" x14ac:dyDescent="0.2">
      <c r="C354" s="500" t="s">
        <v>257</v>
      </c>
      <c r="D354" s="500"/>
      <c r="E354" s="531">
        <f ca="1">SUM(F351:O351)/-E351</f>
        <v>2.8561737929807673</v>
      </c>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2:28" hidden="1" x14ac:dyDescent="0.2">
      <c r="C355" s="500" t="s">
        <v>282</v>
      </c>
      <c r="D355" s="500"/>
      <c r="E355" s="531">
        <f ca="1">SUM(F351:O351)</f>
        <v>12081615.144308645</v>
      </c>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2:28" hidden="1" x14ac:dyDescent="0.2">
      <c r="C356" s="500" t="s">
        <v>286</v>
      </c>
      <c r="E356" s="531">
        <f ca="1">SUM(F350:O350)</f>
        <v>6635416.077023508</v>
      </c>
      <c r="F356" s="500"/>
      <c r="G356" s="500"/>
      <c r="H356" s="500"/>
      <c r="I356" s="500"/>
      <c r="J356" s="500"/>
      <c r="K356" s="500"/>
      <c r="L356" s="500"/>
      <c r="M356" s="500"/>
      <c r="N356" s="500"/>
      <c r="O356" s="500"/>
      <c r="P356" s="500"/>
      <c r="Q356" s="500"/>
      <c r="R356" s="500"/>
      <c r="S356" s="500"/>
      <c r="T356" s="500"/>
      <c r="U356" s="500"/>
      <c r="V356" s="500"/>
      <c r="W356" s="500"/>
      <c r="X356" s="500"/>
      <c r="Y356" s="500"/>
      <c r="Z356" s="500"/>
      <c r="AA356" s="500"/>
      <c r="AB356" s="500"/>
    </row>
    <row r="357" spans="2:28" hidden="1" x14ac:dyDescent="0.2"/>
    <row r="358" spans="2:28" hidden="1" x14ac:dyDescent="0.2"/>
    <row r="359" spans="2:28" hidden="1" x14ac:dyDescent="0.2"/>
    <row r="360" spans="2:28" hidden="1" x14ac:dyDescent="0.2"/>
    <row r="361" spans="2:28" s="309" customFormat="1" hidden="1" x14ac:dyDescent="0.2">
      <c r="B361" s="459"/>
      <c r="C361" s="310" t="s">
        <v>290</v>
      </c>
      <c r="D361" s="308"/>
      <c r="E361" s="660"/>
      <c r="F361" s="660"/>
      <c r="G361" s="660"/>
      <c r="H361" s="660"/>
      <c r="I361" s="660"/>
      <c r="J361" s="660"/>
      <c r="K361" s="660"/>
      <c r="L361" s="660"/>
      <c r="M361" s="660"/>
      <c r="N361" s="660"/>
      <c r="O361" s="660"/>
      <c r="P361" s="660"/>
      <c r="Q361" s="660"/>
      <c r="R361" s="660"/>
      <c r="S361" s="660"/>
      <c r="T361" s="660"/>
      <c r="U361" s="660"/>
      <c r="V361" s="660"/>
      <c r="W361" s="660"/>
      <c r="X361" s="660"/>
      <c r="Y361" s="660"/>
      <c r="Z361" s="660"/>
      <c r="AA361" s="660"/>
      <c r="AB361" s="660"/>
    </row>
    <row r="362" spans="2:28" hidden="1" x14ac:dyDescent="0.2"/>
    <row r="363" spans="2:28" hidden="1" x14ac:dyDescent="0.2"/>
    <row r="364" spans="2:28" hidden="1" x14ac:dyDescent="0.2"/>
    <row r="365" spans="2:28" hidden="1" x14ac:dyDescent="0.2"/>
    <row r="366" spans="2:28" hidden="1" x14ac:dyDescent="0.2"/>
    <row r="367" spans="2:28" hidden="1" x14ac:dyDescent="0.2"/>
    <row r="368" spans="2:28" hidden="1" x14ac:dyDescent="0.2"/>
    <row r="369" hidden="1" x14ac:dyDescent="0.2"/>
    <row r="370" hidden="1" x14ac:dyDescent="0.2"/>
    <row r="371" hidden="1" x14ac:dyDescent="0.2"/>
    <row r="372" hidden="1" x14ac:dyDescent="0.2"/>
    <row r="373" hidden="1" x14ac:dyDescent="0.2"/>
  </sheetData>
  <sheetProtection algorithmName="SHA-512" hashValue="vJPt1hbCZvaJwRvhkFV8XaRtQQ/gxh/zDsVayi6FOIgAWlD1d9SlUYY2SnSkosK5OBUt//FDgfxYao5WqasygA==" saltValue="EFCrdjZq24kJBGc8/H9m2g==" spinCount="100000" sheet="1" objects="1" scenarios="1"/>
  <mergeCells count="12">
    <mergeCell ref="D1:E1"/>
    <mergeCell ref="C212:H212"/>
    <mergeCell ref="A156:O156"/>
    <mergeCell ref="C177:D177"/>
    <mergeCell ref="C168:F168"/>
    <mergeCell ref="C158:E158"/>
    <mergeCell ref="M17:P17"/>
    <mergeCell ref="R22:S22"/>
    <mergeCell ref="R17:U17"/>
    <mergeCell ref="C261:J261"/>
    <mergeCell ref="C191:O191"/>
    <mergeCell ref="C310:O310"/>
  </mergeCells>
  <phoneticPr fontId="0" type="noConversion"/>
  <conditionalFormatting sqref="D101">
    <cfRule type="cellIs" priority="3" operator="greaterThanOrEqual">
      <formula>$D$98</formula>
    </cfRule>
    <cfRule type="cellIs" dxfId="26" priority="5" operator="greaterThan">
      <formula>$D$98</formula>
    </cfRule>
  </conditionalFormatting>
  <conditionalFormatting sqref="D58:AJ80 D57:E57 G57:AJ57">
    <cfRule type="expression" dxfId="25" priority="16">
      <formula>IF(_xlfn.ISFORMULA(D57),FALSE,TRUE)</formula>
    </cfRule>
  </conditionalFormatting>
  <conditionalFormatting sqref="E57:E80">
    <cfRule type="expression" dxfId="24" priority="1">
      <formula>$N$4="BVG Defaults"</formula>
    </cfRule>
  </conditionalFormatting>
  <conditionalFormatting sqref="F58:F80">
    <cfRule type="expression" dxfId="23" priority="2">
      <formula>E58&lt;&gt;12*F58</formula>
    </cfRule>
  </conditionalFormatting>
  <conditionalFormatting sqref="F88:M89">
    <cfRule type="expression" dxfId="22" priority="6">
      <formula>IF(_xlfn.ISFORMULA(F88),FALSE,TRUE)</formula>
    </cfRule>
  </conditionalFormatting>
  <conditionalFormatting sqref="F28:AJ31 F34:AJ40 F44:AJ50 F52:AJ52">
    <cfRule type="expression" dxfId="21" priority="29">
      <formula>IF(_xlfn.ISFORMULA(F28),FALSE,TRUE)</formula>
    </cfRule>
  </conditionalFormatting>
  <conditionalFormatting sqref="F92:AJ92">
    <cfRule type="notContainsBlanks" dxfId="20" priority="14">
      <formula>LEN(TRIM(F92))&gt;0</formula>
    </cfRule>
  </conditionalFormatting>
  <dataValidations disablePrompts="1" count="1">
    <dataValidation type="list" allowBlank="1" showInputMessage="1" showErrorMessage="1" sqref="N5" xr:uid="{2193E996-7C81-4AAD-8533-F2C743F15953}">
      <formula1>"Yes, No"</formula1>
    </dataValidation>
  </dataValidations>
  <hyperlinks>
    <hyperlink ref="C178" r:id="rId1" display="https://www.zillow.com/colfax-ca/apartments/?searchQueryState=%7B%22pagination%22%3A%7B%7D%2C%22isMapVisible%22%3Atrue%2C%22mapBounds%22%3A%7B%22west%22%3A-121.15173733789062%2C%22east%22%3A-120.76652920800781%2C%22south%22%3A38.984701451810245%2C%22north%22%3A39.20399422209409%7D%2C%22regionSelection%22%3A%5B%7B%22regionId%22%3A10902%2C%22regionType%22%3A6%7D%5D%2C%22filterState%22%3A%7B%22sort%22%3A%7B%22value%22%3A%22priorityscore%22%7D%2C%22ah%22%3A%7B%22value%22%3Atrue%7D%2C%22beds%22%3A%7B%22min%22%3A2%7D%2C%22sf%22%3A%7B%22value%22%3Afalse%7D%2C%22tow%22%3A%7B%22value%22%3Afalse%7D%2C%22mf%22%3A%7B%22value%22%3Afalse%7D%2C%22land%22%3A%7B%22value%22%3Afalse%7D%2C%22manu%22%3A%7B%22value%22%3Afalse%7D%2C%22fr%22%3A%7B%22value%22%3Atrue%7D%2C%22fsba%22%3A%7B%22value%22%3Afalse%7D%2C%22fsbo%22%3A%7B%22value%22%3Afalse%7D%2C%22nc%22%3A%7B%22value%22%3Afalse%7D%2C%22cmsn%22%3A%7B%22value%22%3Afalse%7D%2C%22auc%22%3A%7B%22value%22%3Afalse%7D%2C%22fore%22%3A%7B%22value%22%3Afalse%7D%7D%2C%22isListVisible%22%3Atrue%2C%22mapZoom%22%3A12%2C%22usersSearchTerm%22%3A%22Colfax%20CA%22%7D" xr:uid="{E0FD4440-0E96-4A2C-950A-32869F021B00}"/>
    <hyperlink ref="C179" r:id="rId2" display="https://www.huduser.gov/portal/datasets/fmr/fmrs/FY2024_code/2024summary.odn" xr:uid="{3A162516-87B3-4C5C-9E84-7C95AB5DE4AA}"/>
  </hyperlinks>
  <pageMargins left="0.25" right="0.25" top="0.75" bottom="0.75" header="0.3" footer="0.3"/>
  <pageSetup scale="58" fitToHeight="0" orientation="landscape" r:id="rId3"/>
  <headerFooter alignWithMargins="0"/>
  <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857B535-2106-4A67-820C-683114398DF3}">
          <x14:formula1>
            <xm:f>'IE Data Entry'!$Q$2:$Q$6</xm:f>
          </x14:formula1>
          <xm:sqref>N4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2060"/>
    <pageSetUpPr fitToPage="1"/>
  </sheetPr>
  <dimension ref="A1:M196"/>
  <sheetViews>
    <sheetView zoomScaleNormal="100" workbookViewId="0"/>
  </sheetViews>
  <sheetFormatPr defaultColWidth="8.85546875" defaultRowHeight="12.75" x14ac:dyDescent="0.2"/>
  <cols>
    <col min="1" max="1" width="28.42578125" customWidth="1"/>
    <col min="2" max="2" width="15.28515625" customWidth="1"/>
    <col min="3" max="3" width="15.7109375" bestFit="1" customWidth="1"/>
    <col min="4" max="4" width="15.140625" customWidth="1"/>
    <col min="5" max="5" width="11.42578125" customWidth="1"/>
    <col min="6" max="6" width="19.42578125" customWidth="1"/>
    <col min="7" max="7" width="9.42578125" customWidth="1"/>
    <col min="8" max="8" width="11.42578125" customWidth="1"/>
    <col min="9" max="9" width="11.28515625" bestFit="1" customWidth="1"/>
    <col min="10" max="10" width="16.85546875" customWidth="1"/>
    <col min="11" max="11" width="9.140625" bestFit="1" customWidth="1"/>
    <col min="12" max="12" width="12.28515625" customWidth="1"/>
    <col min="13" max="13" width="19.28515625" customWidth="1"/>
  </cols>
  <sheetData>
    <row r="1" spans="1:13" x14ac:dyDescent="0.2">
      <c r="A1" s="711" t="s">
        <v>293</v>
      </c>
      <c r="B1" s="712"/>
      <c r="C1" s="713"/>
      <c r="D1" s="293"/>
      <c r="F1" s="711" t="s">
        <v>294</v>
      </c>
      <c r="G1" s="711"/>
      <c r="H1" s="711"/>
      <c r="I1" s="711"/>
      <c r="J1" s="711"/>
      <c r="K1" s="711"/>
      <c r="L1" s="711"/>
      <c r="M1" s="711"/>
    </row>
    <row r="2" spans="1:13" ht="12.75" customHeight="1" x14ac:dyDescent="0.25">
      <c r="A2" s="714" t="s">
        <v>295</v>
      </c>
      <c r="B2" s="715"/>
      <c r="C2" s="716"/>
      <c r="D2" s="293"/>
      <c r="E2" s="550"/>
      <c r="F2" s="500"/>
      <c r="G2" s="500"/>
      <c r="H2" s="500"/>
      <c r="I2" s="500"/>
      <c r="J2" s="500"/>
      <c r="K2" s="500"/>
      <c r="L2" s="500"/>
      <c r="M2" s="500"/>
    </row>
    <row r="3" spans="1:13" ht="12.75" customHeight="1" x14ac:dyDescent="0.25">
      <c r="A3" s="717" t="s">
        <v>296</v>
      </c>
      <c r="B3" s="718"/>
      <c r="C3" s="719">
        <v>15000</v>
      </c>
      <c r="D3" s="551"/>
      <c r="E3" s="550"/>
      <c r="F3" s="487"/>
      <c r="G3" s="484"/>
      <c r="H3" s="485"/>
      <c r="I3" s="500"/>
      <c r="J3" s="487"/>
      <c r="K3" s="484"/>
      <c r="L3" s="485"/>
      <c r="M3" s="500"/>
    </row>
    <row r="4" spans="1:13" ht="12.75" customHeight="1" x14ac:dyDescent="0.25">
      <c r="A4" s="506" t="s">
        <v>297</v>
      </c>
      <c r="B4" s="500"/>
      <c r="C4" s="552">
        <f>0.005*InitialLoan</f>
        <v>33150</v>
      </c>
      <c r="D4" s="551"/>
      <c r="E4" s="550"/>
      <c r="F4" s="486"/>
      <c r="G4" s="484"/>
      <c r="H4" s="481"/>
      <c r="I4" s="500"/>
      <c r="J4" s="486"/>
      <c r="K4" s="484"/>
      <c r="L4" s="481"/>
      <c r="M4" s="500"/>
    </row>
    <row r="5" spans="1:13" ht="12.75" customHeight="1" x14ac:dyDescent="0.25">
      <c r="A5" s="124" t="s">
        <v>298</v>
      </c>
      <c r="C5" s="263">
        <v>10000</v>
      </c>
      <c r="D5" s="551"/>
      <c r="E5" s="550"/>
      <c r="F5" s="486"/>
      <c r="G5" s="484"/>
      <c r="H5" s="481"/>
      <c r="I5" s="500"/>
      <c r="J5" s="486"/>
      <c r="K5" s="484"/>
      <c r="L5" s="481"/>
      <c r="M5" s="500"/>
    </row>
    <row r="6" spans="1:13" ht="12.75" customHeight="1" x14ac:dyDescent="0.25">
      <c r="A6" s="506" t="s">
        <v>299</v>
      </c>
      <c r="C6" s="262">
        <v>2500</v>
      </c>
      <c r="D6" s="551"/>
      <c r="E6" s="550"/>
      <c r="F6" s="486"/>
      <c r="G6" s="484"/>
      <c r="H6" s="481"/>
      <c r="I6" s="500"/>
      <c r="J6" s="486"/>
      <c r="K6" s="484"/>
      <c r="L6" s="481"/>
      <c r="M6" s="500"/>
    </row>
    <row r="7" spans="1:13" ht="15" x14ac:dyDescent="0.25">
      <c r="A7" s="506" t="s">
        <v>300</v>
      </c>
      <c r="C7" s="262"/>
      <c r="D7" s="551"/>
      <c r="E7" s="550"/>
      <c r="F7" s="486"/>
      <c r="G7" s="484"/>
      <c r="H7" s="482"/>
      <c r="I7" s="500"/>
      <c r="J7" s="486"/>
      <c r="K7" s="484"/>
      <c r="L7" s="482"/>
      <c r="M7" s="500"/>
    </row>
    <row r="8" spans="1:13" ht="15" x14ac:dyDescent="0.25">
      <c r="A8" s="124" t="s">
        <v>301</v>
      </c>
      <c r="C8" s="294"/>
      <c r="D8" s="551"/>
      <c r="F8" s="486"/>
      <c r="G8" s="484"/>
      <c r="H8" s="483"/>
      <c r="I8" s="500"/>
      <c r="J8" s="486"/>
      <c r="K8" s="484"/>
      <c r="L8" s="483"/>
      <c r="M8" s="500"/>
    </row>
    <row r="9" spans="1:13" ht="15" x14ac:dyDescent="0.25">
      <c r="A9" s="124" t="s">
        <v>302</v>
      </c>
      <c r="C9" s="294">
        <v>5000</v>
      </c>
      <c r="F9" s="486"/>
      <c r="G9" s="484"/>
      <c r="H9" s="485"/>
      <c r="I9" s="500"/>
      <c r="J9" s="486"/>
      <c r="K9" s="484"/>
      <c r="L9" s="485"/>
      <c r="M9" s="500"/>
    </row>
    <row r="10" spans="1:13" ht="15" x14ac:dyDescent="0.25">
      <c r="A10" s="604" t="s">
        <v>303</v>
      </c>
      <c r="B10" s="604"/>
      <c r="C10" s="605">
        <f>SUM(C3:C9)</f>
        <v>65650</v>
      </c>
      <c r="F10" s="487"/>
      <c r="G10" s="484"/>
      <c r="H10" s="485"/>
      <c r="I10" s="500"/>
      <c r="J10" s="487"/>
      <c r="K10" s="484"/>
      <c r="L10" s="485"/>
      <c r="M10" s="500"/>
    </row>
    <row r="11" spans="1:13" ht="15" x14ac:dyDescent="0.25">
      <c r="A11" s="121"/>
      <c r="C11" s="295"/>
      <c r="F11" s="486"/>
      <c r="G11" s="484"/>
      <c r="H11" s="481"/>
      <c r="I11" s="500"/>
      <c r="J11" s="486"/>
      <c r="K11" s="484"/>
      <c r="L11" s="481"/>
      <c r="M11" s="500"/>
    </row>
    <row r="12" spans="1:13" ht="15" x14ac:dyDescent="0.25">
      <c r="A12" s="297" t="s">
        <v>304</v>
      </c>
      <c r="B12" s="296"/>
      <c r="C12" s="298"/>
      <c r="F12" s="486"/>
      <c r="G12" s="484"/>
      <c r="H12" s="481"/>
      <c r="I12" s="500"/>
      <c r="J12" s="486"/>
      <c r="K12" s="484"/>
      <c r="L12" s="481"/>
      <c r="M12" s="500"/>
    </row>
    <row r="13" spans="1:13" ht="15" x14ac:dyDescent="0.25">
      <c r="A13" s="553" t="s">
        <v>305</v>
      </c>
      <c r="C13" s="294">
        <v>0</v>
      </c>
      <c r="E13" s="530"/>
      <c r="F13" s="486"/>
      <c r="G13" s="484"/>
      <c r="H13" s="481"/>
      <c r="I13" s="500"/>
      <c r="J13" s="486"/>
      <c r="K13" s="484"/>
      <c r="L13" s="481"/>
      <c r="M13" s="500"/>
    </row>
    <row r="14" spans="1:13" ht="15" x14ac:dyDescent="0.25">
      <c r="A14" s="553" t="s">
        <v>668</v>
      </c>
      <c r="C14" s="294">
        <v>18300</v>
      </c>
      <c r="E14" s="530"/>
      <c r="F14" s="486"/>
      <c r="G14" s="484"/>
      <c r="H14" s="481"/>
      <c r="I14" s="500"/>
      <c r="J14" s="486"/>
      <c r="K14" s="484"/>
      <c r="L14" s="481"/>
      <c r="M14" s="500"/>
    </row>
    <row r="15" spans="1:13" ht="15" x14ac:dyDescent="0.25">
      <c r="A15" s="553" t="s">
        <v>667</v>
      </c>
      <c r="C15" s="294">
        <v>100000</v>
      </c>
      <c r="E15" s="241"/>
      <c r="F15" s="486"/>
      <c r="G15" s="484"/>
      <c r="H15" s="482"/>
      <c r="I15" s="500"/>
      <c r="J15" s="486"/>
      <c r="K15" s="484"/>
      <c r="L15" s="482"/>
      <c r="M15" s="500"/>
    </row>
    <row r="16" spans="1:13" ht="15" x14ac:dyDescent="0.25">
      <c r="A16" s="553" t="s">
        <v>306</v>
      </c>
      <c r="C16" s="892">
        <v>75000</v>
      </c>
      <c r="D16" s="893"/>
      <c r="E16" s="894"/>
      <c r="F16" s="895"/>
      <c r="G16" s="484"/>
      <c r="H16" s="483"/>
      <c r="I16" s="500"/>
      <c r="J16" s="486"/>
      <c r="K16" s="484"/>
      <c r="L16" s="483"/>
      <c r="M16" s="500"/>
    </row>
    <row r="17" spans="1:13" ht="13.5" thickBot="1" x14ac:dyDescent="0.25">
      <c r="A17" s="553" t="s">
        <v>670</v>
      </c>
      <c r="C17" s="294">
        <v>30000</v>
      </c>
      <c r="F17" s="500"/>
      <c r="G17" s="500"/>
      <c r="H17" s="500"/>
      <c r="I17" s="500"/>
      <c r="J17" s="500"/>
      <c r="K17" s="500"/>
      <c r="L17" s="500"/>
      <c r="M17" s="500"/>
    </row>
    <row r="18" spans="1:13" x14ac:dyDescent="0.2">
      <c r="A18" s="506" t="s">
        <v>671</v>
      </c>
      <c r="C18" s="294">
        <v>25000</v>
      </c>
      <c r="D18" s="570" t="s">
        <v>307</v>
      </c>
      <c r="E18" s="571" t="s">
        <v>308</v>
      </c>
      <c r="F18" s="500"/>
      <c r="G18" s="500"/>
      <c r="H18" s="500"/>
      <c r="I18" s="500"/>
      <c r="J18" s="500"/>
      <c r="K18" s="500"/>
      <c r="L18" s="500"/>
      <c r="M18" s="500"/>
    </row>
    <row r="19" spans="1:13" ht="13.5" thickBot="1" x14ac:dyDescent="0.25">
      <c r="A19" s="506" t="s">
        <v>309</v>
      </c>
      <c r="C19" s="294">
        <v>0</v>
      </c>
      <c r="D19" s="606">
        <v>0</v>
      </c>
      <c r="E19" s="607">
        <v>300</v>
      </c>
      <c r="F19" s="500"/>
      <c r="G19" s="500"/>
      <c r="H19" s="500"/>
      <c r="I19" s="500"/>
      <c r="J19" s="500"/>
      <c r="K19" s="500"/>
      <c r="L19" s="500"/>
      <c r="M19" s="500"/>
    </row>
    <row r="20" spans="1:13" x14ac:dyDescent="0.2">
      <c r="A20" s="506" t="s">
        <v>310</v>
      </c>
      <c r="C20" s="569">
        <v>0</v>
      </c>
      <c r="D20" s="570" t="s">
        <v>311</v>
      </c>
      <c r="E20" s="571" t="s">
        <v>312</v>
      </c>
      <c r="F20" s="500"/>
      <c r="G20" s="500"/>
      <c r="H20" s="500"/>
      <c r="I20" s="500"/>
      <c r="J20" s="500"/>
      <c r="K20" s="500"/>
      <c r="L20" s="500"/>
      <c r="M20" s="500"/>
    </row>
    <row r="21" spans="1:13" x14ac:dyDescent="0.2">
      <c r="A21" s="506" t="s">
        <v>313</v>
      </c>
      <c r="C21" s="569">
        <f>D21*E21</f>
        <v>0</v>
      </c>
      <c r="D21" s="606">
        <v>0</v>
      </c>
      <c r="E21" s="607">
        <v>3000</v>
      </c>
      <c r="F21" s="500"/>
      <c r="G21" s="500"/>
      <c r="H21" s="500"/>
      <c r="I21" s="500"/>
      <c r="J21" s="500"/>
      <c r="K21" s="500"/>
      <c r="L21" s="500"/>
      <c r="M21" s="500"/>
    </row>
    <row r="22" spans="1:13" x14ac:dyDescent="0.2">
      <c r="A22" s="506" t="s">
        <v>314</v>
      </c>
      <c r="C22" s="569">
        <f t="shared" ref="C22:C24" si="0">D22*E22</f>
        <v>10000</v>
      </c>
      <c r="D22" s="606">
        <v>1</v>
      </c>
      <c r="E22" s="607">
        <v>10000</v>
      </c>
      <c r="F22" s="500"/>
      <c r="G22" s="500"/>
      <c r="H22" s="500"/>
      <c r="I22" s="500"/>
      <c r="J22" s="500"/>
      <c r="K22" s="500"/>
      <c r="L22" s="500"/>
      <c r="M22" s="500"/>
    </row>
    <row r="23" spans="1:13" x14ac:dyDescent="0.2">
      <c r="A23" s="506" t="s">
        <v>315</v>
      </c>
      <c r="C23" s="569">
        <f t="shared" si="0"/>
        <v>20000</v>
      </c>
      <c r="D23" s="606">
        <v>1</v>
      </c>
      <c r="E23" s="607">
        <v>20000</v>
      </c>
      <c r="F23" s="500"/>
      <c r="G23" s="500"/>
      <c r="H23" s="500"/>
      <c r="I23" s="500"/>
      <c r="J23" s="500"/>
      <c r="K23" s="500"/>
      <c r="L23" s="500"/>
      <c r="M23" s="500"/>
    </row>
    <row r="24" spans="1:13" ht="13.5" thickBot="1" x14ac:dyDescent="0.25">
      <c r="A24" s="506" t="s">
        <v>316</v>
      </c>
      <c r="C24" s="569">
        <f t="shared" si="0"/>
        <v>0</v>
      </c>
      <c r="D24" s="608">
        <v>0</v>
      </c>
      <c r="E24" s="609">
        <v>10000</v>
      </c>
      <c r="F24" s="500"/>
      <c r="G24" s="500"/>
      <c r="H24" s="500"/>
      <c r="I24" s="500"/>
      <c r="J24" s="500"/>
      <c r="K24" s="500"/>
      <c r="L24" s="500"/>
      <c r="M24" s="500"/>
    </row>
    <row r="25" spans="1:13" x14ac:dyDescent="0.2">
      <c r="A25" s="506" t="s">
        <v>669</v>
      </c>
      <c r="C25" s="294">
        <v>50000</v>
      </c>
      <c r="F25" s="500"/>
      <c r="G25" s="500"/>
      <c r="H25" s="500"/>
      <c r="I25" s="500"/>
      <c r="J25" s="500"/>
      <c r="K25" s="500"/>
      <c r="L25" s="500"/>
      <c r="M25" s="500"/>
    </row>
    <row r="26" spans="1:13" x14ac:dyDescent="0.2">
      <c r="A26" s="506" t="s">
        <v>317</v>
      </c>
      <c r="C26" s="294">
        <v>14400</v>
      </c>
      <c r="F26" s="500"/>
      <c r="G26" s="500"/>
      <c r="H26" s="500"/>
      <c r="I26" s="500"/>
      <c r="J26" s="500"/>
      <c r="K26" s="500"/>
      <c r="L26" s="500"/>
      <c r="M26" s="500"/>
    </row>
    <row r="27" spans="1:13" x14ac:dyDescent="0.2">
      <c r="A27" s="506" t="s">
        <v>318</v>
      </c>
      <c r="C27" s="892">
        <f>250000+1650-30000</f>
        <v>221650</v>
      </c>
      <c r="F27" s="500"/>
      <c r="G27" s="500"/>
      <c r="H27" s="500"/>
      <c r="I27" s="500"/>
      <c r="J27" s="500"/>
      <c r="K27" s="500"/>
      <c r="L27" s="500"/>
      <c r="M27" s="500"/>
    </row>
    <row r="28" spans="1:13" x14ac:dyDescent="0.2">
      <c r="A28" s="610" t="s">
        <v>319</v>
      </c>
      <c r="B28" s="604"/>
      <c r="C28" s="605">
        <f>SUM(C13:C27)</f>
        <v>564350</v>
      </c>
    </row>
    <row r="29" spans="1:13" x14ac:dyDescent="0.2">
      <c r="A29" s="127"/>
      <c r="B29" s="69"/>
      <c r="C29" s="264"/>
    </row>
    <row r="30" spans="1:13" x14ac:dyDescent="0.2">
      <c r="A30" s="127"/>
      <c r="B30" s="250" t="s">
        <v>320</v>
      </c>
      <c r="C30" s="300">
        <f>+C28+C10</f>
        <v>630000</v>
      </c>
    </row>
    <row r="32" spans="1:13" x14ac:dyDescent="0.2">
      <c r="E32" s="242"/>
    </row>
    <row r="33" spans="1:11" x14ac:dyDescent="0.2">
      <c r="A33" s="611" t="s">
        <v>321</v>
      </c>
      <c r="B33" s="612"/>
      <c r="C33" s="612"/>
      <c r="D33" s="613"/>
      <c r="E33" s="242"/>
      <c r="F33" s="858" t="s">
        <v>322</v>
      </c>
      <c r="G33" s="859"/>
      <c r="H33" s="859"/>
      <c r="I33" s="859"/>
      <c r="J33" s="859"/>
      <c r="K33" s="860"/>
    </row>
    <row r="34" spans="1:11" ht="13.5" thickBot="1" x14ac:dyDescent="0.25">
      <c r="A34" s="124"/>
      <c r="B34" s="614" t="s">
        <v>323</v>
      </c>
      <c r="C34" s="64" t="s">
        <v>324</v>
      </c>
      <c r="D34" s="226" t="s">
        <v>325</v>
      </c>
      <c r="E34" s="242"/>
      <c r="F34" s="124"/>
      <c r="G34" s="544" t="s">
        <v>326</v>
      </c>
      <c r="H34" s="544" t="s">
        <v>327</v>
      </c>
      <c r="I34" s="554" t="s">
        <v>328</v>
      </c>
      <c r="J34" s="544" t="s">
        <v>329</v>
      </c>
      <c r="K34" s="555" t="s">
        <v>330</v>
      </c>
    </row>
    <row r="35" spans="1:11" x14ac:dyDescent="0.2">
      <c r="A35" s="620" t="s">
        <v>331</v>
      </c>
      <c r="B35" s="621"/>
      <c r="C35" s="622"/>
      <c r="D35" s="623">
        <f>Proforma!D4</f>
        <v>10230000</v>
      </c>
      <c r="E35" s="242"/>
      <c r="F35" s="306" t="s">
        <v>332</v>
      </c>
      <c r="J35" s="301"/>
      <c r="K35" s="302"/>
    </row>
    <row r="36" spans="1:11" x14ac:dyDescent="0.2">
      <c r="A36" s="11" t="s">
        <v>333</v>
      </c>
      <c r="B36" s="227">
        <v>0.01</v>
      </c>
      <c r="C36" s="228">
        <f t="shared" ref="C36:C49" si="1">B36*$C$35</f>
        <v>0</v>
      </c>
      <c r="D36" s="228">
        <f t="shared" ref="D36:D49" si="2">B36*$D$35</f>
        <v>102300</v>
      </c>
      <c r="E36" s="242"/>
      <c r="F36" s="506" t="s">
        <v>334</v>
      </c>
      <c r="G36" s="330">
        <v>30</v>
      </c>
      <c r="H36" s="331">
        <v>25</v>
      </c>
      <c r="I36" s="303">
        <f>(H36*G36)*52/12</f>
        <v>3250</v>
      </c>
      <c r="J36" s="301"/>
      <c r="K36" s="302"/>
    </row>
    <row r="37" spans="1:11" x14ac:dyDescent="0.2">
      <c r="A37" s="503"/>
      <c r="B37" s="227">
        <v>2.6290000000000001E-5</v>
      </c>
      <c r="C37" s="228">
        <f t="shared" si="1"/>
        <v>0</v>
      </c>
      <c r="D37" s="228">
        <f t="shared" si="2"/>
        <v>268.94670000000002</v>
      </c>
      <c r="E37" s="242"/>
      <c r="F37" s="506" t="s">
        <v>335</v>
      </c>
      <c r="G37" s="330"/>
      <c r="H37" s="331"/>
      <c r="I37" s="303">
        <f t="shared" ref="I37:I38" si="3">(H37*G37)*52/12</f>
        <v>0</v>
      </c>
      <c r="J37" s="301"/>
      <c r="K37" s="302"/>
    </row>
    <row r="38" spans="1:11" x14ac:dyDescent="0.2">
      <c r="A38" s="503"/>
      <c r="B38" s="227">
        <v>1.2535000000000001E-4</v>
      </c>
      <c r="C38" s="228">
        <f t="shared" si="1"/>
        <v>0</v>
      </c>
      <c r="D38" s="228">
        <f t="shared" si="2"/>
        <v>1282.3305</v>
      </c>
      <c r="E38" s="242"/>
      <c r="F38" s="506" t="s">
        <v>336</v>
      </c>
      <c r="G38" s="330"/>
      <c r="H38" s="331"/>
      <c r="I38" s="303">
        <f t="shared" si="3"/>
        <v>0</v>
      </c>
      <c r="J38" s="301"/>
      <c r="K38" s="302"/>
    </row>
    <row r="39" spans="1:11" x14ac:dyDescent="0.2">
      <c r="A39" s="503"/>
      <c r="B39" s="227">
        <v>2.5619999999999999E-4</v>
      </c>
      <c r="C39" s="228">
        <f t="shared" si="1"/>
        <v>0</v>
      </c>
      <c r="D39" s="228">
        <f t="shared" si="2"/>
        <v>2620.9259999999999</v>
      </c>
      <c r="E39" s="242"/>
      <c r="F39" s="720" t="s">
        <v>337</v>
      </c>
      <c r="G39" s="721">
        <f>SUM(G36:G38)</f>
        <v>30</v>
      </c>
      <c r="H39" s="722">
        <f>IF(ISERROR((SUMPRODUCT(G36:G38,H36:H38)/G39)),"",(SUMPRODUCT(G36:G38,H36:H38)/G39))</f>
        <v>25</v>
      </c>
      <c r="I39" s="723">
        <f>SUM(I36:I38)</f>
        <v>3250</v>
      </c>
      <c r="J39" s="721">
        <f>IF(G39&gt;0,COUNT(G36:G38),0)</f>
        <v>1</v>
      </c>
      <c r="K39" s="724">
        <f>G39/40</f>
        <v>0.75</v>
      </c>
    </row>
    <row r="40" spans="1:11" x14ac:dyDescent="0.2">
      <c r="A40" s="503"/>
      <c r="B40" s="227"/>
      <c r="C40" s="228">
        <f t="shared" si="1"/>
        <v>0</v>
      </c>
      <c r="D40" s="228">
        <f t="shared" si="2"/>
        <v>0</v>
      </c>
      <c r="E40" s="242"/>
      <c r="F40" s="124"/>
      <c r="H40" s="251"/>
      <c r="I40" s="303"/>
      <c r="K40" s="302"/>
    </row>
    <row r="41" spans="1:11" x14ac:dyDescent="0.2">
      <c r="A41" s="503"/>
      <c r="B41" s="227"/>
      <c r="C41" s="228">
        <f t="shared" si="1"/>
        <v>0</v>
      </c>
      <c r="D41" s="228">
        <f t="shared" si="2"/>
        <v>0</v>
      </c>
      <c r="E41" s="242"/>
      <c r="F41" s="306" t="s">
        <v>136</v>
      </c>
      <c r="H41" s="251"/>
      <c r="I41" s="303"/>
      <c r="K41" s="302"/>
    </row>
    <row r="42" spans="1:11" x14ac:dyDescent="0.2">
      <c r="A42" s="503"/>
      <c r="B42" s="227"/>
      <c r="C42" s="228">
        <f t="shared" si="1"/>
        <v>0</v>
      </c>
      <c r="D42" s="228">
        <f t="shared" si="2"/>
        <v>0</v>
      </c>
      <c r="E42" s="242"/>
      <c r="F42" s="506" t="s">
        <v>338</v>
      </c>
      <c r="G42" s="330">
        <v>40</v>
      </c>
      <c r="H42" s="331">
        <v>25</v>
      </c>
      <c r="I42" s="303">
        <f>(H42*G42)*52/12</f>
        <v>4333.333333333333</v>
      </c>
      <c r="J42" s="301"/>
      <c r="K42" s="302"/>
    </row>
    <row r="43" spans="1:11" x14ac:dyDescent="0.2">
      <c r="A43" s="503"/>
      <c r="B43" s="227"/>
      <c r="C43" s="228">
        <f t="shared" si="1"/>
        <v>0</v>
      </c>
      <c r="D43" s="228">
        <f t="shared" si="2"/>
        <v>0</v>
      </c>
      <c r="E43" s="242"/>
      <c r="F43" s="506" t="s">
        <v>339</v>
      </c>
      <c r="G43" s="330">
        <v>10</v>
      </c>
      <c r="H43" s="331">
        <v>25</v>
      </c>
      <c r="I43" s="303">
        <f t="shared" ref="I43:I44" si="4">(H43*G43)*52/12</f>
        <v>1083.3333333333333</v>
      </c>
      <c r="J43" s="301"/>
      <c r="K43" s="302"/>
    </row>
    <row r="44" spans="1:11" x14ac:dyDescent="0.2">
      <c r="A44" s="503"/>
      <c r="B44" s="227"/>
      <c r="C44" s="228">
        <f t="shared" si="1"/>
        <v>0</v>
      </c>
      <c r="D44" s="228">
        <f t="shared" si="2"/>
        <v>0</v>
      </c>
      <c r="E44" s="242"/>
      <c r="F44" s="506" t="s">
        <v>336</v>
      </c>
      <c r="G44" s="330"/>
      <c r="H44" s="331"/>
      <c r="I44" s="303">
        <f t="shared" si="4"/>
        <v>0</v>
      </c>
      <c r="J44" s="301"/>
      <c r="K44" s="302"/>
    </row>
    <row r="45" spans="1:11" x14ac:dyDescent="0.2">
      <c r="A45" s="503"/>
      <c r="B45" s="227"/>
      <c r="C45" s="228">
        <f t="shared" si="1"/>
        <v>0</v>
      </c>
      <c r="D45" s="228">
        <f t="shared" si="2"/>
        <v>0</v>
      </c>
      <c r="E45" s="242"/>
      <c r="F45" s="720" t="s">
        <v>337</v>
      </c>
      <c r="G45" s="721">
        <f>SUM(G42:G44)</f>
        <v>50</v>
      </c>
      <c r="H45" s="722">
        <f>IF(ISERROR((SUMPRODUCT(G42:G44,H42:H44)/G45)),"",(SUMPRODUCT(G42:G44,H42:H44)/G45))</f>
        <v>25</v>
      </c>
      <c r="I45" s="723">
        <f>SUM(I42:I44)</f>
        <v>5416.6666666666661</v>
      </c>
      <c r="J45" s="721">
        <f>IF(G45&gt;0,COUNT(G42:G44),0)</f>
        <v>2</v>
      </c>
      <c r="K45" s="725">
        <f>G45/40</f>
        <v>1.25</v>
      </c>
    </row>
    <row r="46" spans="1:11" x14ac:dyDescent="0.2">
      <c r="A46" s="503"/>
      <c r="B46" s="227"/>
      <c r="C46" s="228">
        <f t="shared" si="1"/>
        <v>0</v>
      </c>
      <c r="D46" s="228">
        <f t="shared" si="2"/>
        <v>0</v>
      </c>
      <c r="E46" s="242"/>
      <c r="F46" s="124"/>
      <c r="H46" s="251"/>
      <c r="I46" s="303"/>
      <c r="K46" s="302"/>
    </row>
    <row r="47" spans="1:11" x14ac:dyDescent="0.2">
      <c r="A47" s="503"/>
      <c r="B47" s="227"/>
      <c r="C47" s="228">
        <f t="shared" si="1"/>
        <v>0</v>
      </c>
      <c r="D47" s="228">
        <f t="shared" si="2"/>
        <v>0</v>
      </c>
      <c r="E47" s="243"/>
      <c r="F47" s="306" t="s">
        <v>340</v>
      </c>
      <c r="G47" s="301"/>
      <c r="H47" s="556"/>
      <c r="I47" s="303"/>
      <c r="J47" s="301"/>
      <c r="K47" s="302"/>
    </row>
    <row r="48" spans="1:11" x14ac:dyDescent="0.2">
      <c r="A48" s="503"/>
      <c r="B48" s="227"/>
      <c r="C48" s="228">
        <f t="shared" si="1"/>
        <v>0</v>
      </c>
      <c r="D48" s="228">
        <f t="shared" si="2"/>
        <v>0</v>
      </c>
      <c r="E48" s="243"/>
      <c r="F48" s="506" t="s">
        <v>341</v>
      </c>
      <c r="G48" s="330"/>
      <c r="H48" s="331"/>
      <c r="I48" s="303">
        <f t="shared" ref="I48:I50" si="5">(H48*G48)*52/12</f>
        <v>0</v>
      </c>
      <c r="K48" s="126"/>
    </row>
    <row r="49" spans="1:11" x14ac:dyDescent="0.2">
      <c r="A49" s="503"/>
      <c r="B49" s="227"/>
      <c r="C49" s="228">
        <f t="shared" si="1"/>
        <v>0</v>
      </c>
      <c r="D49" s="228">
        <f t="shared" si="2"/>
        <v>0</v>
      </c>
      <c r="F49" s="506" t="s">
        <v>342</v>
      </c>
      <c r="G49" s="330"/>
      <c r="H49" s="331"/>
      <c r="I49" s="303">
        <f t="shared" si="5"/>
        <v>0</v>
      </c>
      <c r="J49" s="301"/>
      <c r="K49" s="302"/>
    </row>
    <row r="50" spans="1:11" x14ac:dyDescent="0.2">
      <c r="A50" s="624" t="s">
        <v>343</v>
      </c>
      <c r="B50" s="625">
        <f>SUM(B36:B49)</f>
        <v>1.040784E-2</v>
      </c>
      <c r="C50" s="626">
        <f>SUM(C36:C49)</f>
        <v>0</v>
      </c>
      <c r="D50" s="626">
        <f>SUM(D36:D49)</f>
        <v>106472.2032</v>
      </c>
      <c r="F50" s="506" t="s">
        <v>344</v>
      </c>
      <c r="G50" s="330"/>
      <c r="H50" s="331"/>
      <c r="I50" s="303">
        <f t="shared" si="5"/>
        <v>0</v>
      </c>
      <c r="J50" s="301"/>
      <c r="K50" s="302"/>
    </row>
    <row r="51" spans="1:11" x14ac:dyDescent="0.2">
      <c r="A51" s="299" t="s">
        <v>345</v>
      </c>
      <c r="B51" s="227"/>
      <c r="C51" s="258"/>
      <c r="D51" s="258"/>
      <c r="E51" s="244"/>
      <c r="F51" s="720" t="s">
        <v>346</v>
      </c>
      <c r="G51" s="721">
        <f>SUM(G47:G50)</f>
        <v>0</v>
      </c>
      <c r="H51" s="722" t="str">
        <f>IF(ISERROR((SUMPRODUCT(G47:G50,H47:H50)/G51)),"",(SUMPRODUCT(G47:G50,H47:H50)/G51))</f>
        <v/>
      </c>
      <c r="I51" s="723">
        <f>SUM(I47:I50)</f>
        <v>0</v>
      </c>
      <c r="J51" s="721">
        <f>IF(G51&gt;0,COUNT(G48:G50),0)</f>
        <v>0</v>
      </c>
      <c r="K51" s="725">
        <f>G51/40</f>
        <v>0</v>
      </c>
    </row>
    <row r="52" spans="1:11" x14ac:dyDescent="0.2">
      <c r="A52" s="299"/>
      <c r="B52" s="227"/>
      <c r="C52" s="258"/>
      <c r="D52" s="228">
        <v>1591.78</v>
      </c>
      <c r="E52" s="244"/>
      <c r="F52" s="690"/>
      <c r="G52" s="301"/>
      <c r="H52" s="691"/>
      <c r="I52" s="303"/>
      <c r="J52" s="301"/>
      <c r="K52" s="692"/>
    </row>
    <row r="53" spans="1:11" x14ac:dyDescent="0.2">
      <c r="A53" s="299"/>
      <c r="B53" s="227"/>
      <c r="C53" s="258"/>
      <c r="D53" s="228">
        <v>1963.26</v>
      </c>
      <c r="E53" s="244"/>
      <c r="F53" s="690"/>
      <c r="G53" s="301"/>
      <c r="H53" s="691"/>
      <c r="I53" s="303"/>
      <c r="J53" s="301"/>
      <c r="K53" s="692"/>
    </row>
    <row r="54" spans="1:11" x14ac:dyDescent="0.2">
      <c r="A54" s="299"/>
      <c r="B54" s="227"/>
      <c r="C54" s="258"/>
      <c r="D54" s="228">
        <v>487.54</v>
      </c>
      <c r="E54" s="244"/>
      <c r="F54" s="690"/>
      <c r="G54" s="301"/>
      <c r="H54" s="691"/>
      <c r="I54" s="303"/>
      <c r="J54" s="301"/>
      <c r="K54" s="692"/>
    </row>
    <row r="55" spans="1:11" x14ac:dyDescent="0.2">
      <c r="A55" s="299"/>
      <c r="B55" s="227"/>
      <c r="C55" s="258"/>
      <c r="D55" s="228">
        <v>244.44</v>
      </c>
      <c r="E55" s="244"/>
      <c r="F55" s="690"/>
      <c r="G55" s="301"/>
      <c r="H55" s="691"/>
      <c r="I55" s="303"/>
      <c r="J55" s="301"/>
      <c r="K55" s="692"/>
    </row>
    <row r="56" spans="1:11" x14ac:dyDescent="0.2">
      <c r="A56" s="503"/>
      <c r="B56" s="227"/>
      <c r="C56" s="228"/>
      <c r="D56" s="228">
        <v>256.92</v>
      </c>
      <c r="F56" s="506"/>
      <c r="I56" s="303"/>
      <c r="K56" s="302"/>
    </row>
    <row r="57" spans="1:11" x14ac:dyDescent="0.2">
      <c r="A57" s="557"/>
      <c r="B57" s="229"/>
      <c r="C57" s="230"/>
      <c r="D57" s="230">
        <f>132.12+38.52</f>
        <v>170.64000000000001</v>
      </c>
      <c r="E57" s="245"/>
      <c r="F57" s="627" t="s">
        <v>347</v>
      </c>
      <c r="G57" s="628">
        <f>G51+G45+G39</f>
        <v>80</v>
      </c>
      <c r="H57" s="629">
        <f>IF(ISERROR(((I57/G57)*12/52)),"",((I57/G57)*12/52))</f>
        <v>25</v>
      </c>
      <c r="I57" s="630">
        <f>IF(Proforma!N4="BVG Defaults",'IE Data Entry'!J42/12,I51+I45+I39)</f>
        <v>8666.6666666666661</v>
      </c>
      <c r="J57" s="631">
        <f>J51+J45+J39</f>
        <v>3</v>
      </c>
      <c r="K57" s="632">
        <f>K51+K45+K39</f>
        <v>2</v>
      </c>
    </row>
    <row r="58" spans="1:11" x14ac:dyDescent="0.2">
      <c r="A58" s="633" t="s">
        <v>48</v>
      </c>
      <c r="B58" s="634"/>
      <c r="C58" s="635">
        <f>SUM(C50:C57)</f>
        <v>0</v>
      </c>
      <c r="D58" s="635">
        <f>SUM(D50:D57)</f>
        <v>111186.78319999999</v>
      </c>
      <c r="E58" s="245"/>
    </row>
    <row r="59" spans="1:11" x14ac:dyDescent="0.2">
      <c r="A59" s="238"/>
      <c r="B59" s="259"/>
      <c r="C59" s="260" t="e">
        <f>C58/C35</f>
        <v>#DIV/0!</v>
      </c>
      <c r="D59" s="261">
        <f>D58/D35</f>
        <v>1.0868698260019549E-2</v>
      </c>
    </row>
    <row r="60" spans="1:11" x14ac:dyDescent="0.2">
      <c r="A60" s="125"/>
      <c r="C60" s="228"/>
      <c r="D60" s="126"/>
      <c r="E60" s="246"/>
    </row>
    <row r="61" spans="1:11" x14ac:dyDescent="0.2">
      <c r="A61" s="125"/>
      <c r="B61" s="500" t="s">
        <v>348</v>
      </c>
      <c r="C61" s="132">
        <f>D58-C58</f>
        <v>111186.78319999999</v>
      </c>
      <c r="D61" s="126" t="s">
        <v>349</v>
      </c>
      <c r="E61" s="246"/>
    </row>
    <row r="62" spans="1:11" x14ac:dyDescent="0.2">
      <c r="A62" s="125"/>
      <c r="C62" s="132">
        <f>C61*D62</f>
        <v>105627.44403999999</v>
      </c>
      <c r="D62" s="231">
        <v>0.95</v>
      </c>
      <c r="E62" s="247"/>
    </row>
    <row r="63" spans="1:11" x14ac:dyDescent="0.2">
      <c r="A63" s="125"/>
      <c r="C63" s="258">
        <f>C62/NoOfSpaces/12</f>
        <v>74.595652570621453</v>
      </c>
      <c r="D63" s="126" t="s">
        <v>350</v>
      </c>
    </row>
    <row r="64" spans="1:11" x14ac:dyDescent="0.2">
      <c r="A64" s="124"/>
      <c r="C64" s="227"/>
      <c r="D64" s="126">
        <f>C61/NoOfSpaces/12</f>
        <v>78.521739548022595</v>
      </c>
      <c r="E64" s="248"/>
    </row>
    <row r="65" spans="1:5" x14ac:dyDescent="0.2">
      <c r="A65" s="232"/>
      <c r="B65" s="233"/>
      <c r="C65" s="230"/>
      <c r="D65" s="234"/>
    </row>
    <row r="66" spans="1:5" x14ac:dyDescent="0.2">
      <c r="C66" s="128"/>
    </row>
    <row r="67" spans="1:5" x14ac:dyDescent="0.2">
      <c r="A67" s="711" t="s">
        <v>351</v>
      </c>
      <c r="B67" s="712"/>
      <c r="C67" s="726" t="s">
        <v>43</v>
      </c>
      <c r="D67" s="727">
        <f>Proforma!D4</f>
        <v>10230000</v>
      </c>
      <c r="E67" s="225"/>
    </row>
    <row r="68" spans="1:5" x14ac:dyDescent="0.2">
      <c r="A68" s="728"/>
      <c r="B68" s="729"/>
      <c r="C68" s="730"/>
      <c r="D68" s="731"/>
      <c r="E68" s="225"/>
    </row>
    <row r="69" spans="1:5" x14ac:dyDescent="0.2">
      <c r="A69" s="636" t="s">
        <v>352</v>
      </c>
      <c r="B69" s="637" t="s">
        <v>353</v>
      </c>
      <c r="C69" s="637"/>
      <c r="D69" s="638" t="s">
        <v>323</v>
      </c>
      <c r="E69" s="225"/>
    </row>
    <row r="70" spans="1:5" x14ac:dyDescent="0.2">
      <c r="A70" s="717"/>
      <c r="B70" s="718"/>
      <c r="C70" s="718"/>
      <c r="D70" s="732"/>
      <c r="E70" s="241"/>
    </row>
    <row r="71" spans="1:5" x14ac:dyDescent="0.2">
      <c r="A71" s="120" t="s">
        <v>354</v>
      </c>
      <c r="B71" s="520"/>
      <c r="D71" s="235">
        <f>D67*0.2</f>
        <v>2046000</v>
      </c>
    </row>
    <row r="72" spans="1:5" x14ac:dyDescent="0.2">
      <c r="A72" s="122"/>
      <c r="B72" s="236"/>
      <c r="C72" s="69"/>
      <c r="D72" s="237"/>
      <c r="E72" s="12"/>
    </row>
    <row r="73" spans="1:5" x14ac:dyDescent="0.2">
      <c r="A73" s="733" t="s">
        <v>355</v>
      </c>
      <c r="B73" s="734" t="s">
        <v>356</v>
      </c>
      <c r="C73" s="718"/>
      <c r="D73" s="732"/>
      <c r="E73" s="12"/>
    </row>
    <row r="74" spans="1:5" x14ac:dyDescent="0.2">
      <c r="A74" s="238" t="s">
        <v>357</v>
      </c>
      <c r="D74" s="256"/>
      <c r="E74" s="12"/>
    </row>
    <row r="75" spans="1:5" x14ac:dyDescent="0.2">
      <c r="A75" s="238" t="s">
        <v>358</v>
      </c>
      <c r="C75" s="501"/>
      <c r="D75" s="256">
        <v>0</v>
      </c>
      <c r="E75" s="225"/>
    </row>
    <row r="76" spans="1:5" x14ac:dyDescent="0.2">
      <c r="A76" s="238" t="s">
        <v>359</v>
      </c>
      <c r="C76" s="501"/>
      <c r="D76" s="256">
        <v>0</v>
      </c>
      <c r="E76" s="225"/>
    </row>
    <row r="77" spans="1:5" x14ac:dyDescent="0.2">
      <c r="A77" s="122"/>
      <c r="B77" s="69"/>
      <c r="C77" s="558" t="s">
        <v>360</v>
      </c>
      <c r="D77" s="131">
        <f>+L97</f>
        <v>290526.93</v>
      </c>
      <c r="E77" s="241"/>
    </row>
    <row r="78" spans="1:5" x14ac:dyDescent="0.2">
      <c r="A78" s="733" t="s">
        <v>361</v>
      </c>
      <c r="B78" s="734" t="s">
        <v>362</v>
      </c>
      <c r="C78" s="734" t="s">
        <v>363</v>
      </c>
      <c r="D78" s="732"/>
    </row>
    <row r="79" spans="1:5" x14ac:dyDescent="0.2">
      <c r="A79" s="238" t="s">
        <v>364</v>
      </c>
      <c r="B79" s="330">
        <v>1</v>
      </c>
      <c r="C79" s="252">
        <v>30000</v>
      </c>
      <c r="D79" s="239">
        <f>B79*C79</f>
        <v>30000</v>
      </c>
    </row>
    <row r="80" spans="1:5" x14ac:dyDescent="0.2">
      <c r="A80" s="238"/>
      <c r="B80" s="70"/>
      <c r="D80" s="239">
        <f>B80*C80</f>
        <v>0</v>
      </c>
      <c r="E80" s="241"/>
    </row>
    <row r="81" spans="1:11" x14ac:dyDescent="0.2">
      <c r="A81" s="238"/>
      <c r="B81" s="70"/>
      <c r="D81" s="239">
        <f>B81*C81</f>
        <v>0</v>
      </c>
      <c r="E81" s="225"/>
    </row>
    <row r="82" spans="1:11" x14ac:dyDescent="0.2">
      <c r="A82" s="124"/>
      <c r="C82" s="501"/>
      <c r="D82" s="130"/>
      <c r="E82" s="249"/>
    </row>
    <row r="83" spans="1:11" x14ac:dyDescent="0.2">
      <c r="A83" s="127"/>
      <c r="B83" s="69"/>
      <c r="C83" s="501" t="s">
        <v>365</v>
      </c>
      <c r="D83" s="130">
        <f>SUM(D79:D81)</f>
        <v>30000</v>
      </c>
      <c r="E83" s="500"/>
    </row>
    <row r="84" spans="1:11" x14ac:dyDescent="0.2">
      <c r="A84" s="733" t="s">
        <v>366</v>
      </c>
      <c r="B84" s="734" t="s">
        <v>367</v>
      </c>
      <c r="C84" s="718"/>
      <c r="D84" s="735">
        <f>D67-D71-D77-D83</f>
        <v>7863473.0700000003</v>
      </c>
      <c r="E84" s="225"/>
    </row>
    <row r="85" spans="1:11" x14ac:dyDescent="0.2">
      <c r="A85" s="127"/>
      <c r="B85" s="69"/>
      <c r="C85" s="69"/>
      <c r="D85" s="237"/>
    </row>
    <row r="86" spans="1:11" x14ac:dyDescent="0.2">
      <c r="A86" s="124"/>
    </row>
    <row r="87" spans="1:11" x14ac:dyDescent="0.2">
      <c r="A87" s="733" t="s">
        <v>368</v>
      </c>
      <c r="B87" s="718"/>
      <c r="C87" s="736"/>
      <c r="D87" s="737">
        <f>D84</f>
        <v>7863473.0700000003</v>
      </c>
    </row>
    <row r="88" spans="1:11" x14ac:dyDescent="0.2">
      <c r="A88" s="247" t="s">
        <v>369</v>
      </c>
      <c r="B88" s="11"/>
      <c r="D88" s="129">
        <f ca="1">Proforma!F86</f>
        <v>655592.18618399987</v>
      </c>
    </row>
    <row r="89" spans="1:11" x14ac:dyDescent="0.2">
      <c r="A89" s="250" t="s">
        <v>370</v>
      </c>
      <c r="B89" s="123"/>
      <c r="C89" s="69"/>
      <c r="D89" s="240">
        <f ca="1">D88-D87</f>
        <v>-7207880.8838160001</v>
      </c>
    </row>
    <row r="90" spans="1:11" x14ac:dyDescent="0.2">
      <c r="D90" s="500"/>
    </row>
    <row r="91" spans="1:11" hidden="1" x14ac:dyDescent="0.2">
      <c r="C91" s="501"/>
      <c r="D91" s="257"/>
      <c r="H91" t="s">
        <v>358</v>
      </c>
      <c r="I91" t="s">
        <v>1003</v>
      </c>
      <c r="J91" t="s">
        <v>1004</v>
      </c>
      <c r="K91" t="s">
        <v>357</v>
      </c>
    </row>
    <row r="92" spans="1:11" hidden="1" x14ac:dyDescent="0.2">
      <c r="G92" t="s">
        <v>1005</v>
      </c>
      <c r="H92" s="303">
        <v>103250</v>
      </c>
      <c r="I92" s="303">
        <v>109227</v>
      </c>
      <c r="J92" s="303">
        <v>135149</v>
      </c>
      <c r="K92" s="303">
        <v>499661</v>
      </c>
    </row>
    <row r="93" spans="1:11" hidden="1" x14ac:dyDescent="0.2">
      <c r="G93" s="70" t="s">
        <v>1006</v>
      </c>
      <c r="H93" s="833">
        <f>+H92*-10%</f>
        <v>-10325</v>
      </c>
      <c r="I93" s="833">
        <f t="shared" ref="I93:K93" si="6">+I92*-10%</f>
        <v>-10922.7</v>
      </c>
      <c r="J93" s="833">
        <f t="shared" si="6"/>
        <v>-13514.900000000001</v>
      </c>
      <c r="K93" s="833">
        <f t="shared" si="6"/>
        <v>-49966.100000000006</v>
      </c>
    </row>
    <row r="94" spans="1:11" hidden="1" x14ac:dyDescent="0.2">
      <c r="G94" t="s">
        <v>1007</v>
      </c>
      <c r="H94" s="303">
        <f>SUM(H92:H93)</f>
        <v>92925</v>
      </c>
      <c r="I94" s="303">
        <f t="shared" ref="I94:K94" si="7">SUM(I92:I93)</f>
        <v>98304.3</v>
      </c>
      <c r="J94" s="303">
        <f t="shared" si="7"/>
        <v>121634.1</v>
      </c>
      <c r="K94" s="303">
        <f t="shared" si="7"/>
        <v>449694.9</v>
      </c>
    </row>
    <row r="95" spans="1:11" hidden="1" x14ac:dyDescent="0.2">
      <c r="G95" s="70" t="s">
        <v>1008</v>
      </c>
      <c r="H95" s="244">
        <v>-0.6</v>
      </c>
      <c r="I95" s="244">
        <v>-0.5</v>
      </c>
      <c r="J95" s="244">
        <v>-0.8</v>
      </c>
      <c r="K95" s="244">
        <v>-0.6</v>
      </c>
    </row>
    <row r="96" spans="1:11" hidden="1" x14ac:dyDescent="0.2">
      <c r="G96" s="70" t="s">
        <v>1009</v>
      </c>
      <c r="H96" s="303">
        <f>+H95*H94</f>
        <v>-55755</v>
      </c>
      <c r="I96" s="303">
        <f t="shared" ref="I96:K96" si="8">+I95*I94</f>
        <v>-49152.15</v>
      </c>
      <c r="J96" s="303">
        <f t="shared" si="8"/>
        <v>-97307.280000000013</v>
      </c>
      <c r="K96" s="303">
        <f t="shared" si="8"/>
        <v>-269816.94</v>
      </c>
    </row>
    <row r="97" spans="6:12" hidden="1" x14ac:dyDescent="0.2">
      <c r="F97" s="604"/>
      <c r="G97" s="834" t="s">
        <v>1010</v>
      </c>
      <c r="H97" s="630">
        <f>+H96+H94</f>
        <v>37170</v>
      </c>
      <c r="I97" s="630">
        <f t="shared" ref="I97:K97" si="9">+I96+I94</f>
        <v>49152.15</v>
      </c>
      <c r="J97" s="630">
        <f t="shared" si="9"/>
        <v>24326.819999999992</v>
      </c>
      <c r="K97" s="630">
        <f t="shared" si="9"/>
        <v>179877.96000000002</v>
      </c>
      <c r="L97" s="630">
        <f>SUM(H97:K97)</f>
        <v>290526.93</v>
      </c>
    </row>
    <row r="98" spans="6:12" hidden="1" x14ac:dyDescent="0.2"/>
    <row r="99" spans="6:12" hidden="1" x14ac:dyDescent="0.2"/>
    <row r="100" spans="6:12" hidden="1" x14ac:dyDescent="0.2"/>
    <row r="101" spans="6:12" hidden="1" x14ac:dyDescent="0.2"/>
    <row r="196" ht="12.75" customHeight="1" x14ac:dyDescent="0.2"/>
  </sheetData>
  <sheetProtection algorithmName="SHA-512" hashValue="Qfv0JI7SLrWIyNN+5W0O5wAtrAjHhzkI22u7gW+ZQ+VJ8gIYzgAtEIIrYSufReV/LXAFrWD2KUeJnaF31L1Nlg==" saltValue="hjK8d5XHNHhvsIJo/PCNlg==" spinCount="100000" sheet="1" objects="1" scenarios="1"/>
  <mergeCells count="1">
    <mergeCell ref="F33:K33"/>
  </mergeCells>
  <phoneticPr fontId="0" type="noConversion"/>
  <pageMargins left="0.75" right="0.75" top="1" bottom="1" header="0.5" footer="0.5"/>
  <pageSetup scale="33"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CC9EE-9428-45AF-9719-99006ED44A1A}">
  <dimension ref="A1:Q165"/>
  <sheetViews>
    <sheetView topLeftCell="A84" workbookViewId="0">
      <selection activeCell="R14" sqref="R14"/>
    </sheetView>
  </sheetViews>
  <sheetFormatPr defaultColWidth="9.140625" defaultRowHeight="15" x14ac:dyDescent="0.25"/>
  <cols>
    <col min="1" max="1" width="20.85546875" style="745" customWidth="1"/>
    <col min="2" max="2" width="16.28515625" style="745" customWidth="1"/>
    <col min="3" max="3" width="33.140625" style="745" customWidth="1"/>
    <col min="4" max="4" width="17.28515625" style="745" customWidth="1"/>
    <col min="5" max="5" width="9" style="745" customWidth="1"/>
    <col min="6" max="6" width="10.28515625" style="745" customWidth="1"/>
    <col min="7" max="7" width="16.85546875" style="745" customWidth="1"/>
    <col min="8" max="8" width="15.42578125" style="745" customWidth="1"/>
    <col min="9" max="9" width="10.85546875" style="745" customWidth="1"/>
    <col min="10" max="10" width="8" style="745" customWidth="1"/>
    <col min="11" max="11" width="15.7109375" style="745" customWidth="1"/>
    <col min="12" max="12" width="10.7109375" style="745" customWidth="1"/>
    <col min="13" max="13" width="8" style="745" customWidth="1"/>
    <col min="14" max="14" width="7.42578125" style="745" customWidth="1"/>
    <col min="15" max="16384" width="9.140625" style="745"/>
  </cols>
  <sheetData>
    <row r="1" spans="1:17" ht="16.149999999999999" customHeight="1" x14ac:dyDescent="0.25">
      <c r="A1" s="743" t="s">
        <v>672</v>
      </c>
      <c r="B1" s="744"/>
      <c r="C1" s="744"/>
      <c r="D1" s="744"/>
      <c r="E1" s="744"/>
      <c r="F1" s="744"/>
      <c r="G1" s="744"/>
      <c r="H1" s="744"/>
      <c r="I1" s="744"/>
      <c r="J1" s="744"/>
      <c r="K1" s="744"/>
    </row>
    <row r="2" spans="1:17" ht="17.100000000000001" customHeight="1" x14ac:dyDescent="0.25">
      <c r="A2" s="746" t="s">
        <v>673</v>
      </c>
      <c r="B2" s="861" t="s">
        <v>674</v>
      </c>
      <c r="C2" s="861"/>
      <c r="D2" s="744"/>
      <c r="E2" s="744"/>
      <c r="F2" s="744"/>
      <c r="G2" s="744"/>
      <c r="H2" s="744"/>
      <c r="I2" s="744"/>
      <c r="J2" s="744"/>
      <c r="K2" s="744"/>
    </row>
    <row r="3" spans="1:17" ht="15.6" customHeight="1" x14ac:dyDescent="0.25">
      <c r="A3" s="746" t="s">
        <v>675</v>
      </c>
      <c r="B3" s="744"/>
      <c r="C3" s="744"/>
      <c r="D3" s="744"/>
      <c r="E3" s="744"/>
      <c r="F3" s="744"/>
      <c r="G3" s="744"/>
      <c r="H3" s="744"/>
      <c r="I3" s="744"/>
      <c r="J3" s="744"/>
      <c r="K3" s="744"/>
    </row>
    <row r="4" spans="1:17" ht="15.2" customHeight="1" x14ac:dyDescent="0.25">
      <c r="A4" s="746" t="s">
        <v>676</v>
      </c>
      <c r="B4" s="744"/>
      <c r="C4" s="744"/>
      <c r="D4" s="744"/>
      <c r="E4" s="744"/>
      <c r="F4" s="744"/>
      <c r="G4" s="744"/>
      <c r="H4" s="744"/>
      <c r="I4" s="744"/>
      <c r="J4" s="744"/>
      <c r="K4" s="744"/>
    </row>
    <row r="5" spans="1:17" ht="12.6" customHeight="1" x14ac:dyDescent="0.25">
      <c r="A5" s="746" t="s">
        <v>677</v>
      </c>
      <c r="B5" s="748" t="s">
        <v>678</v>
      </c>
      <c r="C5" s="744"/>
      <c r="D5" s="744"/>
      <c r="E5" s="744"/>
      <c r="F5" s="744"/>
      <c r="G5" s="744"/>
      <c r="H5" s="744"/>
      <c r="I5" s="744"/>
      <c r="J5" s="744"/>
      <c r="K5" s="744"/>
      <c r="Q5" s="745" t="s">
        <v>1001</v>
      </c>
    </row>
    <row r="6" spans="1:17" ht="34.15" customHeight="1" x14ac:dyDescent="0.25">
      <c r="A6" s="749" t="s">
        <v>679</v>
      </c>
      <c r="B6" s="750" t="s">
        <v>680</v>
      </c>
      <c r="C6" s="751" t="s">
        <v>681</v>
      </c>
      <c r="D6" s="749" t="s">
        <v>682</v>
      </c>
      <c r="E6" s="749" t="s">
        <v>683</v>
      </c>
      <c r="F6" s="750" t="s">
        <v>684</v>
      </c>
      <c r="G6" s="752" t="s">
        <v>685</v>
      </c>
      <c r="H6" s="749" t="s">
        <v>686</v>
      </c>
      <c r="I6" s="749" t="s">
        <v>687</v>
      </c>
      <c r="J6" s="753" t="s">
        <v>688</v>
      </c>
      <c r="K6" s="753" t="s">
        <v>689</v>
      </c>
      <c r="M6" s="745" t="s">
        <v>998</v>
      </c>
      <c r="P6" s="828">
        <f>+G152</f>
        <v>80573</v>
      </c>
      <c r="Q6" s="745">
        <f>+P6*12</f>
        <v>966876</v>
      </c>
    </row>
    <row r="7" spans="1:17" ht="20.25" customHeight="1" x14ac:dyDescent="0.25">
      <c r="A7" s="746" t="s">
        <v>690</v>
      </c>
      <c r="B7" s="754" t="s">
        <v>691</v>
      </c>
      <c r="C7" s="746" t="s">
        <v>692</v>
      </c>
      <c r="D7" s="744"/>
      <c r="E7" s="744"/>
      <c r="F7" s="744"/>
      <c r="G7" s="744"/>
      <c r="H7" s="744"/>
      <c r="I7" s="744"/>
      <c r="J7" s="744"/>
      <c r="K7" s="744"/>
      <c r="M7" s="745" t="s">
        <v>999</v>
      </c>
      <c r="P7" s="829">
        <v>0.95699999999999996</v>
      </c>
    </row>
    <row r="8" spans="1:17" ht="16.7" customHeight="1" x14ac:dyDescent="0.25">
      <c r="A8" s="747" t="s">
        <v>693</v>
      </c>
      <c r="B8" s="744"/>
      <c r="C8" s="747" t="s">
        <v>694</v>
      </c>
      <c r="D8" s="744"/>
      <c r="E8" s="755">
        <v>0</v>
      </c>
      <c r="F8" s="744"/>
      <c r="G8" s="744"/>
      <c r="H8" s="744"/>
      <c r="I8" s="744"/>
      <c r="J8" s="744"/>
      <c r="K8" s="744"/>
    </row>
    <row r="9" spans="1:17" ht="25.15" customHeight="1" x14ac:dyDescent="0.25">
      <c r="A9" s="756" t="s">
        <v>695</v>
      </c>
      <c r="B9" s="756" t="s">
        <v>696</v>
      </c>
      <c r="C9" s="756" t="s">
        <v>697</v>
      </c>
      <c r="D9" s="757">
        <v>825</v>
      </c>
      <c r="E9" s="755">
        <v>0</v>
      </c>
      <c r="F9" s="758" t="s">
        <v>698</v>
      </c>
      <c r="G9" s="744"/>
      <c r="H9" s="759" t="s">
        <v>699</v>
      </c>
      <c r="I9" s="757">
        <v>0</v>
      </c>
      <c r="J9" s="760">
        <v>0</v>
      </c>
      <c r="K9" s="761">
        <v>0</v>
      </c>
      <c r="M9" s="745" t="s">
        <v>1000</v>
      </c>
      <c r="P9" s="745">
        <v>109</v>
      </c>
    </row>
    <row r="10" spans="1:17" ht="15.75" customHeight="1" x14ac:dyDescent="0.25">
      <c r="A10" s="756" t="s">
        <v>700</v>
      </c>
      <c r="B10" s="747" t="s">
        <v>701</v>
      </c>
      <c r="C10" s="747" t="s">
        <v>697</v>
      </c>
      <c r="D10" s="762">
        <v>724</v>
      </c>
      <c r="E10" s="763">
        <v>0</v>
      </c>
      <c r="F10" s="764" t="s">
        <v>702</v>
      </c>
      <c r="G10" s="744"/>
      <c r="H10" s="765" t="s">
        <v>702</v>
      </c>
      <c r="I10" s="766">
        <v>894.89</v>
      </c>
      <c r="J10" s="761">
        <v>0</v>
      </c>
      <c r="K10" s="761">
        <v>0</v>
      </c>
      <c r="P10" s="830">
        <f>+P6/P9</f>
        <v>739.20183486238534</v>
      </c>
    </row>
    <row r="11" spans="1:17" ht="12.6" customHeight="1" x14ac:dyDescent="0.25">
      <c r="A11" s="744"/>
      <c r="B11" s="747" t="s">
        <v>703</v>
      </c>
      <c r="C11" s="744"/>
      <c r="D11" s="744"/>
      <c r="E11" s="744"/>
      <c r="F11" s="760">
        <v>2021</v>
      </c>
      <c r="G11" s="744"/>
      <c r="H11" s="767">
        <v>2021</v>
      </c>
      <c r="I11" s="744"/>
      <c r="J11" s="744"/>
      <c r="K11" s="744"/>
    </row>
    <row r="12" spans="1:17" ht="26.1" customHeight="1" x14ac:dyDescent="0.25">
      <c r="A12" s="750" t="s">
        <v>704</v>
      </c>
      <c r="B12" s="756" t="s">
        <v>705</v>
      </c>
      <c r="C12" s="756" t="s">
        <v>697</v>
      </c>
      <c r="D12" s="757">
        <v>724</v>
      </c>
      <c r="E12" s="755">
        <v>0</v>
      </c>
      <c r="F12" s="758" t="s">
        <v>706</v>
      </c>
      <c r="G12" s="744"/>
      <c r="H12" s="759" t="s">
        <v>706</v>
      </c>
      <c r="I12" s="768">
        <v>0</v>
      </c>
      <c r="J12" s="761">
        <v>0</v>
      </c>
      <c r="K12" s="761">
        <v>0</v>
      </c>
    </row>
    <row r="13" spans="1:17" ht="15.75" customHeight="1" x14ac:dyDescent="0.25">
      <c r="A13" s="756" t="s">
        <v>707</v>
      </c>
      <c r="B13" s="747" t="s">
        <v>708</v>
      </c>
      <c r="C13" s="747" t="s">
        <v>697</v>
      </c>
      <c r="D13" s="762">
        <v>724</v>
      </c>
      <c r="E13" s="763">
        <v>0</v>
      </c>
      <c r="F13" s="764" t="s">
        <v>709</v>
      </c>
      <c r="G13" s="744"/>
      <c r="H13" s="765" t="s">
        <v>709</v>
      </c>
      <c r="I13" s="766">
        <v>0</v>
      </c>
      <c r="J13" s="761">
        <v>0</v>
      </c>
      <c r="K13" s="761">
        <v>0</v>
      </c>
    </row>
    <row r="14" spans="1:17" ht="12.75" customHeight="1" x14ac:dyDescent="0.25">
      <c r="A14" s="744"/>
      <c r="B14" s="747" t="s">
        <v>710</v>
      </c>
      <c r="C14" s="744"/>
      <c r="D14" s="744"/>
      <c r="E14" s="744"/>
      <c r="F14" s="760">
        <v>1987</v>
      </c>
      <c r="G14" s="744"/>
      <c r="H14" s="769">
        <v>1987</v>
      </c>
      <c r="I14" s="744"/>
      <c r="J14" s="744"/>
      <c r="K14" s="744"/>
    </row>
    <row r="15" spans="1:17" ht="25.9" customHeight="1" x14ac:dyDescent="0.25">
      <c r="A15" s="756" t="s">
        <v>711</v>
      </c>
      <c r="B15" s="756" t="s">
        <v>712</v>
      </c>
      <c r="C15" s="756" t="s">
        <v>697</v>
      </c>
      <c r="D15" s="757">
        <v>724</v>
      </c>
      <c r="E15" s="755">
        <v>0</v>
      </c>
      <c r="F15" s="758" t="s">
        <v>713</v>
      </c>
      <c r="G15" s="744"/>
      <c r="H15" s="759" t="s">
        <v>713</v>
      </c>
      <c r="I15" s="768">
        <v>0</v>
      </c>
      <c r="J15" s="761">
        <v>0</v>
      </c>
      <c r="K15" s="761">
        <v>0</v>
      </c>
    </row>
    <row r="16" spans="1:17" ht="27.2" customHeight="1" x14ac:dyDescent="0.25">
      <c r="A16" s="747" t="s">
        <v>714</v>
      </c>
      <c r="B16" s="756" t="s">
        <v>712</v>
      </c>
      <c r="C16" s="756" t="s">
        <v>697</v>
      </c>
      <c r="D16" s="757">
        <v>724</v>
      </c>
      <c r="E16" s="755">
        <v>0</v>
      </c>
      <c r="F16" s="758" t="s">
        <v>715</v>
      </c>
      <c r="G16" s="744"/>
      <c r="H16" s="759" t="s">
        <v>715</v>
      </c>
      <c r="I16" s="768">
        <v>0</v>
      </c>
      <c r="J16" s="761">
        <v>0</v>
      </c>
      <c r="K16" s="761">
        <v>0</v>
      </c>
    </row>
    <row r="17" spans="1:11" ht="27.6" customHeight="1" x14ac:dyDescent="0.25">
      <c r="A17" s="747" t="s">
        <v>716</v>
      </c>
      <c r="B17" s="756" t="s">
        <v>717</v>
      </c>
      <c r="C17" s="756" t="s">
        <v>697</v>
      </c>
      <c r="D17" s="757">
        <v>724</v>
      </c>
      <c r="E17" s="755">
        <v>0</v>
      </c>
      <c r="F17" s="758" t="s">
        <v>718</v>
      </c>
      <c r="G17" s="744"/>
      <c r="H17" s="759" t="s">
        <v>718</v>
      </c>
      <c r="I17" s="768">
        <v>0</v>
      </c>
      <c r="J17" s="761">
        <v>0</v>
      </c>
      <c r="K17" s="761">
        <v>0</v>
      </c>
    </row>
    <row r="18" spans="1:11" ht="15.75" customHeight="1" x14ac:dyDescent="0.25">
      <c r="A18" s="756" t="s">
        <v>719</v>
      </c>
      <c r="B18" s="770" t="s">
        <v>720</v>
      </c>
      <c r="C18" s="747" t="s">
        <v>697</v>
      </c>
      <c r="D18" s="762">
        <v>724</v>
      </c>
      <c r="E18" s="763">
        <v>0</v>
      </c>
      <c r="F18" s="764" t="s">
        <v>721</v>
      </c>
      <c r="G18" s="744"/>
      <c r="H18" s="765" t="s">
        <v>721</v>
      </c>
      <c r="I18" s="766">
        <v>0</v>
      </c>
      <c r="J18" s="761">
        <v>0</v>
      </c>
      <c r="K18" s="761">
        <v>0</v>
      </c>
    </row>
    <row r="19" spans="1:11" ht="12.95" customHeight="1" x14ac:dyDescent="0.25">
      <c r="A19" s="744"/>
      <c r="B19" s="770" t="s">
        <v>722</v>
      </c>
      <c r="C19" s="744"/>
      <c r="D19" s="744"/>
      <c r="E19" s="744"/>
      <c r="F19" s="760">
        <v>2015</v>
      </c>
      <c r="G19" s="744"/>
      <c r="H19" s="769">
        <v>2015</v>
      </c>
      <c r="I19" s="744"/>
      <c r="J19" s="744"/>
      <c r="K19" s="744"/>
    </row>
    <row r="20" spans="1:11" ht="26.1" customHeight="1" x14ac:dyDescent="0.25">
      <c r="A20" s="756" t="s">
        <v>723</v>
      </c>
      <c r="B20" s="771" t="s">
        <v>724</v>
      </c>
      <c r="C20" s="756" t="s">
        <v>697</v>
      </c>
      <c r="D20" s="757">
        <v>724</v>
      </c>
      <c r="E20" s="755">
        <v>0</v>
      </c>
      <c r="F20" s="758" t="s">
        <v>725</v>
      </c>
      <c r="G20" s="744"/>
      <c r="H20" s="759" t="s">
        <v>725</v>
      </c>
      <c r="I20" s="768">
        <v>0</v>
      </c>
      <c r="J20" s="761">
        <v>0</v>
      </c>
      <c r="K20" s="761">
        <v>0</v>
      </c>
    </row>
    <row r="21" spans="1:11" ht="18.2" customHeight="1" x14ac:dyDescent="0.25">
      <c r="A21" s="747" t="s">
        <v>726</v>
      </c>
      <c r="B21" s="744"/>
      <c r="C21" s="747" t="s">
        <v>694</v>
      </c>
      <c r="D21" s="744"/>
      <c r="E21" s="763">
        <v>0</v>
      </c>
      <c r="F21" s="744"/>
      <c r="G21" s="744"/>
      <c r="H21" s="744"/>
      <c r="I21" s="744"/>
      <c r="J21" s="744"/>
      <c r="K21" s="744"/>
    </row>
    <row r="22" spans="1:11" ht="25.7" customHeight="1" x14ac:dyDescent="0.25">
      <c r="A22" s="756" t="s">
        <v>727</v>
      </c>
      <c r="B22" s="771" t="s">
        <v>728</v>
      </c>
      <c r="C22" s="756" t="s">
        <v>697</v>
      </c>
      <c r="D22" s="757">
        <v>825</v>
      </c>
      <c r="E22" s="755">
        <v>0</v>
      </c>
      <c r="F22" s="758" t="s">
        <v>729</v>
      </c>
      <c r="G22" s="744"/>
      <c r="H22" s="772" t="s">
        <v>729</v>
      </c>
      <c r="I22" s="768">
        <v>0</v>
      </c>
      <c r="J22" s="761">
        <v>0</v>
      </c>
      <c r="K22" s="761">
        <v>0</v>
      </c>
    </row>
    <row r="23" spans="1:11" ht="17.850000000000001" customHeight="1" x14ac:dyDescent="0.25">
      <c r="A23" s="747" t="s">
        <v>730</v>
      </c>
      <c r="B23" s="744"/>
      <c r="C23" s="747" t="s">
        <v>694</v>
      </c>
      <c r="D23" s="744"/>
      <c r="E23" s="763">
        <v>0</v>
      </c>
      <c r="F23" s="744"/>
      <c r="G23" s="744"/>
      <c r="H23" s="744"/>
      <c r="I23" s="744"/>
      <c r="J23" s="744"/>
      <c r="K23" s="744"/>
    </row>
    <row r="24" spans="1:11" ht="13.15" customHeight="1" x14ac:dyDescent="0.25">
      <c r="A24" s="747" t="s">
        <v>731</v>
      </c>
      <c r="B24" s="770" t="s">
        <v>732</v>
      </c>
      <c r="C24" s="747" t="s">
        <v>697</v>
      </c>
      <c r="D24" s="762">
        <v>825</v>
      </c>
      <c r="E24" s="763">
        <v>0</v>
      </c>
      <c r="F24" s="764" t="s">
        <v>733</v>
      </c>
      <c r="G24" s="773" t="s">
        <v>734</v>
      </c>
      <c r="H24" s="774" t="s">
        <v>733</v>
      </c>
      <c r="I24" s="766">
        <v>0</v>
      </c>
      <c r="J24" s="761">
        <v>0</v>
      </c>
      <c r="K24" s="761">
        <v>0</v>
      </c>
    </row>
    <row r="25" spans="1:11" ht="12.2" customHeight="1" x14ac:dyDescent="0.25">
      <c r="A25" s="744"/>
      <c r="B25" s="744"/>
      <c r="C25" s="744"/>
      <c r="D25" s="744"/>
      <c r="E25" s="744"/>
      <c r="F25" s="775">
        <v>2024</v>
      </c>
      <c r="G25" s="761">
        <v>2025</v>
      </c>
      <c r="H25" s="769">
        <v>2024</v>
      </c>
      <c r="I25" s="744"/>
      <c r="J25" s="744"/>
      <c r="K25" s="744"/>
    </row>
    <row r="26" spans="1:11" ht="27.4" customHeight="1" x14ac:dyDescent="0.25">
      <c r="A26" s="747" t="s">
        <v>735</v>
      </c>
      <c r="B26" s="771" t="s">
        <v>736</v>
      </c>
      <c r="C26" s="756" t="s">
        <v>697</v>
      </c>
      <c r="D26" s="757">
        <v>882.5</v>
      </c>
      <c r="E26" s="755">
        <v>0</v>
      </c>
      <c r="F26" s="758" t="s">
        <v>737</v>
      </c>
      <c r="G26" s="744"/>
      <c r="H26" s="772" t="s">
        <v>737</v>
      </c>
      <c r="I26" s="768">
        <v>-0.56999999999999995</v>
      </c>
      <c r="J26" s="761">
        <v>0</v>
      </c>
      <c r="K26" s="761">
        <v>0</v>
      </c>
    </row>
    <row r="27" spans="1:11" ht="27.2" customHeight="1" x14ac:dyDescent="0.25">
      <c r="A27" s="747" t="s">
        <v>738</v>
      </c>
      <c r="B27" s="771" t="s">
        <v>739</v>
      </c>
      <c r="C27" s="756" t="s">
        <v>697</v>
      </c>
      <c r="D27" s="757">
        <v>825</v>
      </c>
      <c r="E27" s="755">
        <v>0</v>
      </c>
      <c r="F27" s="758" t="s">
        <v>740</v>
      </c>
      <c r="G27" s="758" t="s">
        <v>741</v>
      </c>
      <c r="H27" s="772" t="s">
        <v>740</v>
      </c>
      <c r="I27" s="768">
        <v>0</v>
      </c>
      <c r="J27" s="761">
        <v>0</v>
      </c>
      <c r="K27" s="761">
        <v>0</v>
      </c>
    </row>
    <row r="28" spans="1:11" ht="15.6" customHeight="1" x14ac:dyDescent="0.25">
      <c r="A28" s="758" t="s">
        <v>742</v>
      </c>
      <c r="B28" s="770" t="s">
        <v>743</v>
      </c>
      <c r="C28" s="747" t="s">
        <v>697</v>
      </c>
      <c r="D28" s="762">
        <v>724</v>
      </c>
      <c r="E28" s="763">
        <v>0</v>
      </c>
      <c r="F28" s="764" t="s">
        <v>744</v>
      </c>
      <c r="G28" s="744"/>
      <c r="H28" s="774" t="s">
        <v>744</v>
      </c>
      <c r="I28" s="766">
        <v>0</v>
      </c>
      <c r="J28" s="776">
        <v>0</v>
      </c>
      <c r="K28" s="761">
        <v>0</v>
      </c>
    </row>
    <row r="29" spans="1:11" ht="12.95" customHeight="1" x14ac:dyDescent="0.25">
      <c r="A29" s="744"/>
      <c r="B29" s="770" t="s">
        <v>745</v>
      </c>
      <c r="C29" s="744"/>
      <c r="D29" s="744"/>
      <c r="E29" s="744"/>
      <c r="F29" s="760">
        <v>2021</v>
      </c>
      <c r="G29" s="744"/>
      <c r="H29" s="769">
        <v>2021</v>
      </c>
      <c r="I29" s="744"/>
      <c r="J29" s="744"/>
      <c r="K29" s="744"/>
    </row>
    <row r="30" spans="1:11" ht="13.7" customHeight="1" x14ac:dyDescent="0.25">
      <c r="A30" s="773" t="s">
        <v>746</v>
      </c>
      <c r="B30" s="770" t="s">
        <v>747</v>
      </c>
      <c r="C30" s="747" t="s">
        <v>697</v>
      </c>
      <c r="D30" s="762">
        <v>724</v>
      </c>
      <c r="E30" s="766">
        <v>0</v>
      </c>
      <c r="F30" s="764" t="s">
        <v>748</v>
      </c>
      <c r="G30" s="744"/>
      <c r="H30" s="774" t="s">
        <v>748</v>
      </c>
      <c r="I30" s="766">
        <v>0</v>
      </c>
      <c r="J30" s="761">
        <v>0</v>
      </c>
      <c r="K30" s="761">
        <v>0</v>
      </c>
    </row>
    <row r="31" spans="1:11" ht="12.4" customHeight="1" x14ac:dyDescent="0.25">
      <c r="A31" s="744"/>
      <c r="B31" s="744"/>
      <c r="C31" s="744"/>
      <c r="D31" s="744"/>
      <c r="E31" s="744"/>
      <c r="F31" s="760">
        <v>2011</v>
      </c>
      <c r="G31" s="744"/>
      <c r="H31" s="769">
        <v>2011</v>
      </c>
      <c r="I31" s="744"/>
      <c r="J31" s="744"/>
      <c r="K31" s="744"/>
    </row>
    <row r="32" spans="1:11" ht="16.899999999999999" customHeight="1" x14ac:dyDescent="0.25">
      <c r="A32" s="773" t="s">
        <v>749</v>
      </c>
      <c r="B32" s="770" t="s">
        <v>750</v>
      </c>
      <c r="C32" s="747" t="s">
        <v>697</v>
      </c>
      <c r="D32" s="762">
        <v>724</v>
      </c>
      <c r="E32" s="766">
        <v>0</v>
      </c>
      <c r="F32" s="764" t="s">
        <v>751</v>
      </c>
      <c r="G32" s="744"/>
      <c r="H32" s="774" t="s">
        <v>751</v>
      </c>
      <c r="I32" s="766">
        <v>858.87</v>
      </c>
      <c r="J32" s="761">
        <v>0</v>
      </c>
      <c r="K32" s="761">
        <v>0</v>
      </c>
    </row>
    <row r="34" spans="1:12" ht="14.1" customHeight="1" x14ac:dyDescent="0.25">
      <c r="A34" s="743" t="s">
        <v>672</v>
      </c>
      <c r="B34" s="744"/>
      <c r="C34" s="744"/>
      <c r="D34" s="744"/>
      <c r="E34" s="744"/>
      <c r="F34" s="744"/>
      <c r="G34" s="744"/>
      <c r="H34" s="744"/>
      <c r="I34" s="744"/>
      <c r="J34" s="744"/>
      <c r="K34" s="744"/>
      <c r="L34" s="744"/>
    </row>
    <row r="35" spans="1:12" ht="30.4" customHeight="1" x14ac:dyDescent="0.25">
      <c r="A35" s="746" t="s">
        <v>752</v>
      </c>
      <c r="B35" s="777" t="s">
        <v>753</v>
      </c>
      <c r="C35" s="778" t="s">
        <v>680</v>
      </c>
      <c r="D35" s="751" t="s">
        <v>681</v>
      </c>
      <c r="E35" s="779" t="s">
        <v>682</v>
      </c>
      <c r="F35" s="780" t="s">
        <v>683</v>
      </c>
      <c r="G35" s="750" t="s">
        <v>684</v>
      </c>
      <c r="H35" s="752" t="s">
        <v>685</v>
      </c>
      <c r="I35" s="749" t="s">
        <v>686</v>
      </c>
      <c r="J35" s="749" t="s">
        <v>687</v>
      </c>
      <c r="K35" s="750" t="s">
        <v>688</v>
      </c>
      <c r="L35" s="750" t="s">
        <v>689</v>
      </c>
    </row>
    <row r="36" spans="1:12" ht="15.6" customHeight="1" x14ac:dyDescent="0.25">
      <c r="A36" s="744"/>
      <c r="B36" s="744"/>
      <c r="C36" s="744"/>
      <c r="D36" s="744"/>
      <c r="E36" s="744"/>
      <c r="F36" s="744"/>
      <c r="G36" s="776">
        <v>2001</v>
      </c>
      <c r="H36" s="744"/>
      <c r="I36" s="781">
        <v>2001</v>
      </c>
      <c r="J36" s="744"/>
      <c r="K36" s="744"/>
      <c r="L36" s="744"/>
    </row>
    <row r="37" spans="1:12" ht="27.6" customHeight="1" x14ac:dyDescent="0.25">
      <c r="A37" s="782">
        <v>20</v>
      </c>
      <c r="B37" s="773" t="s">
        <v>754</v>
      </c>
      <c r="C37" s="770" t="s">
        <v>755</v>
      </c>
      <c r="D37" s="756" t="s">
        <v>697</v>
      </c>
      <c r="E37" s="783">
        <v>825</v>
      </c>
      <c r="F37" s="755">
        <v>0</v>
      </c>
      <c r="G37" s="758" t="s">
        <v>756</v>
      </c>
      <c r="H37" s="744"/>
      <c r="I37" s="771" t="s">
        <v>756</v>
      </c>
      <c r="J37" s="757">
        <v>0</v>
      </c>
      <c r="K37" s="760">
        <v>0</v>
      </c>
      <c r="L37" s="760">
        <v>0</v>
      </c>
    </row>
    <row r="38" spans="1:12" ht="27.2" customHeight="1" x14ac:dyDescent="0.25">
      <c r="A38" s="782">
        <v>21</v>
      </c>
      <c r="B38" s="773" t="s">
        <v>754</v>
      </c>
      <c r="C38" s="771" t="s">
        <v>757</v>
      </c>
      <c r="D38" s="756" t="s">
        <v>697</v>
      </c>
      <c r="E38" s="783">
        <v>850</v>
      </c>
      <c r="F38" s="755">
        <v>0</v>
      </c>
      <c r="G38" s="758" t="s">
        <v>758</v>
      </c>
      <c r="H38" s="744"/>
      <c r="I38" s="771" t="s">
        <v>758</v>
      </c>
      <c r="J38" s="784">
        <v>-1542.4</v>
      </c>
      <c r="K38" s="760">
        <v>0</v>
      </c>
      <c r="L38" s="760">
        <v>0</v>
      </c>
    </row>
    <row r="39" spans="1:12" ht="27.2" customHeight="1" x14ac:dyDescent="0.25">
      <c r="A39" s="782">
        <v>22</v>
      </c>
      <c r="B39" s="773" t="s">
        <v>754</v>
      </c>
      <c r="C39" s="770" t="s">
        <v>759</v>
      </c>
      <c r="D39" s="756" t="s">
        <v>697</v>
      </c>
      <c r="E39" s="783">
        <v>724</v>
      </c>
      <c r="F39" s="755">
        <v>0</v>
      </c>
      <c r="G39" s="758" t="s">
        <v>760</v>
      </c>
      <c r="H39" s="744"/>
      <c r="I39" s="771" t="s">
        <v>760</v>
      </c>
      <c r="J39" s="757">
        <v>0</v>
      </c>
      <c r="K39" s="760">
        <v>0</v>
      </c>
      <c r="L39" s="760">
        <v>0</v>
      </c>
    </row>
    <row r="40" spans="1:12" ht="16.7" customHeight="1" x14ac:dyDescent="0.25">
      <c r="A40" s="785">
        <v>23</v>
      </c>
      <c r="B40" s="758" t="s">
        <v>754</v>
      </c>
      <c r="C40" s="770" t="s">
        <v>761</v>
      </c>
      <c r="D40" s="747" t="s">
        <v>697</v>
      </c>
      <c r="E40" s="786">
        <v>825</v>
      </c>
      <c r="F40" s="763">
        <v>0</v>
      </c>
      <c r="G40" s="773" t="s">
        <v>762</v>
      </c>
      <c r="H40" s="744"/>
      <c r="I40" s="770" t="s">
        <v>762</v>
      </c>
      <c r="J40" s="757">
        <v>0</v>
      </c>
      <c r="K40" s="760">
        <v>0</v>
      </c>
      <c r="L40" s="760">
        <v>0</v>
      </c>
    </row>
    <row r="41" spans="1:12" ht="12.95" customHeight="1" x14ac:dyDescent="0.25">
      <c r="A41" s="744"/>
      <c r="B41" s="744"/>
      <c r="C41" s="770" t="s">
        <v>763</v>
      </c>
      <c r="D41" s="744"/>
      <c r="E41" s="744"/>
      <c r="F41" s="744"/>
      <c r="G41" s="761">
        <v>2022</v>
      </c>
      <c r="H41" s="744"/>
      <c r="I41" s="787">
        <v>2022</v>
      </c>
      <c r="J41" s="744"/>
      <c r="K41" s="744"/>
      <c r="L41" s="744"/>
    </row>
    <row r="42" spans="1:12" ht="25.15" customHeight="1" x14ac:dyDescent="0.25">
      <c r="A42" s="782">
        <v>24</v>
      </c>
      <c r="B42" s="773" t="s">
        <v>764</v>
      </c>
      <c r="C42" s="771" t="s">
        <v>765</v>
      </c>
      <c r="D42" s="756" t="s">
        <v>697</v>
      </c>
      <c r="E42" s="783">
        <v>724</v>
      </c>
      <c r="F42" s="755">
        <v>0</v>
      </c>
      <c r="G42" s="758" t="s">
        <v>766</v>
      </c>
      <c r="H42" s="744"/>
      <c r="I42" s="771" t="s">
        <v>766</v>
      </c>
      <c r="J42" s="757">
        <v>0</v>
      </c>
      <c r="K42" s="760">
        <v>0</v>
      </c>
      <c r="L42" s="788">
        <v>0</v>
      </c>
    </row>
    <row r="43" spans="1:12" ht="27.2" customHeight="1" x14ac:dyDescent="0.25">
      <c r="A43" s="782">
        <v>25</v>
      </c>
      <c r="B43" s="773" t="s">
        <v>754</v>
      </c>
      <c r="C43" s="770" t="s">
        <v>767</v>
      </c>
      <c r="D43" s="756" t="s">
        <v>697</v>
      </c>
      <c r="E43" s="783">
        <v>724</v>
      </c>
      <c r="F43" s="755">
        <v>0</v>
      </c>
      <c r="G43" s="758" t="s">
        <v>768</v>
      </c>
      <c r="H43" s="744"/>
      <c r="I43" s="771" t="s">
        <v>768</v>
      </c>
      <c r="J43" s="757">
        <v>0</v>
      </c>
      <c r="K43" s="760">
        <v>0</v>
      </c>
      <c r="L43" s="788">
        <v>0</v>
      </c>
    </row>
    <row r="44" spans="1:12" ht="27.6" customHeight="1" x14ac:dyDescent="0.25">
      <c r="A44" s="782">
        <v>26</v>
      </c>
      <c r="B44" s="773" t="s">
        <v>754</v>
      </c>
      <c r="C44" s="770" t="s">
        <v>769</v>
      </c>
      <c r="D44" s="756" t="s">
        <v>697</v>
      </c>
      <c r="E44" s="783">
        <v>825</v>
      </c>
      <c r="F44" s="755">
        <v>0</v>
      </c>
      <c r="G44" s="758" t="s">
        <v>770</v>
      </c>
      <c r="H44" s="744"/>
      <c r="I44" s="771" t="s">
        <v>771</v>
      </c>
      <c r="J44" s="768">
        <v>0</v>
      </c>
      <c r="K44" s="761">
        <v>0</v>
      </c>
      <c r="L44" s="788">
        <v>0</v>
      </c>
    </row>
    <row r="45" spans="1:12" ht="27.2" customHeight="1" x14ac:dyDescent="0.25">
      <c r="A45" s="782">
        <v>27</v>
      </c>
      <c r="B45" s="758" t="s">
        <v>754</v>
      </c>
      <c r="C45" s="771" t="s">
        <v>772</v>
      </c>
      <c r="D45" s="756" t="s">
        <v>697</v>
      </c>
      <c r="E45" s="783">
        <v>724</v>
      </c>
      <c r="F45" s="755">
        <v>0</v>
      </c>
      <c r="G45" s="758" t="s">
        <v>773</v>
      </c>
      <c r="H45" s="744"/>
      <c r="I45" s="771" t="s">
        <v>773</v>
      </c>
      <c r="J45" s="768">
        <v>0</v>
      </c>
      <c r="K45" s="761">
        <v>0</v>
      </c>
      <c r="L45" s="788">
        <v>0</v>
      </c>
    </row>
    <row r="46" spans="1:12" ht="28.35" customHeight="1" x14ac:dyDescent="0.25">
      <c r="A46" s="782">
        <v>28</v>
      </c>
      <c r="B46" s="773" t="s">
        <v>754</v>
      </c>
      <c r="C46" s="771" t="s">
        <v>774</v>
      </c>
      <c r="D46" s="756" t="s">
        <v>775</v>
      </c>
      <c r="E46" s="783">
        <v>724</v>
      </c>
      <c r="F46" s="789" t="s">
        <v>776</v>
      </c>
      <c r="G46" s="758" t="s">
        <v>777</v>
      </c>
      <c r="H46" s="744"/>
      <c r="I46" s="771" t="s">
        <v>777</v>
      </c>
      <c r="J46" s="790">
        <v>12382.7</v>
      </c>
      <c r="K46" s="761">
        <v>0</v>
      </c>
      <c r="L46" s="788">
        <v>0</v>
      </c>
    </row>
    <row r="47" spans="1:12" ht="18.399999999999999" customHeight="1" x14ac:dyDescent="0.25">
      <c r="A47" s="782">
        <v>29</v>
      </c>
      <c r="B47" s="744"/>
      <c r="C47" s="744"/>
      <c r="D47" s="747" t="s">
        <v>694</v>
      </c>
      <c r="E47" s="744"/>
      <c r="F47" s="763">
        <v>0</v>
      </c>
      <c r="G47" s="744"/>
      <c r="H47" s="744"/>
      <c r="I47" s="744"/>
      <c r="J47" s="744"/>
      <c r="K47" s="744"/>
      <c r="L47" s="744"/>
    </row>
    <row r="48" spans="1:12" ht="24.2" customHeight="1" x14ac:dyDescent="0.25">
      <c r="A48" s="782">
        <v>30</v>
      </c>
      <c r="B48" s="758" t="s">
        <v>754</v>
      </c>
      <c r="C48" s="771" t="s">
        <v>778</v>
      </c>
      <c r="D48" s="756" t="s">
        <v>697</v>
      </c>
      <c r="E48" s="783">
        <v>825</v>
      </c>
      <c r="F48" s="755">
        <v>0</v>
      </c>
      <c r="G48" s="758" t="s">
        <v>779</v>
      </c>
      <c r="H48" s="744"/>
      <c r="I48" s="791" t="s">
        <v>779</v>
      </c>
      <c r="J48" s="768">
        <v>50</v>
      </c>
      <c r="K48" s="761">
        <v>1</v>
      </c>
      <c r="L48" s="788">
        <v>0</v>
      </c>
    </row>
    <row r="49" spans="1:12" ht="27.4" customHeight="1" x14ac:dyDescent="0.25">
      <c r="A49" s="782">
        <v>32</v>
      </c>
      <c r="B49" s="773" t="s">
        <v>754</v>
      </c>
      <c r="C49" s="770" t="s">
        <v>780</v>
      </c>
      <c r="D49" s="792" t="s">
        <v>697</v>
      </c>
      <c r="E49" s="783">
        <v>825</v>
      </c>
      <c r="F49" s="755">
        <v>0</v>
      </c>
      <c r="G49" s="758" t="s">
        <v>781</v>
      </c>
      <c r="H49" s="758" t="s">
        <v>782</v>
      </c>
      <c r="I49" s="791" t="s">
        <v>781</v>
      </c>
      <c r="J49" s="768">
        <v>0</v>
      </c>
      <c r="K49" s="761">
        <v>0</v>
      </c>
      <c r="L49" s="788">
        <v>0</v>
      </c>
    </row>
    <row r="50" spans="1:12" ht="27.2" customHeight="1" x14ac:dyDescent="0.25">
      <c r="A50" s="782">
        <v>33</v>
      </c>
      <c r="B50" s="773" t="s">
        <v>754</v>
      </c>
      <c r="C50" s="771" t="s">
        <v>783</v>
      </c>
      <c r="D50" s="792" t="s">
        <v>697</v>
      </c>
      <c r="E50" s="783">
        <v>724</v>
      </c>
      <c r="F50" s="755">
        <v>0</v>
      </c>
      <c r="G50" s="758" t="s">
        <v>784</v>
      </c>
      <c r="H50" s="744"/>
      <c r="I50" s="791" t="s">
        <v>784</v>
      </c>
      <c r="J50" s="768">
        <v>0</v>
      </c>
      <c r="K50" s="761">
        <v>0</v>
      </c>
      <c r="L50" s="788">
        <v>0</v>
      </c>
    </row>
    <row r="51" spans="1:12" ht="27.4" customHeight="1" x14ac:dyDescent="0.25">
      <c r="A51" s="782">
        <v>34</v>
      </c>
      <c r="B51" s="773" t="s">
        <v>754</v>
      </c>
      <c r="C51" s="770" t="s">
        <v>785</v>
      </c>
      <c r="D51" s="792" t="s">
        <v>697</v>
      </c>
      <c r="E51" s="768">
        <v>724</v>
      </c>
      <c r="F51" s="755">
        <v>0</v>
      </c>
      <c r="G51" s="758" t="s">
        <v>786</v>
      </c>
      <c r="H51" s="744"/>
      <c r="I51" s="791" t="s">
        <v>786</v>
      </c>
      <c r="J51" s="768">
        <v>0</v>
      </c>
      <c r="K51" s="761">
        <v>0</v>
      </c>
      <c r="L51" s="788">
        <v>0</v>
      </c>
    </row>
    <row r="52" spans="1:12" ht="27" customHeight="1" x14ac:dyDescent="0.25">
      <c r="A52" s="782">
        <v>35</v>
      </c>
      <c r="B52" s="773" t="s">
        <v>754</v>
      </c>
      <c r="C52" s="770" t="s">
        <v>787</v>
      </c>
      <c r="D52" s="792" t="s">
        <v>697</v>
      </c>
      <c r="E52" s="768">
        <v>679</v>
      </c>
      <c r="F52" s="755">
        <v>0</v>
      </c>
      <c r="G52" s="758" t="s">
        <v>788</v>
      </c>
      <c r="H52" s="744"/>
      <c r="I52" s="791" t="s">
        <v>788</v>
      </c>
      <c r="J52" s="768">
        <v>-427</v>
      </c>
      <c r="K52" s="761">
        <v>0</v>
      </c>
      <c r="L52" s="788">
        <v>0</v>
      </c>
    </row>
    <row r="53" spans="1:12" ht="27.4" customHeight="1" x14ac:dyDescent="0.25">
      <c r="A53" s="782">
        <v>36</v>
      </c>
      <c r="B53" s="773" t="s">
        <v>754</v>
      </c>
      <c r="C53" s="770" t="s">
        <v>789</v>
      </c>
      <c r="D53" s="792" t="s">
        <v>697</v>
      </c>
      <c r="E53" s="768">
        <v>724</v>
      </c>
      <c r="F53" s="768">
        <v>0</v>
      </c>
      <c r="G53" s="758" t="s">
        <v>790</v>
      </c>
      <c r="H53" s="744"/>
      <c r="I53" s="791" t="s">
        <v>790</v>
      </c>
      <c r="J53" s="768">
        <v>33.840000000000003</v>
      </c>
      <c r="K53" s="761">
        <v>0</v>
      </c>
      <c r="L53" s="788">
        <v>0</v>
      </c>
    </row>
    <row r="54" spans="1:12" ht="27.2" customHeight="1" x14ac:dyDescent="0.25">
      <c r="A54" s="782">
        <v>37</v>
      </c>
      <c r="B54" s="773" t="s">
        <v>754</v>
      </c>
      <c r="C54" s="770" t="s">
        <v>791</v>
      </c>
      <c r="D54" s="792" t="s">
        <v>697</v>
      </c>
      <c r="E54" s="768">
        <v>724</v>
      </c>
      <c r="F54" s="768">
        <v>0</v>
      </c>
      <c r="G54" s="758" t="s">
        <v>792</v>
      </c>
      <c r="H54" s="744"/>
      <c r="I54" s="791" t="s">
        <v>792</v>
      </c>
      <c r="J54" s="768">
        <v>0</v>
      </c>
      <c r="K54" s="761">
        <v>0</v>
      </c>
      <c r="L54" s="788">
        <v>0</v>
      </c>
    </row>
    <row r="55" spans="1:12" ht="27.2" customHeight="1" x14ac:dyDescent="0.25">
      <c r="A55" s="782">
        <v>39</v>
      </c>
      <c r="B55" s="773" t="s">
        <v>754</v>
      </c>
      <c r="C55" s="770" t="s">
        <v>793</v>
      </c>
      <c r="D55" s="792" t="s">
        <v>697</v>
      </c>
      <c r="E55" s="768">
        <v>724</v>
      </c>
      <c r="F55" s="768">
        <v>0</v>
      </c>
      <c r="G55" s="758" t="s">
        <v>794</v>
      </c>
      <c r="H55" s="744"/>
      <c r="I55" s="791" t="s">
        <v>794</v>
      </c>
      <c r="J55" s="768">
        <v>0</v>
      </c>
      <c r="K55" s="761">
        <v>0</v>
      </c>
      <c r="L55" s="788">
        <v>0</v>
      </c>
    </row>
    <row r="56" spans="1:12" ht="27.4" customHeight="1" x14ac:dyDescent="0.25">
      <c r="A56" s="782">
        <v>40</v>
      </c>
      <c r="B56" s="773" t="s">
        <v>754</v>
      </c>
      <c r="C56" s="771" t="s">
        <v>795</v>
      </c>
      <c r="D56" s="792" t="s">
        <v>697</v>
      </c>
      <c r="E56" s="768">
        <v>724</v>
      </c>
      <c r="F56" s="768">
        <v>0</v>
      </c>
      <c r="G56" s="758" t="s">
        <v>796</v>
      </c>
      <c r="H56" s="744"/>
      <c r="I56" s="791" t="s">
        <v>796</v>
      </c>
      <c r="J56" s="768">
        <v>0</v>
      </c>
      <c r="K56" s="761">
        <v>0</v>
      </c>
      <c r="L56" s="788">
        <v>0</v>
      </c>
    </row>
    <row r="57" spans="1:12" ht="24.2" customHeight="1" x14ac:dyDescent="0.25">
      <c r="A57" s="782">
        <v>41</v>
      </c>
      <c r="B57" s="773" t="s">
        <v>754</v>
      </c>
      <c r="C57" s="770" t="s">
        <v>797</v>
      </c>
      <c r="D57" s="793" t="s">
        <v>697</v>
      </c>
      <c r="E57" s="768">
        <v>724</v>
      </c>
      <c r="F57" s="768">
        <v>0</v>
      </c>
      <c r="G57" s="773" t="s">
        <v>798</v>
      </c>
      <c r="H57" s="744"/>
      <c r="I57" s="791" t="s">
        <v>798</v>
      </c>
      <c r="J57" s="768">
        <v>0</v>
      </c>
      <c r="K57" s="761">
        <v>0</v>
      </c>
      <c r="L57" s="788">
        <v>0</v>
      </c>
    </row>
    <row r="59" spans="1:12" ht="13.9" customHeight="1" x14ac:dyDescent="0.25">
      <c r="A59" s="743" t="s">
        <v>672</v>
      </c>
      <c r="B59" s="744"/>
      <c r="C59" s="744"/>
      <c r="D59" s="744"/>
      <c r="E59" s="744"/>
      <c r="F59" s="744"/>
      <c r="G59" s="744"/>
      <c r="H59" s="744"/>
      <c r="I59" s="744"/>
      <c r="J59" s="744"/>
      <c r="K59" s="744"/>
    </row>
    <row r="60" spans="1:12" ht="15.75" customHeight="1" x14ac:dyDescent="0.25">
      <c r="A60" s="744"/>
      <c r="B60" s="744"/>
      <c r="C60" s="744"/>
      <c r="D60" s="794" t="s">
        <v>799</v>
      </c>
      <c r="E60" s="795" t="s">
        <v>800</v>
      </c>
      <c r="F60" s="796" t="s">
        <v>801</v>
      </c>
      <c r="G60" s="746" t="s">
        <v>802</v>
      </c>
      <c r="H60" s="749" t="s">
        <v>803</v>
      </c>
      <c r="I60" s="780" t="s">
        <v>687</v>
      </c>
      <c r="J60" s="780" t="s">
        <v>804</v>
      </c>
      <c r="K60" s="780" t="s">
        <v>805</v>
      </c>
    </row>
    <row r="61" spans="1:12" ht="15" customHeight="1" x14ac:dyDescent="0.25">
      <c r="A61" s="750" t="s">
        <v>752</v>
      </c>
      <c r="B61" s="754" t="s">
        <v>806</v>
      </c>
      <c r="C61" s="753" t="s">
        <v>680</v>
      </c>
      <c r="D61" s="797" t="s">
        <v>807</v>
      </c>
      <c r="E61" s="744"/>
      <c r="F61" s="744"/>
      <c r="G61" s="750" t="s">
        <v>808</v>
      </c>
      <c r="H61" s="751" t="s">
        <v>809</v>
      </c>
      <c r="I61" s="744"/>
      <c r="J61" s="749" t="s">
        <v>810</v>
      </c>
      <c r="K61" s="749" t="s">
        <v>810</v>
      </c>
    </row>
    <row r="62" spans="1:12" ht="25.35" customHeight="1" x14ac:dyDescent="0.25">
      <c r="A62" s="782">
        <v>43</v>
      </c>
      <c r="B62" s="758" t="s">
        <v>754</v>
      </c>
      <c r="C62" s="771" t="s">
        <v>811</v>
      </c>
      <c r="D62" s="756" t="s">
        <v>697</v>
      </c>
      <c r="E62" s="783">
        <v>724</v>
      </c>
      <c r="F62" s="755">
        <v>0</v>
      </c>
      <c r="G62" s="798" t="s">
        <v>812</v>
      </c>
      <c r="H62" s="791" t="s">
        <v>812</v>
      </c>
      <c r="I62" s="757">
        <v>0</v>
      </c>
      <c r="J62" s="760">
        <v>0</v>
      </c>
      <c r="K62" s="760">
        <v>0</v>
      </c>
    </row>
    <row r="63" spans="1:12" ht="28.15" customHeight="1" x14ac:dyDescent="0.25">
      <c r="A63" s="782">
        <v>44</v>
      </c>
      <c r="B63" s="773" t="s">
        <v>754</v>
      </c>
      <c r="C63" s="771" t="s">
        <v>813</v>
      </c>
      <c r="D63" s="756" t="s">
        <v>697</v>
      </c>
      <c r="E63" s="783">
        <v>724</v>
      </c>
      <c r="F63" s="755">
        <v>0</v>
      </c>
      <c r="G63" s="798" t="s">
        <v>814</v>
      </c>
      <c r="H63" s="791" t="s">
        <v>814</v>
      </c>
      <c r="I63" s="757">
        <v>0</v>
      </c>
      <c r="J63" s="760">
        <v>0</v>
      </c>
      <c r="K63" s="760">
        <v>0</v>
      </c>
    </row>
    <row r="64" spans="1:12" ht="18.399999999999999" customHeight="1" x14ac:dyDescent="0.25">
      <c r="A64" s="782">
        <v>45</v>
      </c>
      <c r="B64" s="744"/>
      <c r="C64" s="744"/>
      <c r="D64" s="747" t="s">
        <v>694</v>
      </c>
      <c r="E64" s="744"/>
      <c r="F64" s="763">
        <v>0</v>
      </c>
      <c r="G64" s="744"/>
      <c r="H64" s="744"/>
      <c r="I64" s="744"/>
      <c r="J64" s="744"/>
      <c r="K64" s="744"/>
    </row>
    <row r="65" spans="1:11" ht="24.6" customHeight="1" x14ac:dyDescent="0.25">
      <c r="A65" s="782">
        <v>46</v>
      </c>
      <c r="B65" s="799" t="s">
        <v>815</v>
      </c>
      <c r="C65" s="771" t="s">
        <v>816</v>
      </c>
      <c r="D65" s="756" t="s">
        <v>697</v>
      </c>
      <c r="E65" s="783">
        <v>724</v>
      </c>
      <c r="F65" s="755">
        <v>0</v>
      </c>
      <c r="G65" s="798" t="s">
        <v>817</v>
      </c>
      <c r="H65" s="791" t="s">
        <v>817</v>
      </c>
      <c r="I65" s="757">
        <v>0</v>
      </c>
      <c r="J65" s="760">
        <v>0</v>
      </c>
      <c r="K65" s="760">
        <v>0</v>
      </c>
    </row>
    <row r="66" spans="1:11" ht="27.4" customHeight="1" x14ac:dyDescent="0.25">
      <c r="A66" s="782">
        <v>47</v>
      </c>
      <c r="B66" s="773" t="s">
        <v>754</v>
      </c>
      <c r="C66" s="771" t="s">
        <v>818</v>
      </c>
      <c r="D66" s="756" t="s">
        <v>697</v>
      </c>
      <c r="E66" s="783">
        <v>724</v>
      </c>
      <c r="F66" s="755">
        <v>0</v>
      </c>
      <c r="G66" s="798" t="s">
        <v>819</v>
      </c>
      <c r="H66" s="791" t="s">
        <v>819</v>
      </c>
      <c r="I66" s="757">
        <v>0</v>
      </c>
      <c r="J66" s="760">
        <v>0</v>
      </c>
      <c r="K66" s="760">
        <v>0</v>
      </c>
    </row>
    <row r="67" spans="1:11" ht="26.65" customHeight="1" x14ac:dyDescent="0.25">
      <c r="A67" s="782">
        <v>48</v>
      </c>
      <c r="B67" s="773" t="s">
        <v>754</v>
      </c>
      <c r="C67" s="770" t="s">
        <v>820</v>
      </c>
      <c r="D67" s="756" t="s">
        <v>775</v>
      </c>
      <c r="E67" s="783">
        <v>724</v>
      </c>
      <c r="F67" s="755">
        <v>0</v>
      </c>
      <c r="G67" s="744"/>
      <c r="H67" s="791" t="s">
        <v>821</v>
      </c>
      <c r="I67" s="784">
        <v>27615.79</v>
      </c>
      <c r="J67" s="800">
        <v>0</v>
      </c>
      <c r="K67" s="760">
        <v>0</v>
      </c>
    </row>
    <row r="68" spans="1:11" ht="27.75" customHeight="1" x14ac:dyDescent="0.25">
      <c r="A68" s="782">
        <v>49</v>
      </c>
      <c r="B68" s="773" t="s">
        <v>754</v>
      </c>
      <c r="C68" s="770" t="s">
        <v>822</v>
      </c>
      <c r="D68" s="756" t="s">
        <v>697</v>
      </c>
      <c r="E68" s="783">
        <v>724</v>
      </c>
      <c r="F68" s="755">
        <v>0</v>
      </c>
      <c r="G68" s="798" t="s">
        <v>823</v>
      </c>
      <c r="H68" s="791" t="s">
        <v>823</v>
      </c>
      <c r="I68" s="757">
        <v>0</v>
      </c>
      <c r="J68" s="800">
        <v>0</v>
      </c>
      <c r="K68" s="800">
        <v>0</v>
      </c>
    </row>
    <row r="69" spans="1:11" ht="27.4" customHeight="1" x14ac:dyDescent="0.25">
      <c r="A69" s="782">
        <v>50</v>
      </c>
      <c r="B69" s="799" t="s">
        <v>815</v>
      </c>
      <c r="C69" s="771" t="s">
        <v>824</v>
      </c>
      <c r="D69" s="756" t="s">
        <v>697</v>
      </c>
      <c r="E69" s="783">
        <v>724</v>
      </c>
      <c r="F69" s="755">
        <v>0</v>
      </c>
      <c r="G69" s="798" t="s">
        <v>825</v>
      </c>
      <c r="H69" s="791" t="s">
        <v>825</v>
      </c>
      <c r="I69" s="768">
        <v>0</v>
      </c>
      <c r="J69" s="800">
        <v>0</v>
      </c>
      <c r="K69" s="800">
        <v>0</v>
      </c>
    </row>
    <row r="70" spans="1:11" ht="27.2" customHeight="1" x14ac:dyDescent="0.25">
      <c r="A70" s="782">
        <v>51</v>
      </c>
      <c r="B70" s="773" t="s">
        <v>754</v>
      </c>
      <c r="C70" s="771" t="s">
        <v>826</v>
      </c>
      <c r="D70" s="756" t="s">
        <v>697</v>
      </c>
      <c r="E70" s="783">
        <v>724</v>
      </c>
      <c r="F70" s="755">
        <v>0</v>
      </c>
      <c r="G70" s="798" t="s">
        <v>827</v>
      </c>
      <c r="H70" s="791" t="s">
        <v>827</v>
      </c>
      <c r="I70" s="768">
        <v>0</v>
      </c>
      <c r="J70" s="800">
        <v>0</v>
      </c>
      <c r="K70" s="800">
        <v>0</v>
      </c>
    </row>
    <row r="71" spans="1:11" ht="16.7" customHeight="1" x14ac:dyDescent="0.25">
      <c r="A71" s="785">
        <v>52</v>
      </c>
      <c r="B71" s="758" t="s">
        <v>754</v>
      </c>
      <c r="C71" s="770" t="s">
        <v>828</v>
      </c>
      <c r="D71" s="747" t="s">
        <v>697</v>
      </c>
      <c r="E71" s="786">
        <v>825</v>
      </c>
      <c r="F71" s="763">
        <v>0</v>
      </c>
      <c r="G71" s="774" t="s">
        <v>829</v>
      </c>
      <c r="H71" s="801" t="s">
        <v>829</v>
      </c>
      <c r="I71" s="768">
        <v>0</v>
      </c>
      <c r="J71" s="800">
        <v>0</v>
      </c>
      <c r="K71" s="800">
        <v>0</v>
      </c>
    </row>
    <row r="72" spans="1:11" ht="12.6" customHeight="1" x14ac:dyDescent="0.25">
      <c r="A72" s="744"/>
      <c r="B72" s="744"/>
      <c r="C72" s="770" t="s">
        <v>830</v>
      </c>
      <c r="D72" s="744"/>
      <c r="E72" s="744"/>
      <c r="F72" s="744"/>
      <c r="G72" s="802">
        <v>2022</v>
      </c>
      <c r="H72" s="803">
        <v>2022</v>
      </c>
      <c r="I72" s="744"/>
      <c r="J72" s="744"/>
      <c r="K72" s="744"/>
    </row>
    <row r="73" spans="1:11" ht="25.15" customHeight="1" x14ac:dyDescent="0.25">
      <c r="A73" s="782">
        <v>53</v>
      </c>
      <c r="B73" s="773" t="s">
        <v>754</v>
      </c>
      <c r="C73" s="771" t="s">
        <v>831</v>
      </c>
      <c r="D73" s="756" t="s">
        <v>697</v>
      </c>
      <c r="E73" s="783">
        <v>724</v>
      </c>
      <c r="F73" s="755">
        <v>0</v>
      </c>
      <c r="G73" s="798" t="s">
        <v>832</v>
      </c>
      <c r="H73" s="791" t="s">
        <v>832</v>
      </c>
      <c r="I73" s="768">
        <v>0</v>
      </c>
      <c r="J73" s="800">
        <v>0</v>
      </c>
      <c r="K73" s="800">
        <v>0</v>
      </c>
    </row>
    <row r="74" spans="1:11" ht="27.4" customHeight="1" x14ac:dyDescent="0.25">
      <c r="A74" s="782">
        <v>54</v>
      </c>
      <c r="B74" s="773" t="s">
        <v>754</v>
      </c>
      <c r="C74" s="770" t="s">
        <v>833</v>
      </c>
      <c r="D74" s="756" t="s">
        <v>697</v>
      </c>
      <c r="E74" s="783">
        <v>825</v>
      </c>
      <c r="F74" s="755">
        <v>0</v>
      </c>
      <c r="G74" s="798" t="s">
        <v>834</v>
      </c>
      <c r="H74" s="791" t="s">
        <v>834</v>
      </c>
      <c r="I74" s="768">
        <v>0</v>
      </c>
      <c r="J74" s="800">
        <v>0</v>
      </c>
      <c r="K74" s="800">
        <v>0</v>
      </c>
    </row>
    <row r="75" spans="1:11" ht="27.2" customHeight="1" x14ac:dyDescent="0.25">
      <c r="A75" s="782">
        <v>55</v>
      </c>
      <c r="B75" s="773" t="s">
        <v>754</v>
      </c>
      <c r="C75" s="771" t="s">
        <v>835</v>
      </c>
      <c r="D75" s="792" t="s">
        <v>697</v>
      </c>
      <c r="E75" s="783">
        <v>724</v>
      </c>
      <c r="F75" s="755">
        <v>0</v>
      </c>
      <c r="G75" s="798" t="s">
        <v>832</v>
      </c>
      <c r="H75" s="791" t="s">
        <v>832</v>
      </c>
      <c r="I75" s="768">
        <v>0</v>
      </c>
      <c r="J75" s="800">
        <v>0</v>
      </c>
      <c r="K75" s="800">
        <v>0</v>
      </c>
    </row>
    <row r="76" spans="1:11" ht="27.2" customHeight="1" x14ac:dyDescent="0.25">
      <c r="A76" s="782">
        <v>56</v>
      </c>
      <c r="B76" s="773" t="s">
        <v>754</v>
      </c>
      <c r="C76" s="770" t="s">
        <v>836</v>
      </c>
      <c r="D76" s="792" t="s">
        <v>697</v>
      </c>
      <c r="E76" s="783">
        <v>724</v>
      </c>
      <c r="F76" s="755">
        <v>0</v>
      </c>
      <c r="G76" s="798" t="s">
        <v>834</v>
      </c>
      <c r="H76" s="791" t="s">
        <v>834</v>
      </c>
      <c r="I76" s="768">
        <v>0</v>
      </c>
      <c r="J76" s="800">
        <v>0</v>
      </c>
      <c r="K76" s="800">
        <v>0</v>
      </c>
    </row>
    <row r="77" spans="1:11" ht="27.4" customHeight="1" x14ac:dyDescent="0.25">
      <c r="A77" s="782">
        <v>57</v>
      </c>
      <c r="B77" s="773" t="s">
        <v>754</v>
      </c>
      <c r="C77" s="770" t="s">
        <v>837</v>
      </c>
      <c r="D77" s="792" t="s">
        <v>697</v>
      </c>
      <c r="E77" s="768">
        <v>724</v>
      </c>
      <c r="F77" s="755">
        <v>0</v>
      </c>
      <c r="G77" s="798" t="s">
        <v>838</v>
      </c>
      <c r="H77" s="791" t="s">
        <v>838</v>
      </c>
      <c r="I77" s="768">
        <v>-149.24</v>
      </c>
      <c r="J77" s="800">
        <v>0</v>
      </c>
      <c r="K77" s="800">
        <v>0</v>
      </c>
    </row>
    <row r="78" spans="1:11" ht="27.2" customHeight="1" x14ac:dyDescent="0.25">
      <c r="A78" s="782">
        <v>58</v>
      </c>
      <c r="B78" s="773" t="s">
        <v>754</v>
      </c>
      <c r="C78" s="770" t="s">
        <v>839</v>
      </c>
      <c r="D78" s="792" t="s">
        <v>697</v>
      </c>
      <c r="E78" s="768">
        <v>724</v>
      </c>
      <c r="F78" s="755">
        <v>0</v>
      </c>
      <c r="G78" s="798" t="s">
        <v>840</v>
      </c>
      <c r="H78" s="791" t="s">
        <v>840</v>
      </c>
      <c r="I78" s="768">
        <v>0</v>
      </c>
      <c r="J78" s="800">
        <v>0</v>
      </c>
      <c r="K78" s="800">
        <v>0</v>
      </c>
    </row>
    <row r="79" spans="1:11" ht="27.4" customHeight="1" x14ac:dyDescent="0.25">
      <c r="A79" s="782">
        <v>59</v>
      </c>
      <c r="B79" s="773" t="s">
        <v>754</v>
      </c>
      <c r="C79" s="771" t="s">
        <v>841</v>
      </c>
      <c r="D79" s="792" t="s">
        <v>697</v>
      </c>
      <c r="E79" s="768">
        <v>724</v>
      </c>
      <c r="F79" s="768">
        <v>0</v>
      </c>
      <c r="G79" s="798" t="s">
        <v>842</v>
      </c>
      <c r="H79" s="791" t="s">
        <v>842</v>
      </c>
      <c r="I79" s="768">
        <v>0</v>
      </c>
      <c r="J79" s="800">
        <v>0</v>
      </c>
      <c r="K79" s="800">
        <v>0</v>
      </c>
    </row>
    <row r="80" spans="1:11" ht="27.2" customHeight="1" x14ac:dyDescent="0.25">
      <c r="A80" s="782">
        <v>60</v>
      </c>
      <c r="B80" s="773" t="s">
        <v>754</v>
      </c>
      <c r="C80" s="771" t="s">
        <v>843</v>
      </c>
      <c r="D80" s="792" t="s">
        <v>697</v>
      </c>
      <c r="E80" s="768">
        <v>882.75</v>
      </c>
      <c r="F80" s="768">
        <v>0</v>
      </c>
      <c r="G80" s="798" t="s">
        <v>844</v>
      </c>
      <c r="H80" s="791" t="s">
        <v>844</v>
      </c>
      <c r="I80" s="768">
        <v>5</v>
      </c>
      <c r="J80" s="800">
        <v>0</v>
      </c>
      <c r="K80" s="800">
        <v>0</v>
      </c>
    </row>
    <row r="81" spans="1:11" ht="27" customHeight="1" x14ac:dyDescent="0.25">
      <c r="A81" s="782">
        <v>61</v>
      </c>
      <c r="B81" s="773" t="s">
        <v>754</v>
      </c>
      <c r="C81" s="770" t="s">
        <v>845</v>
      </c>
      <c r="D81" s="792" t="s">
        <v>697</v>
      </c>
      <c r="E81" s="768">
        <v>0</v>
      </c>
      <c r="F81" s="768">
        <v>0</v>
      </c>
      <c r="G81" s="798" t="s">
        <v>846</v>
      </c>
      <c r="H81" s="791" t="s">
        <v>846</v>
      </c>
      <c r="I81" s="768">
        <v>0</v>
      </c>
      <c r="J81" s="800">
        <v>0</v>
      </c>
      <c r="K81" s="800">
        <v>0</v>
      </c>
    </row>
    <row r="82" spans="1:11" ht="27.4" customHeight="1" x14ac:dyDescent="0.25">
      <c r="A82" s="782">
        <v>62</v>
      </c>
      <c r="B82" s="773" t="s">
        <v>754</v>
      </c>
      <c r="C82" s="770" t="s">
        <v>847</v>
      </c>
      <c r="D82" s="792" t="s">
        <v>697</v>
      </c>
      <c r="E82" s="768">
        <v>724</v>
      </c>
      <c r="F82" s="768">
        <v>0</v>
      </c>
      <c r="G82" s="798" t="s">
        <v>848</v>
      </c>
      <c r="H82" s="791" t="s">
        <v>848</v>
      </c>
      <c r="I82" s="768">
        <v>0</v>
      </c>
      <c r="J82" s="761">
        <v>0</v>
      </c>
      <c r="K82" s="800">
        <v>0</v>
      </c>
    </row>
    <row r="83" spans="1:11" ht="25.15" customHeight="1" x14ac:dyDescent="0.25">
      <c r="A83" s="782">
        <v>63</v>
      </c>
      <c r="B83" s="773" t="s">
        <v>754</v>
      </c>
      <c r="C83" s="770" t="s">
        <v>849</v>
      </c>
      <c r="D83" s="793" t="s">
        <v>697</v>
      </c>
      <c r="E83" s="768">
        <v>724</v>
      </c>
      <c r="F83" s="768">
        <v>0</v>
      </c>
      <c r="G83" s="798" t="s">
        <v>850</v>
      </c>
      <c r="H83" s="791" t="s">
        <v>850</v>
      </c>
      <c r="I83" s="768">
        <v>0</v>
      </c>
      <c r="J83" s="761">
        <v>0</v>
      </c>
      <c r="K83" s="761">
        <v>0</v>
      </c>
    </row>
    <row r="85" spans="1:11" ht="15" customHeight="1" x14ac:dyDescent="0.25">
      <c r="A85" s="743" t="s">
        <v>672</v>
      </c>
      <c r="B85" s="744"/>
      <c r="C85" s="744"/>
      <c r="D85" s="744"/>
      <c r="E85" s="744"/>
      <c r="F85" s="744"/>
      <c r="G85" s="744"/>
      <c r="H85" s="744"/>
      <c r="I85" s="744"/>
      <c r="J85" s="744"/>
    </row>
    <row r="86" spans="1:11" ht="29.85" customHeight="1" x14ac:dyDescent="0.25">
      <c r="A86" s="749" t="s">
        <v>851</v>
      </c>
      <c r="B86" s="746" t="s">
        <v>680</v>
      </c>
      <c r="C86" s="751" t="s">
        <v>681</v>
      </c>
      <c r="D86" s="752" t="s">
        <v>800</v>
      </c>
      <c r="E86" s="749" t="s">
        <v>801</v>
      </c>
      <c r="F86" s="750" t="s">
        <v>852</v>
      </c>
      <c r="G86" s="804" t="s">
        <v>853</v>
      </c>
      <c r="H86" s="805" t="s">
        <v>854</v>
      </c>
      <c r="I86" s="750" t="s">
        <v>688</v>
      </c>
      <c r="J86" s="750" t="s">
        <v>689</v>
      </c>
    </row>
    <row r="87" spans="1:11" ht="25.5" customHeight="1" x14ac:dyDescent="0.25">
      <c r="A87" s="764" t="s">
        <v>855</v>
      </c>
      <c r="B87" s="756" t="s">
        <v>856</v>
      </c>
      <c r="C87" s="792" t="s">
        <v>697</v>
      </c>
      <c r="D87" s="783">
        <v>825</v>
      </c>
      <c r="E87" s="755">
        <v>0</v>
      </c>
      <c r="F87" s="798" t="s">
        <v>857</v>
      </c>
      <c r="G87" s="806" t="s">
        <v>857</v>
      </c>
      <c r="H87" s="768">
        <v>0</v>
      </c>
      <c r="I87" s="760">
        <v>0</v>
      </c>
      <c r="J87" s="761">
        <v>0</v>
      </c>
    </row>
    <row r="88" spans="1:11" ht="27.2" customHeight="1" x14ac:dyDescent="0.25">
      <c r="A88" s="764" t="s">
        <v>858</v>
      </c>
      <c r="B88" s="747" t="s">
        <v>859</v>
      </c>
      <c r="C88" s="792" t="s">
        <v>697</v>
      </c>
      <c r="D88" s="783">
        <v>724</v>
      </c>
      <c r="E88" s="755">
        <v>0</v>
      </c>
      <c r="F88" s="798" t="s">
        <v>860</v>
      </c>
      <c r="G88" s="806" t="s">
        <v>860</v>
      </c>
      <c r="H88" s="768">
        <v>0</v>
      </c>
      <c r="I88" s="760">
        <v>0</v>
      </c>
      <c r="J88" s="761">
        <v>0</v>
      </c>
    </row>
    <row r="89" spans="1:11" ht="27.4" customHeight="1" x14ac:dyDescent="0.25">
      <c r="A89" s="764" t="s">
        <v>861</v>
      </c>
      <c r="B89" s="747" t="s">
        <v>862</v>
      </c>
      <c r="C89" s="792" t="s">
        <v>697</v>
      </c>
      <c r="D89" s="783">
        <v>724</v>
      </c>
      <c r="E89" s="755">
        <v>0</v>
      </c>
      <c r="F89" s="798" t="s">
        <v>863</v>
      </c>
      <c r="G89" s="806" t="s">
        <v>863</v>
      </c>
      <c r="H89" s="768">
        <v>0</v>
      </c>
      <c r="I89" s="760">
        <v>0</v>
      </c>
      <c r="J89" s="761">
        <v>0</v>
      </c>
    </row>
    <row r="90" spans="1:11" ht="27.2" customHeight="1" x14ac:dyDescent="0.25">
      <c r="A90" s="747" t="s">
        <v>864</v>
      </c>
      <c r="B90" s="747" t="s">
        <v>865</v>
      </c>
      <c r="C90" s="792" t="s">
        <v>697</v>
      </c>
      <c r="D90" s="783">
        <v>882.75</v>
      </c>
      <c r="E90" s="755">
        <v>0</v>
      </c>
      <c r="F90" s="798" t="s">
        <v>866</v>
      </c>
      <c r="G90" s="806" t="s">
        <v>867</v>
      </c>
      <c r="H90" s="768">
        <v>0</v>
      </c>
      <c r="I90" s="760">
        <v>0</v>
      </c>
      <c r="J90" s="761">
        <v>0</v>
      </c>
    </row>
    <row r="91" spans="1:11" ht="27.4" customHeight="1" x14ac:dyDescent="0.25">
      <c r="A91" s="747" t="s">
        <v>868</v>
      </c>
      <c r="B91" s="747" t="s">
        <v>869</v>
      </c>
      <c r="C91" s="792" t="s">
        <v>697</v>
      </c>
      <c r="D91" s="783">
        <v>724</v>
      </c>
      <c r="E91" s="755">
        <v>0</v>
      </c>
      <c r="F91" s="798" t="s">
        <v>870</v>
      </c>
      <c r="G91" s="806" t="s">
        <v>870</v>
      </c>
      <c r="H91" s="768">
        <v>0</v>
      </c>
      <c r="I91" s="760">
        <v>0</v>
      </c>
      <c r="J91" s="761">
        <v>0</v>
      </c>
    </row>
    <row r="92" spans="1:11" ht="27.2" customHeight="1" x14ac:dyDescent="0.25">
      <c r="A92" s="747" t="s">
        <v>871</v>
      </c>
      <c r="B92" s="756" t="s">
        <v>872</v>
      </c>
      <c r="C92" s="792" t="s">
        <v>697</v>
      </c>
      <c r="D92" s="783">
        <v>724</v>
      </c>
      <c r="E92" s="755">
        <v>0</v>
      </c>
      <c r="F92" s="798" t="s">
        <v>873</v>
      </c>
      <c r="G92" s="807" t="s">
        <v>873</v>
      </c>
      <c r="H92" s="768">
        <v>0</v>
      </c>
      <c r="I92" s="760">
        <v>0</v>
      </c>
      <c r="J92" s="800">
        <v>0</v>
      </c>
    </row>
    <row r="93" spans="1:11" ht="27.2" customHeight="1" x14ac:dyDescent="0.25">
      <c r="A93" s="747" t="s">
        <v>874</v>
      </c>
      <c r="B93" s="747" t="s">
        <v>875</v>
      </c>
      <c r="C93" s="792" t="s">
        <v>697</v>
      </c>
      <c r="D93" s="783">
        <v>724</v>
      </c>
      <c r="E93" s="755">
        <v>0</v>
      </c>
      <c r="F93" s="798" t="s">
        <v>876</v>
      </c>
      <c r="G93" s="807" t="s">
        <v>876</v>
      </c>
      <c r="H93" s="768">
        <v>0</v>
      </c>
      <c r="I93" s="760">
        <v>0</v>
      </c>
      <c r="J93" s="800">
        <v>0</v>
      </c>
    </row>
    <row r="94" spans="1:11" ht="27.4" customHeight="1" x14ac:dyDescent="0.25">
      <c r="A94" s="747" t="s">
        <v>877</v>
      </c>
      <c r="B94" s="747" t="s">
        <v>878</v>
      </c>
      <c r="C94" s="792" t="s">
        <v>697</v>
      </c>
      <c r="D94" s="783">
        <v>724</v>
      </c>
      <c r="E94" s="755">
        <v>0</v>
      </c>
      <c r="F94" s="798" t="s">
        <v>879</v>
      </c>
      <c r="G94" s="807" t="s">
        <v>879</v>
      </c>
      <c r="H94" s="768">
        <v>0</v>
      </c>
      <c r="I94" s="760">
        <v>0</v>
      </c>
      <c r="J94" s="800">
        <v>0</v>
      </c>
    </row>
    <row r="95" spans="1:11" ht="27.2" customHeight="1" x14ac:dyDescent="0.25">
      <c r="A95" s="747" t="s">
        <v>880</v>
      </c>
      <c r="B95" s="747" t="s">
        <v>881</v>
      </c>
      <c r="C95" s="792" t="s">
        <v>697</v>
      </c>
      <c r="D95" s="783">
        <v>724</v>
      </c>
      <c r="E95" s="755">
        <v>0</v>
      </c>
      <c r="F95" s="798" t="s">
        <v>882</v>
      </c>
      <c r="G95" s="807" t="s">
        <v>882</v>
      </c>
      <c r="H95" s="768">
        <v>0</v>
      </c>
      <c r="I95" s="761">
        <v>0</v>
      </c>
      <c r="J95" s="800">
        <v>0</v>
      </c>
    </row>
    <row r="96" spans="1:11" ht="27.2" customHeight="1" x14ac:dyDescent="0.25">
      <c r="A96" s="747" t="s">
        <v>883</v>
      </c>
      <c r="B96" s="770" t="s">
        <v>884</v>
      </c>
      <c r="C96" s="792" t="s">
        <v>697</v>
      </c>
      <c r="D96" s="783">
        <v>724</v>
      </c>
      <c r="E96" s="755">
        <v>0</v>
      </c>
      <c r="F96" s="798" t="s">
        <v>885</v>
      </c>
      <c r="G96" s="807" t="s">
        <v>885</v>
      </c>
      <c r="H96" s="768">
        <v>0</v>
      </c>
      <c r="I96" s="761">
        <v>0</v>
      </c>
      <c r="J96" s="800">
        <v>0</v>
      </c>
    </row>
    <row r="97" spans="1:11" ht="27.2" customHeight="1" x14ac:dyDescent="0.25">
      <c r="A97" s="747" t="s">
        <v>886</v>
      </c>
      <c r="B97" s="770" t="s">
        <v>887</v>
      </c>
      <c r="C97" s="792" t="s">
        <v>697</v>
      </c>
      <c r="D97" s="783">
        <v>724</v>
      </c>
      <c r="E97" s="755">
        <v>0</v>
      </c>
      <c r="F97" s="798" t="s">
        <v>888</v>
      </c>
      <c r="G97" s="807" t="s">
        <v>888</v>
      </c>
      <c r="H97" s="768">
        <v>0</v>
      </c>
      <c r="I97" s="761">
        <v>0</v>
      </c>
      <c r="J97" s="800">
        <v>0</v>
      </c>
    </row>
    <row r="98" spans="1:11" ht="27.4" customHeight="1" x14ac:dyDescent="0.25">
      <c r="A98" s="747" t="s">
        <v>889</v>
      </c>
      <c r="B98" s="770" t="s">
        <v>890</v>
      </c>
      <c r="C98" s="792" t="s">
        <v>697</v>
      </c>
      <c r="D98" s="768">
        <v>724</v>
      </c>
      <c r="E98" s="755">
        <v>0</v>
      </c>
      <c r="F98" s="798" t="s">
        <v>891</v>
      </c>
      <c r="G98" s="807" t="s">
        <v>891</v>
      </c>
      <c r="H98" s="768">
        <v>0</v>
      </c>
      <c r="I98" s="761">
        <v>0</v>
      </c>
      <c r="J98" s="800">
        <v>0</v>
      </c>
    </row>
    <row r="99" spans="1:11" ht="27.2" customHeight="1" x14ac:dyDescent="0.25">
      <c r="A99" s="747" t="s">
        <v>892</v>
      </c>
      <c r="B99" s="770" t="s">
        <v>893</v>
      </c>
      <c r="C99" s="792" t="s">
        <v>697</v>
      </c>
      <c r="D99" s="768">
        <v>724</v>
      </c>
      <c r="E99" s="755">
        <v>0</v>
      </c>
      <c r="F99" s="798" t="s">
        <v>894</v>
      </c>
      <c r="G99" s="807" t="s">
        <v>894</v>
      </c>
      <c r="H99" s="768">
        <v>0</v>
      </c>
      <c r="I99" s="761">
        <v>0</v>
      </c>
      <c r="J99" s="800">
        <v>0</v>
      </c>
    </row>
    <row r="100" spans="1:11" ht="27.4" customHeight="1" x14ac:dyDescent="0.25">
      <c r="A100" s="747" t="s">
        <v>895</v>
      </c>
      <c r="B100" s="770" t="s">
        <v>896</v>
      </c>
      <c r="C100" s="792" t="s">
        <v>697</v>
      </c>
      <c r="D100" s="768">
        <v>724</v>
      </c>
      <c r="E100" s="755">
        <v>0</v>
      </c>
      <c r="F100" s="798" t="s">
        <v>897</v>
      </c>
      <c r="G100" s="807" t="s">
        <v>897</v>
      </c>
      <c r="H100" s="768">
        <v>0</v>
      </c>
      <c r="I100" s="761">
        <v>0</v>
      </c>
      <c r="J100" s="800">
        <v>0</v>
      </c>
    </row>
    <row r="101" spans="1:11" ht="27" customHeight="1" x14ac:dyDescent="0.25">
      <c r="A101" s="747" t="s">
        <v>898</v>
      </c>
      <c r="B101" s="770" t="s">
        <v>899</v>
      </c>
      <c r="C101" s="792" t="s">
        <v>697</v>
      </c>
      <c r="D101" s="768">
        <v>724</v>
      </c>
      <c r="E101" s="755">
        <v>0</v>
      </c>
      <c r="F101" s="798" t="s">
        <v>900</v>
      </c>
      <c r="G101" s="807" t="s">
        <v>900</v>
      </c>
      <c r="H101" s="768">
        <v>-30.11</v>
      </c>
      <c r="I101" s="761">
        <v>0</v>
      </c>
      <c r="J101" s="800">
        <v>0</v>
      </c>
    </row>
    <row r="102" spans="1:11" ht="27.4" customHeight="1" x14ac:dyDescent="0.25">
      <c r="A102" s="747" t="s">
        <v>901</v>
      </c>
      <c r="B102" s="771" t="s">
        <v>902</v>
      </c>
      <c r="C102" s="792" t="s">
        <v>697</v>
      </c>
      <c r="D102" s="768">
        <v>724</v>
      </c>
      <c r="E102" s="755">
        <v>0</v>
      </c>
      <c r="F102" s="798" t="s">
        <v>834</v>
      </c>
      <c r="G102" s="807" t="s">
        <v>834</v>
      </c>
      <c r="H102" s="768">
        <v>0</v>
      </c>
      <c r="I102" s="761">
        <v>0</v>
      </c>
      <c r="J102" s="800">
        <v>0</v>
      </c>
    </row>
    <row r="103" spans="1:11" ht="27.4" customHeight="1" x14ac:dyDescent="0.25">
      <c r="A103" s="747" t="s">
        <v>903</v>
      </c>
      <c r="B103" s="770" t="s">
        <v>904</v>
      </c>
      <c r="C103" s="792" t="s">
        <v>697</v>
      </c>
      <c r="D103" s="768">
        <v>724</v>
      </c>
      <c r="E103" s="768">
        <v>0</v>
      </c>
      <c r="F103" s="798" t="s">
        <v>905</v>
      </c>
      <c r="G103" s="807" t="s">
        <v>905</v>
      </c>
      <c r="H103" s="768">
        <v>0</v>
      </c>
      <c r="I103" s="761">
        <v>0</v>
      </c>
      <c r="J103" s="800">
        <v>0</v>
      </c>
    </row>
    <row r="104" spans="1:11" ht="27" customHeight="1" x14ac:dyDescent="0.25">
      <c r="A104" s="764" t="s">
        <v>906</v>
      </c>
      <c r="B104" s="770" t="s">
        <v>907</v>
      </c>
      <c r="C104" s="792" t="s">
        <v>697</v>
      </c>
      <c r="D104" s="768">
        <v>724</v>
      </c>
      <c r="E104" s="768">
        <v>0</v>
      </c>
      <c r="F104" s="798" t="s">
        <v>908</v>
      </c>
      <c r="G104" s="807" t="s">
        <v>908</v>
      </c>
      <c r="H104" s="768">
        <v>-61.7</v>
      </c>
      <c r="I104" s="761">
        <v>0</v>
      </c>
      <c r="J104" s="800">
        <v>0</v>
      </c>
    </row>
    <row r="105" spans="1:11" ht="27.4" customHeight="1" x14ac:dyDescent="0.25">
      <c r="A105" s="764" t="s">
        <v>909</v>
      </c>
      <c r="B105" s="771" t="s">
        <v>910</v>
      </c>
      <c r="C105" s="792" t="s">
        <v>697</v>
      </c>
      <c r="D105" s="768">
        <v>724</v>
      </c>
      <c r="E105" s="768">
        <v>0</v>
      </c>
      <c r="F105" s="798" t="s">
        <v>911</v>
      </c>
      <c r="G105" s="807" t="s">
        <v>911</v>
      </c>
      <c r="H105" s="768">
        <v>0</v>
      </c>
      <c r="I105" s="761">
        <v>0</v>
      </c>
      <c r="J105" s="800">
        <v>0</v>
      </c>
    </row>
    <row r="106" spans="1:11" ht="27.2" customHeight="1" x14ac:dyDescent="0.25">
      <c r="A106" s="764" t="s">
        <v>912</v>
      </c>
      <c r="B106" s="770" t="s">
        <v>913</v>
      </c>
      <c r="C106" s="792" t="s">
        <v>697</v>
      </c>
      <c r="D106" s="768">
        <v>724</v>
      </c>
      <c r="E106" s="768">
        <v>0</v>
      </c>
      <c r="F106" s="798" t="s">
        <v>914</v>
      </c>
      <c r="G106" s="807" t="s">
        <v>914</v>
      </c>
      <c r="H106" s="768">
        <v>0</v>
      </c>
      <c r="I106" s="761">
        <v>0</v>
      </c>
      <c r="J106" s="761">
        <v>0</v>
      </c>
    </row>
    <row r="107" spans="1:11" ht="18.399999999999999" customHeight="1" x14ac:dyDescent="0.25">
      <c r="A107" s="764" t="s">
        <v>915</v>
      </c>
      <c r="B107" s="770" t="s">
        <v>916</v>
      </c>
      <c r="C107" s="793" t="s">
        <v>697</v>
      </c>
      <c r="D107" s="766">
        <v>724</v>
      </c>
      <c r="E107" s="766">
        <v>0</v>
      </c>
      <c r="F107" s="774" t="s">
        <v>917</v>
      </c>
      <c r="G107" s="807" t="s">
        <v>917</v>
      </c>
      <c r="H107" s="768">
        <v>0</v>
      </c>
      <c r="I107" s="761">
        <v>0</v>
      </c>
      <c r="J107" s="761">
        <v>0</v>
      </c>
    </row>
    <row r="111" spans="1:11" ht="13.35" customHeight="1" x14ac:dyDescent="0.25">
      <c r="A111" s="743" t="s">
        <v>672</v>
      </c>
      <c r="B111" s="744"/>
      <c r="C111" s="744"/>
      <c r="D111" s="744"/>
      <c r="E111" s="744"/>
      <c r="F111" s="744"/>
      <c r="G111" s="744"/>
      <c r="H111" s="744"/>
      <c r="I111" s="744"/>
      <c r="J111" s="744"/>
      <c r="K111" s="744"/>
    </row>
    <row r="112" spans="1:11" ht="29.25" customHeight="1" x14ac:dyDescent="0.25">
      <c r="A112" s="746" t="s">
        <v>752</v>
      </c>
      <c r="B112" s="777" t="s">
        <v>753</v>
      </c>
      <c r="C112" s="778" t="s">
        <v>680</v>
      </c>
      <c r="D112" s="751" t="s">
        <v>681</v>
      </c>
      <c r="E112" s="779" t="s">
        <v>800</v>
      </c>
      <c r="F112" s="780" t="s">
        <v>801</v>
      </c>
      <c r="G112" s="750" t="s">
        <v>852</v>
      </c>
      <c r="H112" s="749" t="s">
        <v>686</v>
      </c>
      <c r="I112" s="749" t="s">
        <v>687</v>
      </c>
      <c r="J112" s="750" t="s">
        <v>688</v>
      </c>
      <c r="K112" s="750" t="s">
        <v>689</v>
      </c>
    </row>
    <row r="113" spans="1:11" ht="15.75" customHeight="1" x14ac:dyDescent="0.25">
      <c r="A113" s="744"/>
      <c r="B113" s="744"/>
      <c r="C113" s="744"/>
      <c r="D113" s="744"/>
      <c r="E113" s="744"/>
      <c r="F113" s="744"/>
      <c r="G113" s="782">
        <v>2004</v>
      </c>
      <c r="H113" s="808">
        <v>2004</v>
      </c>
      <c r="I113" s="744"/>
      <c r="J113" s="744"/>
      <c r="K113" s="744"/>
    </row>
    <row r="114" spans="1:11" ht="27.4" customHeight="1" x14ac:dyDescent="0.25">
      <c r="A114" s="782">
        <v>89</v>
      </c>
      <c r="B114" s="764" t="s">
        <v>754</v>
      </c>
      <c r="C114" s="771" t="s">
        <v>918</v>
      </c>
      <c r="D114" s="771" t="s">
        <v>697</v>
      </c>
      <c r="E114" s="783">
        <v>724</v>
      </c>
      <c r="F114" s="757">
        <v>0</v>
      </c>
      <c r="G114" s="772" t="s">
        <v>919</v>
      </c>
      <c r="H114" s="759" t="s">
        <v>919</v>
      </c>
      <c r="I114" s="757">
        <v>0</v>
      </c>
      <c r="J114" s="760">
        <v>0</v>
      </c>
      <c r="K114" s="761">
        <v>0</v>
      </c>
    </row>
    <row r="115" spans="1:11" ht="27.2" customHeight="1" x14ac:dyDescent="0.25">
      <c r="A115" s="782">
        <v>90</v>
      </c>
      <c r="B115" s="764" t="s">
        <v>754</v>
      </c>
      <c r="C115" s="771" t="s">
        <v>920</v>
      </c>
      <c r="D115" s="792" t="s">
        <v>697</v>
      </c>
      <c r="E115" s="783">
        <v>724</v>
      </c>
      <c r="F115" s="757">
        <v>0</v>
      </c>
      <c r="G115" s="772" t="s">
        <v>921</v>
      </c>
      <c r="H115" s="759" t="s">
        <v>921</v>
      </c>
      <c r="I115" s="757">
        <v>0</v>
      </c>
      <c r="J115" s="760">
        <v>0</v>
      </c>
      <c r="K115" s="761">
        <v>0</v>
      </c>
    </row>
    <row r="116" spans="1:11" ht="27.2" customHeight="1" x14ac:dyDescent="0.25">
      <c r="A116" s="782">
        <v>91</v>
      </c>
      <c r="B116" s="764" t="s">
        <v>764</v>
      </c>
      <c r="C116" s="771" t="s">
        <v>922</v>
      </c>
      <c r="D116" s="792" t="s">
        <v>697</v>
      </c>
      <c r="E116" s="783">
        <v>724</v>
      </c>
      <c r="F116" s="757">
        <v>0</v>
      </c>
      <c r="G116" s="772" t="s">
        <v>923</v>
      </c>
      <c r="H116" s="759" t="s">
        <v>923</v>
      </c>
      <c r="I116" s="757">
        <v>0</v>
      </c>
      <c r="J116" s="760">
        <v>0</v>
      </c>
      <c r="K116" s="761">
        <v>0</v>
      </c>
    </row>
    <row r="117" spans="1:11" ht="27.4" customHeight="1" x14ac:dyDescent="0.25">
      <c r="A117" s="782">
        <v>92</v>
      </c>
      <c r="B117" s="764" t="s">
        <v>754</v>
      </c>
      <c r="C117" s="771" t="s">
        <v>924</v>
      </c>
      <c r="D117" s="792" t="s">
        <v>697</v>
      </c>
      <c r="E117" s="783">
        <v>724</v>
      </c>
      <c r="F117" s="757">
        <v>0</v>
      </c>
      <c r="G117" s="772" t="s">
        <v>925</v>
      </c>
      <c r="H117" s="759" t="s">
        <v>925</v>
      </c>
      <c r="I117" s="757">
        <v>0</v>
      </c>
      <c r="J117" s="760">
        <v>0</v>
      </c>
      <c r="K117" s="761">
        <v>0</v>
      </c>
    </row>
    <row r="118" spans="1:11" ht="27.2" customHeight="1" x14ac:dyDescent="0.25">
      <c r="A118" s="782">
        <v>93</v>
      </c>
      <c r="B118" s="764" t="s">
        <v>754</v>
      </c>
      <c r="C118" s="771" t="s">
        <v>926</v>
      </c>
      <c r="D118" s="792" t="s">
        <v>697</v>
      </c>
      <c r="E118" s="783">
        <v>802.5</v>
      </c>
      <c r="F118" s="757">
        <v>0</v>
      </c>
      <c r="G118" s="772" t="s">
        <v>927</v>
      </c>
      <c r="H118" s="759" t="s">
        <v>927</v>
      </c>
      <c r="I118" s="757">
        <v>0</v>
      </c>
      <c r="J118" s="760">
        <v>0</v>
      </c>
      <c r="K118" s="761">
        <v>0</v>
      </c>
    </row>
    <row r="119" spans="1:11" ht="27.6" customHeight="1" x14ac:dyDescent="0.25">
      <c r="A119" s="782">
        <v>94</v>
      </c>
      <c r="B119" s="764" t="s">
        <v>754</v>
      </c>
      <c r="C119" s="771" t="s">
        <v>928</v>
      </c>
      <c r="D119" s="792" t="s">
        <v>697</v>
      </c>
      <c r="E119" s="783">
        <v>724</v>
      </c>
      <c r="F119" s="757">
        <v>0</v>
      </c>
      <c r="G119" s="772" t="s">
        <v>929</v>
      </c>
      <c r="H119" s="759" t="s">
        <v>929</v>
      </c>
      <c r="I119" s="757">
        <v>0</v>
      </c>
      <c r="J119" s="760">
        <v>0</v>
      </c>
      <c r="K119" s="761">
        <v>0</v>
      </c>
    </row>
    <row r="120" spans="1:11" ht="27.2" customHeight="1" x14ac:dyDescent="0.25">
      <c r="A120" s="782">
        <v>95</v>
      </c>
      <c r="B120" s="764" t="s">
        <v>754</v>
      </c>
      <c r="C120" s="771" t="s">
        <v>930</v>
      </c>
      <c r="D120" s="792" t="s">
        <v>697</v>
      </c>
      <c r="E120" s="783">
        <v>724</v>
      </c>
      <c r="F120" s="768">
        <v>0</v>
      </c>
      <c r="G120" s="772" t="s">
        <v>931</v>
      </c>
      <c r="H120" s="759" t="s">
        <v>931</v>
      </c>
      <c r="I120" s="768">
        <v>0</v>
      </c>
      <c r="J120" s="761">
        <v>0</v>
      </c>
      <c r="K120" s="761">
        <v>0</v>
      </c>
    </row>
    <row r="121" spans="1:11" ht="27.2" customHeight="1" x14ac:dyDescent="0.25">
      <c r="A121" s="782">
        <v>96</v>
      </c>
      <c r="B121" s="764" t="s">
        <v>754</v>
      </c>
      <c r="C121" s="771" t="s">
        <v>932</v>
      </c>
      <c r="D121" s="792" t="s">
        <v>697</v>
      </c>
      <c r="E121" s="783">
        <v>524</v>
      </c>
      <c r="F121" s="768">
        <v>0</v>
      </c>
      <c r="G121" s="772" t="s">
        <v>933</v>
      </c>
      <c r="H121" s="759" t="s">
        <v>933</v>
      </c>
      <c r="I121" s="768">
        <v>0</v>
      </c>
      <c r="J121" s="761">
        <v>0</v>
      </c>
      <c r="K121" s="761">
        <v>0</v>
      </c>
    </row>
    <row r="122" spans="1:11" ht="27.6" customHeight="1" x14ac:dyDescent="0.25">
      <c r="A122" s="782">
        <v>97</v>
      </c>
      <c r="B122" s="764" t="s">
        <v>754</v>
      </c>
      <c r="C122" s="771" t="s">
        <v>934</v>
      </c>
      <c r="D122" s="792" t="s">
        <v>697</v>
      </c>
      <c r="E122" s="783">
        <v>724</v>
      </c>
      <c r="F122" s="768">
        <v>0</v>
      </c>
      <c r="G122" s="772" t="s">
        <v>935</v>
      </c>
      <c r="H122" s="759" t="s">
        <v>935</v>
      </c>
      <c r="I122" s="768">
        <v>0</v>
      </c>
      <c r="J122" s="761">
        <v>0</v>
      </c>
      <c r="K122" s="761">
        <v>0</v>
      </c>
    </row>
    <row r="123" spans="1:11" ht="27.2" customHeight="1" x14ac:dyDescent="0.25">
      <c r="A123" s="782">
        <v>98</v>
      </c>
      <c r="B123" s="764" t="s">
        <v>764</v>
      </c>
      <c r="C123" s="771" t="s">
        <v>936</v>
      </c>
      <c r="D123" s="792" t="s">
        <v>697</v>
      </c>
      <c r="E123" s="783">
        <v>825</v>
      </c>
      <c r="F123" s="768">
        <v>0</v>
      </c>
      <c r="G123" s="772" t="s">
        <v>937</v>
      </c>
      <c r="H123" s="759" t="s">
        <v>937</v>
      </c>
      <c r="I123" s="768">
        <v>0</v>
      </c>
      <c r="J123" s="761">
        <v>0</v>
      </c>
      <c r="K123" s="761">
        <v>0</v>
      </c>
    </row>
    <row r="124" spans="1:11" ht="27.2" customHeight="1" x14ac:dyDescent="0.25">
      <c r="A124" s="782">
        <v>99</v>
      </c>
      <c r="B124" s="764" t="s">
        <v>754</v>
      </c>
      <c r="C124" s="771" t="s">
        <v>938</v>
      </c>
      <c r="D124" s="792" t="s">
        <v>697</v>
      </c>
      <c r="E124" s="783">
        <v>724</v>
      </c>
      <c r="F124" s="768">
        <v>0</v>
      </c>
      <c r="G124" s="772" t="s">
        <v>939</v>
      </c>
      <c r="H124" s="759" t="s">
        <v>939</v>
      </c>
      <c r="I124" s="768">
        <v>0</v>
      </c>
      <c r="J124" s="761">
        <v>0</v>
      </c>
      <c r="K124" s="761">
        <v>0</v>
      </c>
    </row>
    <row r="125" spans="1:11" ht="27.6" customHeight="1" x14ac:dyDescent="0.25">
      <c r="A125" s="782">
        <v>100</v>
      </c>
      <c r="B125" s="809" t="s">
        <v>754</v>
      </c>
      <c r="C125" s="771" t="s">
        <v>940</v>
      </c>
      <c r="D125" s="792" t="s">
        <v>697</v>
      </c>
      <c r="E125" s="783">
        <v>724</v>
      </c>
      <c r="F125" s="768">
        <v>0</v>
      </c>
      <c r="G125" s="772" t="s">
        <v>941</v>
      </c>
      <c r="H125" s="772" t="s">
        <v>941</v>
      </c>
      <c r="I125" s="768">
        <v>0</v>
      </c>
      <c r="J125" s="761">
        <v>0</v>
      </c>
      <c r="K125" s="761">
        <v>0</v>
      </c>
    </row>
    <row r="126" spans="1:11" ht="26.85" customHeight="1" x14ac:dyDescent="0.25">
      <c r="A126" s="782">
        <v>101</v>
      </c>
      <c r="B126" s="764" t="s">
        <v>754</v>
      </c>
      <c r="C126" s="771" t="s">
        <v>942</v>
      </c>
      <c r="D126" s="792" t="s">
        <v>697</v>
      </c>
      <c r="E126" s="783">
        <v>724</v>
      </c>
      <c r="F126" s="768">
        <v>0</v>
      </c>
      <c r="G126" s="772" t="s">
        <v>943</v>
      </c>
      <c r="H126" s="772" t="s">
        <v>943</v>
      </c>
      <c r="I126" s="768">
        <v>0</v>
      </c>
      <c r="J126" s="761">
        <v>0</v>
      </c>
      <c r="K126" s="761">
        <v>0</v>
      </c>
    </row>
    <row r="127" spans="1:11" ht="27.4" customHeight="1" x14ac:dyDescent="0.25">
      <c r="A127" s="782">
        <v>102</v>
      </c>
      <c r="B127" s="764" t="s">
        <v>754</v>
      </c>
      <c r="C127" s="771" t="s">
        <v>944</v>
      </c>
      <c r="D127" s="792" t="s">
        <v>697</v>
      </c>
      <c r="E127" s="783">
        <v>724</v>
      </c>
      <c r="F127" s="768">
        <v>0</v>
      </c>
      <c r="G127" s="772" t="s">
        <v>794</v>
      </c>
      <c r="H127" s="772" t="s">
        <v>794</v>
      </c>
      <c r="I127" s="768">
        <v>-0.08</v>
      </c>
      <c r="J127" s="761">
        <v>0</v>
      </c>
      <c r="K127" s="761">
        <v>0</v>
      </c>
    </row>
    <row r="128" spans="1:11" ht="27.2" customHeight="1" x14ac:dyDescent="0.25">
      <c r="A128" s="782">
        <v>103</v>
      </c>
      <c r="B128" s="764" t="s">
        <v>754</v>
      </c>
      <c r="C128" s="771" t="s">
        <v>945</v>
      </c>
      <c r="D128" s="791" t="s">
        <v>775</v>
      </c>
      <c r="E128" s="768">
        <v>724</v>
      </c>
      <c r="F128" s="768">
        <v>0</v>
      </c>
      <c r="G128" s="772" t="s">
        <v>946</v>
      </c>
      <c r="H128" s="772" t="s">
        <v>946</v>
      </c>
      <c r="I128" s="790">
        <v>9886.0400000000009</v>
      </c>
      <c r="J128" s="761">
        <v>0</v>
      </c>
      <c r="K128" s="761">
        <v>0</v>
      </c>
    </row>
    <row r="129" spans="1:14" ht="27.4" customHeight="1" x14ac:dyDescent="0.25">
      <c r="A129" s="782">
        <v>104</v>
      </c>
      <c r="B129" s="764" t="s">
        <v>754</v>
      </c>
      <c r="C129" s="771" t="s">
        <v>947</v>
      </c>
      <c r="D129" s="791" t="s">
        <v>697</v>
      </c>
      <c r="E129" s="768">
        <v>724</v>
      </c>
      <c r="F129" s="768">
        <v>0</v>
      </c>
      <c r="G129" s="772" t="s">
        <v>948</v>
      </c>
      <c r="H129" s="772" t="s">
        <v>948</v>
      </c>
      <c r="I129" s="768">
        <v>0</v>
      </c>
      <c r="J129" s="761">
        <v>0</v>
      </c>
      <c r="K129" s="761">
        <v>0</v>
      </c>
    </row>
    <row r="130" spans="1:14" ht="27.2" customHeight="1" x14ac:dyDescent="0.25">
      <c r="A130" s="782">
        <v>105</v>
      </c>
      <c r="B130" s="764" t="s">
        <v>754</v>
      </c>
      <c r="C130" s="771" t="s">
        <v>949</v>
      </c>
      <c r="D130" s="791" t="s">
        <v>697</v>
      </c>
      <c r="E130" s="768">
        <v>724</v>
      </c>
      <c r="F130" s="768">
        <v>0</v>
      </c>
      <c r="G130" s="772" t="s">
        <v>950</v>
      </c>
      <c r="H130" s="772" t="s">
        <v>950</v>
      </c>
      <c r="I130" s="768">
        <v>0</v>
      </c>
      <c r="J130" s="761">
        <v>0</v>
      </c>
      <c r="K130" s="761">
        <v>0</v>
      </c>
    </row>
    <row r="131" spans="1:14" ht="27.2" customHeight="1" x14ac:dyDescent="0.25">
      <c r="A131" s="782">
        <v>106</v>
      </c>
      <c r="B131" s="764" t="s">
        <v>754</v>
      </c>
      <c r="C131" s="771" t="s">
        <v>951</v>
      </c>
      <c r="D131" s="791" t="s">
        <v>697</v>
      </c>
      <c r="E131" s="768">
        <v>724</v>
      </c>
      <c r="F131" s="768">
        <v>0</v>
      </c>
      <c r="G131" s="798" t="s">
        <v>952</v>
      </c>
      <c r="H131" s="772" t="s">
        <v>952</v>
      </c>
      <c r="I131" s="768">
        <v>0</v>
      </c>
      <c r="J131" s="761">
        <v>0</v>
      </c>
      <c r="K131" s="761">
        <v>0</v>
      </c>
    </row>
    <row r="132" spans="1:14" ht="27.2" customHeight="1" x14ac:dyDescent="0.25">
      <c r="A132" s="782">
        <v>107</v>
      </c>
      <c r="B132" s="809" t="s">
        <v>953</v>
      </c>
      <c r="C132" s="771" t="s">
        <v>954</v>
      </c>
      <c r="D132" s="791" t="s">
        <v>697</v>
      </c>
      <c r="E132" s="768">
        <v>724</v>
      </c>
      <c r="F132" s="768">
        <v>0</v>
      </c>
      <c r="G132" s="798" t="s">
        <v>955</v>
      </c>
      <c r="H132" s="772" t="s">
        <v>955</v>
      </c>
      <c r="I132" s="768">
        <v>0</v>
      </c>
      <c r="J132" s="761">
        <v>0</v>
      </c>
      <c r="K132" s="761">
        <v>0</v>
      </c>
    </row>
    <row r="133" spans="1:14" ht="25.15" customHeight="1" x14ac:dyDescent="0.25">
      <c r="A133" s="782">
        <v>108</v>
      </c>
      <c r="B133" s="764" t="s">
        <v>754</v>
      </c>
      <c r="C133" s="770" t="s">
        <v>956</v>
      </c>
      <c r="D133" s="801" t="s">
        <v>697</v>
      </c>
      <c r="E133" s="768">
        <v>724</v>
      </c>
      <c r="F133" s="768">
        <v>0</v>
      </c>
      <c r="G133" s="798" t="s">
        <v>957</v>
      </c>
      <c r="H133" s="772" t="s">
        <v>957</v>
      </c>
      <c r="I133" s="768">
        <v>0</v>
      </c>
      <c r="J133" s="761">
        <v>0</v>
      </c>
      <c r="K133" s="761">
        <v>0</v>
      </c>
    </row>
    <row r="135" spans="1:14" ht="15" customHeight="1" x14ac:dyDescent="0.25">
      <c r="A135" s="810" t="s">
        <v>958</v>
      </c>
      <c r="B135" s="744"/>
      <c r="C135" s="744"/>
      <c r="D135" s="744"/>
      <c r="E135" s="744"/>
      <c r="F135" s="744"/>
      <c r="G135" s="744"/>
      <c r="H135" s="744"/>
      <c r="I135" s="744"/>
      <c r="J135" s="744"/>
      <c r="K135" s="744"/>
      <c r="L135" s="744"/>
      <c r="M135" s="744"/>
      <c r="N135" s="744"/>
    </row>
    <row r="136" spans="1:14" ht="30" customHeight="1" x14ac:dyDescent="0.25">
      <c r="A136" s="746" t="s">
        <v>752</v>
      </c>
      <c r="B136" s="777" t="s">
        <v>753</v>
      </c>
      <c r="C136" s="778" t="s">
        <v>680</v>
      </c>
      <c r="D136" s="811" t="s">
        <v>959</v>
      </c>
      <c r="E136" s="794" t="s">
        <v>960</v>
      </c>
      <c r="F136" s="777" t="s">
        <v>961</v>
      </c>
      <c r="G136" s="780" t="s">
        <v>800</v>
      </c>
      <c r="H136" s="780" t="s">
        <v>801</v>
      </c>
      <c r="I136" s="750" t="s">
        <v>684</v>
      </c>
      <c r="J136" s="752" t="s">
        <v>685</v>
      </c>
      <c r="K136" s="749" t="s">
        <v>962</v>
      </c>
      <c r="L136" s="749" t="s">
        <v>687</v>
      </c>
      <c r="M136" s="753" t="s">
        <v>688</v>
      </c>
      <c r="N136" s="753" t="s">
        <v>689</v>
      </c>
    </row>
    <row r="137" spans="1:14" ht="25.7" customHeight="1" x14ac:dyDescent="0.25">
      <c r="A137" s="782">
        <v>109</v>
      </c>
      <c r="B137" s="764" t="s">
        <v>754</v>
      </c>
      <c r="C137" s="771" t="s">
        <v>963</v>
      </c>
      <c r="D137" s="812" t="s">
        <v>697</v>
      </c>
      <c r="E137" s="744"/>
      <c r="F137" s="744"/>
      <c r="G137" s="757">
        <v>724</v>
      </c>
      <c r="H137" s="755">
        <v>0</v>
      </c>
      <c r="I137" s="809" t="s">
        <v>964</v>
      </c>
      <c r="J137" s="744"/>
      <c r="K137" s="759" t="s">
        <v>964</v>
      </c>
      <c r="L137" s="757">
        <v>0</v>
      </c>
      <c r="M137" s="761">
        <v>0</v>
      </c>
      <c r="N137" s="760">
        <v>0</v>
      </c>
    </row>
    <row r="138" spans="1:14" ht="27.4" customHeight="1" x14ac:dyDescent="0.25">
      <c r="A138" s="782">
        <v>110</v>
      </c>
      <c r="B138" s="809" t="s">
        <v>754</v>
      </c>
      <c r="C138" s="771" t="s">
        <v>965</v>
      </c>
      <c r="D138" s="812" t="s">
        <v>697</v>
      </c>
      <c r="E138" s="744"/>
      <c r="F138" s="744"/>
      <c r="G138" s="757">
        <v>802.5</v>
      </c>
      <c r="H138" s="755">
        <v>0</v>
      </c>
      <c r="I138" s="809" t="s">
        <v>966</v>
      </c>
      <c r="J138" s="744"/>
      <c r="K138" s="759" t="s">
        <v>966</v>
      </c>
      <c r="L138" s="768">
        <v>0</v>
      </c>
      <c r="M138" s="761">
        <v>0</v>
      </c>
      <c r="N138" s="760">
        <v>0</v>
      </c>
    </row>
    <row r="139" spans="1:14" ht="27.2" customHeight="1" x14ac:dyDescent="0.25">
      <c r="A139" s="782">
        <v>111</v>
      </c>
      <c r="B139" s="813" t="s">
        <v>967</v>
      </c>
      <c r="C139" s="771" t="s">
        <v>968</v>
      </c>
      <c r="D139" s="812" t="s">
        <v>697</v>
      </c>
      <c r="E139" s="744"/>
      <c r="F139" s="744"/>
      <c r="G139" s="757">
        <v>724</v>
      </c>
      <c r="H139" s="755">
        <v>0</v>
      </c>
      <c r="I139" s="809" t="s">
        <v>969</v>
      </c>
      <c r="J139" s="744"/>
      <c r="K139" s="759" t="s">
        <v>969</v>
      </c>
      <c r="L139" s="768">
        <v>0</v>
      </c>
      <c r="M139" s="761">
        <v>0</v>
      </c>
      <c r="N139" s="761">
        <v>0</v>
      </c>
    </row>
    <row r="140" spans="1:14" ht="27.4" customHeight="1" x14ac:dyDescent="0.25">
      <c r="A140" s="782">
        <v>112</v>
      </c>
      <c r="B140" s="764" t="s">
        <v>754</v>
      </c>
      <c r="C140" s="771" t="s">
        <v>970</v>
      </c>
      <c r="D140" s="812" t="s">
        <v>697</v>
      </c>
      <c r="E140" s="744"/>
      <c r="F140" s="744"/>
      <c r="G140" s="757">
        <v>724</v>
      </c>
      <c r="H140" s="755">
        <v>0</v>
      </c>
      <c r="I140" s="809" t="s">
        <v>971</v>
      </c>
      <c r="J140" s="744"/>
      <c r="K140" s="759" t="s">
        <v>971</v>
      </c>
      <c r="L140" s="768">
        <v>0</v>
      </c>
      <c r="M140" s="761">
        <v>0</v>
      </c>
      <c r="N140" s="761">
        <v>0</v>
      </c>
    </row>
    <row r="141" spans="1:14" ht="15.75" customHeight="1" x14ac:dyDescent="0.25">
      <c r="A141" s="802">
        <v>113</v>
      </c>
      <c r="B141" s="809" t="s">
        <v>754</v>
      </c>
      <c r="C141" s="770" t="s">
        <v>972</v>
      </c>
      <c r="D141" s="748" t="s">
        <v>697</v>
      </c>
      <c r="E141" s="744"/>
      <c r="F141" s="744"/>
      <c r="G141" s="762">
        <v>825</v>
      </c>
      <c r="H141" s="763">
        <v>0</v>
      </c>
      <c r="I141" s="764" t="s">
        <v>973</v>
      </c>
      <c r="J141" s="814" t="s">
        <v>974</v>
      </c>
      <c r="K141" s="765" t="s">
        <v>975</v>
      </c>
      <c r="L141" s="766">
        <v>0</v>
      </c>
      <c r="M141" s="761">
        <v>0</v>
      </c>
      <c r="N141" s="776">
        <v>0</v>
      </c>
    </row>
    <row r="142" spans="1:14" ht="12.95" customHeight="1" x14ac:dyDescent="0.25">
      <c r="A142" s="744"/>
      <c r="B142" s="744"/>
      <c r="C142" s="770" t="s">
        <v>976</v>
      </c>
      <c r="D142" s="744"/>
      <c r="E142" s="744"/>
      <c r="F142" s="744"/>
      <c r="G142" s="744"/>
      <c r="H142" s="744"/>
      <c r="I142" s="760">
        <v>2024</v>
      </c>
      <c r="J142" s="815">
        <v>2025</v>
      </c>
      <c r="K142" s="767">
        <v>2024</v>
      </c>
      <c r="L142" s="744"/>
      <c r="M142" s="744"/>
      <c r="N142" s="744"/>
    </row>
    <row r="143" spans="1:14" ht="25.7" customHeight="1" x14ac:dyDescent="0.25">
      <c r="A143" s="782">
        <v>114</v>
      </c>
      <c r="B143" s="809" t="s">
        <v>754</v>
      </c>
      <c r="C143" s="771" t="s">
        <v>977</v>
      </c>
      <c r="D143" s="812" t="s">
        <v>697</v>
      </c>
      <c r="E143" s="744"/>
      <c r="F143" s="744"/>
      <c r="G143" s="757">
        <v>724</v>
      </c>
      <c r="H143" s="755">
        <v>0</v>
      </c>
      <c r="I143" s="809" t="s">
        <v>978</v>
      </c>
      <c r="J143" s="744"/>
      <c r="K143" s="759" t="s">
        <v>978</v>
      </c>
      <c r="L143" s="790">
        <v>-5938.91</v>
      </c>
      <c r="M143" s="761">
        <v>0</v>
      </c>
      <c r="N143" s="761">
        <v>0</v>
      </c>
    </row>
    <row r="144" spans="1:14" ht="27.4" customHeight="1" x14ac:dyDescent="0.25">
      <c r="A144" s="782">
        <v>115</v>
      </c>
      <c r="B144" s="764" t="s">
        <v>754</v>
      </c>
      <c r="C144" s="771" t="s">
        <v>979</v>
      </c>
      <c r="D144" s="812" t="s">
        <v>697</v>
      </c>
      <c r="E144" s="744"/>
      <c r="F144" s="744"/>
      <c r="G144" s="757">
        <v>724</v>
      </c>
      <c r="H144" s="755">
        <v>0</v>
      </c>
      <c r="I144" s="809" t="s">
        <v>980</v>
      </c>
      <c r="J144" s="744"/>
      <c r="K144" s="759" t="s">
        <v>980</v>
      </c>
      <c r="L144" s="768">
        <v>0</v>
      </c>
      <c r="M144" s="761">
        <v>0</v>
      </c>
      <c r="N144" s="761">
        <v>0</v>
      </c>
    </row>
    <row r="145" spans="1:14" ht="27.2" customHeight="1" x14ac:dyDescent="0.25">
      <c r="A145" s="782">
        <v>116</v>
      </c>
      <c r="B145" s="764" t="s">
        <v>754</v>
      </c>
      <c r="C145" s="771" t="s">
        <v>981</v>
      </c>
      <c r="D145" s="812" t="s">
        <v>697</v>
      </c>
      <c r="E145" s="744"/>
      <c r="F145" s="744"/>
      <c r="G145" s="757">
        <v>825</v>
      </c>
      <c r="H145" s="755">
        <v>0</v>
      </c>
      <c r="I145" s="809" t="s">
        <v>982</v>
      </c>
      <c r="J145" s="744"/>
      <c r="K145" s="759" t="s">
        <v>699</v>
      </c>
      <c r="L145" s="768">
        <v>0</v>
      </c>
      <c r="M145" s="761">
        <v>0</v>
      </c>
      <c r="N145" s="761">
        <v>0</v>
      </c>
    </row>
    <row r="146" spans="1:14" ht="27.2" customHeight="1" x14ac:dyDescent="0.25">
      <c r="A146" s="782">
        <v>117</v>
      </c>
      <c r="B146" s="764" t="s">
        <v>754</v>
      </c>
      <c r="C146" s="771" t="s">
        <v>983</v>
      </c>
      <c r="D146" s="812" t="s">
        <v>697</v>
      </c>
      <c r="E146" s="744"/>
      <c r="F146" s="744"/>
      <c r="G146" s="784">
        <v>1000</v>
      </c>
      <c r="H146" s="755">
        <v>0</v>
      </c>
      <c r="I146" s="809" t="s">
        <v>984</v>
      </c>
      <c r="J146" s="744"/>
      <c r="K146" s="759" t="s">
        <v>984</v>
      </c>
      <c r="L146" s="768">
        <v>0</v>
      </c>
      <c r="M146" s="761">
        <v>0</v>
      </c>
      <c r="N146" s="761">
        <v>0</v>
      </c>
    </row>
    <row r="147" spans="1:14" ht="27.4" customHeight="1" x14ac:dyDescent="0.25">
      <c r="A147" s="782">
        <v>118</v>
      </c>
      <c r="B147" s="764" t="s">
        <v>754</v>
      </c>
      <c r="C147" s="771" t="s">
        <v>985</v>
      </c>
      <c r="D147" s="812" t="s">
        <v>697</v>
      </c>
      <c r="E147" s="744"/>
      <c r="F147" s="744"/>
      <c r="G147" s="757">
        <v>0</v>
      </c>
      <c r="H147" s="755">
        <v>0</v>
      </c>
      <c r="I147" s="809" t="s">
        <v>986</v>
      </c>
      <c r="J147" s="744"/>
      <c r="K147" s="759" t="s">
        <v>986</v>
      </c>
      <c r="L147" s="768">
        <v>0</v>
      </c>
      <c r="M147" s="761">
        <v>0</v>
      </c>
      <c r="N147" s="761">
        <v>0</v>
      </c>
    </row>
    <row r="148" spans="1:14" ht="26.85" customHeight="1" x14ac:dyDescent="0.25">
      <c r="A148" s="782">
        <v>119</v>
      </c>
      <c r="B148" s="764" t="s">
        <v>754</v>
      </c>
      <c r="C148" s="771" t="s">
        <v>987</v>
      </c>
      <c r="D148" s="812" t="s">
        <v>697</v>
      </c>
      <c r="E148" s="744"/>
      <c r="F148" s="744"/>
      <c r="G148" s="757">
        <v>724</v>
      </c>
      <c r="H148" s="755">
        <v>0</v>
      </c>
      <c r="I148" s="809" t="s">
        <v>988</v>
      </c>
      <c r="J148" s="744"/>
      <c r="K148" s="759" t="s">
        <v>988</v>
      </c>
      <c r="L148" s="768">
        <v>0</v>
      </c>
      <c r="M148" s="761">
        <v>0</v>
      </c>
      <c r="N148" s="761">
        <v>0</v>
      </c>
    </row>
    <row r="149" spans="1:14" ht="27.75" customHeight="1" x14ac:dyDescent="0.25">
      <c r="A149" s="782">
        <v>120</v>
      </c>
      <c r="B149" s="764" t="s">
        <v>754</v>
      </c>
      <c r="C149" s="771" t="s">
        <v>989</v>
      </c>
      <c r="D149" s="812" t="s">
        <v>697</v>
      </c>
      <c r="E149" s="744"/>
      <c r="F149" s="744"/>
      <c r="G149" s="757">
        <v>724</v>
      </c>
      <c r="H149" s="755">
        <v>0</v>
      </c>
      <c r="I149" s="809" t="s">
        <v>990</v>
      </c>
      <c r="J149" s="744"/>
      <c r="K149" s="759" t="s">
        <v>990</v>
      </c>
      <c r="L149" s="768">
        <v>0</v>
      </c>
      <c r="M149" s="761">
        <v>0</v>
      </c>
      <c r="N149" s="761">
        <v>0</v>
      </c>
    </row>
    <row r="150" spans="1:14" ht="27" customHeight="1" x14ac:dyDescent="0.25">
      <c r="A150" s="782">
        <v>121</v>
      </c>
      <c r="B150" s="764" t="s">
        <v>953</v>
      </c>
      <c r="C150" s="771" t="s">
        <v>991</v>
      </c>
      <c r="D150" s="812" t="s">
        <v>697</v>
      </c>
      <c r="E150" s="744"/>
      <c r="F150" s="744"/>
      <c r="G150" s="757">
        <v>724</v>
      </c>
      <c r="H150" s="755">
        <v>0</v>
      </c>
      <c r="I150" s="809" t="s">
        <v>992</v>
      </c>
      <c r="J150" s="744"/>
      <c r="K150" s="759" t="s">
        <v>992</v>
      </c>
      <c r="L150" s="768">
        <v>0</v>
      </c>
      <c r="M150" s="761">
        <v>0</v>
      </c>
      <c r="N150" s="761">
        <v>0</v>
      </c>
    </row>
    <row r="151" spans="1:14" ht="27.4" customHeight="1" x14ac:dyDescent="0.25">
      <c r="A151" s="782">
        <v>122</v>
      </c>
      <c r="B151" s="764" t="s">
        <v>754</v>
      </c>
      <c r="C151" s="771" t="s">
        <v>993</v>
      </c>
      <c r="D151" s="812" t="s">
        <v>697</v>
      </c>
      <c r="E151" s="744"/>
      <c r="F151" s="744"/>
      <c r="G151" s="757">
        <v>800</v>
      </c>
      <c r="H151" s="755">
        <v>0</v>
      </c>
      <c r="I151" s="809" t="s">
        <v>821</v>
      </c>
      <c r="J151" s="744"/>
      <c r="K151" s="759" t="s">
        <v>994</v>
      </c>
      <c r="L151" s="768">
        <v>0</v>
      </c>
      <c r="M151" s="761">
        <v>0</v>
      </c>
      <c r="N151" s="761">
        <v>0</v>
      </c>
    </row>
    <row r="152" spans="1:14" ht="17.649999999999999" customHeight="1" x14ac:dyDescent="0.25">
      <c r="A152" s="816">
        <v>115</v>
      </c>
      <c r="B152" s="744"/>
      <c r="C152" s="744"/>
      <c r="D152" s="794" t="s">
        <v>995</v>
      </c>
      <c r="E152" s="817">
        <v>0</v>
      </c>
      <c r="F152" s="818">
        <v>0</v>
      </c>
      <c r="G152" s="819">
        <v>80573</v>
      </c>
      <c r="H152" s="820">
        <v>0</v>
      </c>
      <c r="I152" s="744"/>
      <c r="J152" s="744"/>
      <c r="K152" s="744"/>
      <c r="L152" s="790">
        <v>43577.120000000003</v>
      </c>
      <c r="M152" s="761">
        <v>1</v>
      </c>
      <c r="N152" s="761">
        <v>0</v>
      </c>
    </row>
    <row r="153" spans="1:14" ht="20.25" customHeight="1" x14ac:dyDescent="0.25">
      <c r="A153" s="821" t="s">
        <v>996</v>
      </c>
      <c r="B153" s="744"/>
      <c r="C153" s="744"/>
      <c r="D153" s="744"/>
      <c r="E153" s="744"/>
      <c r="F153" s="744"/>
      <c r="G153" s="744"/>
      <c r="H153" s="744"/>
      <c r="I153" s="744"/>
      <c r="J153" s="744"/>
      <c r="K153" s="744"/>
      <c r="L153" s="744"/>
      <c r="M153" s="744"/>
      <c r="N153" s="744"/>
    </row>
    <row r="154" spans="1:14" ht="23.45" customHeight="1" x14ac:dyDescent="0.25">
      <c r="A154" s="822" t="s">
        <v>997</v>
      </c>
      <c r="B154" s="744"/>
      <c r="C154" s="744"/>
      <c r="D154" s="823" t="s">
        <v>995</v>
      </c>
      <c r="E154" s="817">
        <v>0</v>
      </c>
      <c r="F154" s="818">
        <v>0</v>
      </c>
      <c r="G154" s="819">
        <v>80573</v>
      </c>
      <c r="H154" s="820">
        <v>0</v>
      </c>
      <c r="I154" s="744"/>
      <c r="J154" s="744"/>
      <c r="K154" s="744"/>
      <c r="L154" s="824">
        <v>43577.120000000003</v>
      </c>
      <c r="M154" s="825">
        <v>1</v>
      </c>
      <c r="N154" s="825">
        <v>0</v>
      </c>
    </row>
    <row r="155" spans="1:14" ht="10.7" customHeight="1" x14ac:dyDescent="0.25">
      <c r="A155" s="816">
        <v>115</v>
      </c>
      <c r="B155" s="744"/>
      <c r="C155" s="744"/>
      <c r="D155" s="744"/>
      <c r="E155" s="744"/>
      <c r="F155" s="744"/>
      <c r="G155" s="744"/>
      <c r="H155" s="744"/>
      <c r="I155" s="744"/>
      <c r="J155" s="744"/>
      <c r="K155" s="744"/>
      <c r="L155" s="744"/>
      <c r="M155" s="744"/>
      <c r="N155" s="744"/>
    </row>
    <row r="156" spans="1:14" ht="10.15" customHeight="1" x14ac:dyDescent="0.25">
      <c r="A156" s="826" t="s">
        <v>996</v>
      </c>
      <c r="B156" s="744"/>
      <c r="C156" s="744"/>
      <c r="D156" s="744"/>
      <c r="E156" s="744"/>
      <c r="F156" s="744"/>
      <c r="G156" s="744"/>
      <c r="H156" s="744"/>
      <c r="I156" s="744"/>
      <c r="J156" s="744"/>
      <c r="K156" s="744"/>
      <c r="L156" s="744"/>
      <c r="M156" s="744"/>
      <c r="N156" s="744"/>
    </row>
    <row r="165" spans="1:1" x14ac:dyDescent="0.25">
      <c r="A165" s="827">
        <v>0.1</v>
      </c>
    </row>
  </sheetData>
  <sheetProtection algorithmName="SHA-512" hashValue="mKgU9Tqdw3FmXOjeAw23xG72Abo2qdWrlWNMb5E0poGIsXrAYULkW3ExbPaO3jA2Sg2y4l/fY/vTZcgqDapVWA==" saltValue="JpG8OwHn5d5Q+ojqDq5z/w==" spinCount="100000" sheet="1" objects="1" scenarios="1"/>
  <mergeCells count="1">
    <mergeCell ref="B2:C2"/>
  </mergeCells>
  <pageMargins left="0.40763899999999997" right="0.48749999999999999" top="0.23611099999999999" bottom="0.10625" header="0.25" footer="0.25"/>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sheetPr>
  <dimension ref="A1:T15"/>
  <sheetViews>
    <sheetView workbookViewId="0">
      <selection activeCell="R14" sqref="R14"/>
    </sheetView>
  </sheetViews>
  <sheetFormatPr defaultColWidth="8.85546875" defaultRowHeight="12.75" x14ac:dyDescent="0.2"/>
  <cols>
    <col min="1" max="1" width="25" customWidth="1"/>
    <col min="2" max="2" width="9" bestFit="1" customWidth="1"/>
    <col min="3" max="3" width="16" customWidth="1"/>
    <col min="4" max="4" width="7.28515625" bestFit="1" customWidth="1"/>
    <col min="5" max="5" width="4.28515625" bestFit="1" customWidth="1"/>
    <col min="6" max="6" width="14.140625" bestFit="1" customWidth="1"/>
    <col min="7" max="7" width="5.28515625" bestFit="1" customWidth="1"/>
    <col min="8" max="8" width="10.85546875" bestFit="1" customWidth="1"/>
    <col min="9" max="9" width="11.42578125" customWidth="1"/>
    <col min="10" max="10" width="2.85546875" customWidth="1"/>
    <col min="11" max="11" width="10" customWidth="1"/>
    <col min="12" max="12" width="20.85546875" customWidth="1"/>
    <col min="13" max="13" width="12.42578125" customWidth="1"/>
    <col min="14" max="14" width="14.85546875" customWidth="1"/>
    <col min="15" max="15" width="15.42578125" customWidth="1"/>
    <col min="16" max="16" width="10.42578125" customWidth="1"/>
    <col min="17" max="17" width="14.7109375" customWidth="1"/>
    <col min="18" max="18" width="12.85546875" customWidth="1"/>
    <col min="19" max="19" width="12.42578125" customWidth="1"/>
    <col min="20" max="20" width="13.140625" customWidth="1"/>
  </cols>
  <sheetData>
    <row r="1" spans="1:20" ht="15" x14ac:dyDescent="0.25">
      <c r="A1" s="862" t="s">
        <v>371</v>
      </c>
      <c r="B1" s="862"/>
      <c r="C1" s="862"/>
      <c r="D1" s="862"/>
      <c r="E1" s="862"/>
      <c r="G1" s="862" t="s">
        <v>372</v>
      </c>
      <c r="H1" s="862"/>
      <c r="I1" s="862"/>
      <c r="J1" s="862"/>
      <c r="K1" s="477"/>
      <c r="L1" s="863" t="s">
        <v>373</v>
      </c>
      <c r="M1" s="863"/>
      <c r="N1" s="863"/>
      <c r="O1" s="863"/>
      <c r="P1" s="863"/>
      <c r="Q1" s="863"/>
      <c r="R1" s="863"/>
      <c r="S1" s="863"/>
      <c r="T1" s="863"/>
    </row>
    <row r="2" spans="1:20" x14ac:dyDescent="0.2">
      <c r="A2" s="500" t="s">
        <v>374</v>
      </c>
      <c r="B2" s="519"/>
      <c r="C2" s="500"/>
      <c r="L2" s="670" t="s">
        <v>375</v>
      </c>
      <c r="M2" s="551"/>
      <c r="N2" s="551"/>
      <c r="O2" s="670" t="s">
        <v>376</v>
      </c>
      <c r="P2" s="670"/>
      <c r="Q2" s="551"/>
      <c r="R2" s="670" t="s">
        <v>377</v>
      </c>
      <c r="S2" s="671">
        <f>C4</f>
        <v>1550</v>
      </c>
      <c r="T2" s="551"/>
    </row>
    <row r="3" spans="1:20" ht="15" x14ac:dyDescent="0.25">
      <c r="A3" s="500" t="s">
        <v>378</v>
      </c>
      <c r="B3" s="478" t="s">
        <v>379</v>
      </c>
      <c r="C3" s="479" t="s">
        <v>380</v>
      </c>
      <c r="D3" s="480" t="s">
        <v>381</v>
      </c>
      <c r="L3" s="551" t="s">
        <v>382</v>
      </c>
      <c r="M3" s="671">
        <v>80000</v>
      </c>
      <c r="N3" s="675" t="s">
        <v>383</v>
      </c>
      <c r="O3" s="551" t="s">
        <v>384</v>
      </c>
      <c r="P3" s="671">
        <f>B5</f>
        <v>0</v>
      </c>
      <c r="Q3" s="675" t="s">
        <v>383</v>
      </c>
      <c r="R3" s="551"/>
      <c r="S3" s="551"/>
      <c r="T3" s="551"/>
    </row>
    <row r="4" spans="1:20" x14ac:dyDescent="0.2">
      <c r="A4" s="503" t="s">
        <v>385</v>
      </c>
      <c r="B4" s="559"/>
      <c r="C4" s="559">
        <v>1550</v>
      </c>
      <c r="D4" s="559"/>
      <c r="E4" s="66"/>
      <c r="L4" s="551" t="s">
        <v>386</v>
      </c>
      <c r="M4" s="672">
        <v>0.05</v>
      </c>
      <c r="N4" s="559">
        <f>M4*M3</f>
        <v>4000</v>
      </c>
      <c r="O4" s="551" t="s">
        <v>386</v>
      </c>
      <c r="P4" s="672">
        <v>0.15</v>
      </c>
      <c r="Q4" s="681">
        <f>P4*P3</f>
        <v>0</v>
      </c>
      <c r="R4" s="551"/>
      <c r="S4" s="551"/>
      <c r="T4" s="551"/>
    </row>
    <row r="5" spans="1:20" x14ac:dyDescent="0.2">
      <c r="A5" s="500" t="s">
        <v>387</v>
      </c>
      <c r="B5" s="560"/>
      <c r="C5" s="559"/>
      <c r="D5" s="505"/>
      <c r="E5" s="66"/>
      <c r="L5" s="551" t="s">
        <v>206</v>
      </c>
      <c r="M5" s="672">
        <v>0.10199999999999999</v>
      </c>
      <c r="N5" s="551"/>
      <c r="O5" s="551" t="s">
        <v>206</v>
      </c>
      <c r="P5" s="672">
        <v>0.08</v>
      </c>
      <c r="Q5" s="551"/>
      <c r="R5" s="551"/>
      <c r="S5" s="551"/>
      <c r="T5" s="551"/>
    </row>
    <row r="6" spans="1:20" x14ac:dyDescent="0.2">
      <c r="A6" s="500" t="s">
        <v>388</v>
      </c>
      <c r="B6" s="561"/>
      <c r="C6" s="562"/>
      <c r="D6" s="505"/>
      <c r="E6" s="66"/>
      <c r="L6" s="551" t="s">
        <v>389</v>
      </c>
      <c r="M6" s="673">
        <v>23</v>
      </c>
      <c r="N6" s="551"/>
      <c r="O6" s="551" t="s">
        <v>389</v>
      </c>
      <c r="P6" s="673">
        <v>30</v>
      </c>
      <c r="Q6" s="551"/>
      <c r="R6" s="551"/>
      <c r="S6" s="551"/>
      <c r="T6" s="551"/>
    </row>
    <row r="7" spans="1:20" x14ac:dyDescent="0.2">
      <c r="A7" s="500" t="s">
        <v>390</v>
      </c>
      <c r="B7" s="560"/>
      <c r="C7" s="559"/>
      <c r="D7" s="505"/>
      <c r="E7" s="66"/>
      <c r="L7" s="551" t="s">
        <v>391</v>
      </c>
      <c r="M7" s="674">
        <f>500/12</f>
        <v>41.666666666666664</v>
      </c>
      <c r="N7" s="551"/>
      <c r="O7" s="551" t="s">
        <v>392</v>
      </c>
      <c r="P7" s="674">
        <f>0.01*P3/12</f>
        <v>0</v>
      </c>
      <c r="Q7" s="551"/>
      <c r="R7" s="551"/>
      <c r="S7" s="551"/>
      <c r="T7" s="551"/>
    </row>
    <row r="8" spans="1:20" x14ac:dyDescent="0.2">
      <c r="A8" s="500" t="s">
        <v>393</v>
      </c>
      <c r="B8" s="550"/>
      <c r="C8" s="550"/>
      <c r="D8" s="505"/>
      <c r="E8" s="66"/>
      <c r="L8" s="551"/>
      <c r="M8" s="551"/>
      <c r="N8" s="551"/>
      <c r="O8" s="551"/>
      <c r="P8" s="551"/>
      <c r="Q8" s="551"/>
      <c r="R8" s="551"/>
      <c r="S8" s="551"/>
      <c r="T8" s="551"/>
    </row>
    <row r="9" spans="1:20" ht="15" customHeight="1" x14ac:dyDescent="0.2">
      <c r="A9" s="500"/>
      <c r="B9" s="560"/>
      <c r="C9" s="550"/>
      <c r="D9" s="505"/>
      <c r="E9" s="66"/>
      <c r="F9" s="66"/>
      <c r="G9" s="66"/>
      <c r="L9" s="675" t="s">
        <v>394</v>
      </c>
      <c r="M9" s="675" t="s">
        <v>395</v>
      </c>
      <c r="N9" s="675" t="s">
        <v>396</v>
      </c>
      <c r="O9" s="676" t="s">
        <v>397</v>
      </c>
      <c r="P9" s="675" t="s">
        <v>398</v>
      </c>
      <c r="Q9" s="676" t="s">
        <v>292</v>
      </c>
      <c r="R9" s="675" t="s">
        <v>399</v>
      </c>
      <c r="S9" s="675" t="s">
        <v>396</v>
      </c>
      <c r="T9" s="676" t="s">
        <v>292</v>
      </c>
    </row>
    <row r="10" spans="1:20" ht="15" customHeight="1" x14ac:dyDescent="0.2">
      <c r="A10" s="500"/>
      <c r="B10" s="550"/>
      <c r="C10" s="688" t="s">
        <v>400</v>
      </c>
      <c r="D10" s="505"/>
      <c r="E10" s="66"/>
      <c r="F10" s="66"/>
      <c r="G10" s="66"/>
      <c r="L10" s="677" t="s">
        <v>401</v>
      </c>
      <c r="M10" s="677" t="s">
        <v>382</v>
      </c>
      <c r="N10" s="677" t="s">
        <v>205</v>
      </c>
      <c r="O10" s="678"/>
      <c r="P10" s="677" t="s">
        <v>402</v>
      </c>
      <c r="Q10" s="678" t="s">
        <v>403</v>
      </c>
      <c r="R10" s="677" t="s">
        <v>0</v>
      </c>
      <c r="S10" s="677" t="s">
        <v>205</v>
      </c>
      <c r="T10" s="678" t="s">
        <v>403</v>
      </c>
    </row>
    <row r="11" spans="1:20" ht="15" x14ac:dyDescent="0.25">
      <c r="A11" s="477"/>
      <c r="B11" s="477"/>
      <c r="C11" s="477"/>
      <c r="D11" s="477"/>
      <c r="E11" s="477"/>
      <c r="F11" s="66"/>
      <c r="G11" s="66"/>
      <c r="L11" s="671">
        <f>Proforma!F29</f>
        <v>775</v>
      </c>
      <c r="M11" s="679">
        <f>M3</f>
        <v>80000</v>
      </c>
      <c r="N11" s="679">
        <f>PMT(M5/12,M6*12,-M11*(1-M4))</f>
        <v>715.15984620729603</v>
      </c>
      <c r="O11" s="680">
        <f>N11+L11+M7</f>
        <v>1531.8265128739629</v>
      </c>
      <c r="P11" s="679">
        <f>S2</f>
        <v>1550</v>
      </c>
      <c r="Q11" s="682">
        <f>P11-O11</f>
        <v>18.173487126037116</v>
      </c>
      <c r="R11" s="679">
        <f>P3</f>
        <v>0</v>
      </c>
      <c r="S11" s="679">
        <f>PMT(P5/12,P6*12,-R11*(1-P4))+P7</f>
        <v>0</v>
      </c>
      <c r="T11" s="682">
        <f>S11-O11</f>
        <v>-1531.8265128739629</v>
      </c>
    </row>
    <row r="12" spans="1:20" x14ac:dyDescent="0.2">
      <c r="B12" s="550"/>
      <c r="C12" s="550"/>
      <c r="D12" s="550"/>
    </row>
    <row r="13" spans="1:20" x14ac:dyDescent="0.2">
      <c r="B13" s="550"/>
      <c r="C13" s="550"/>
      <c r="D13" s="550"/>
    </row>
    <row r="15" spans="1:20" x14ac:dyDescent="0.2">
      <c r="A15" s="500"/>
    </row>
  </sheetData>
  <sheetProtection algorithmName="SHA-512" hashValue="mKYzrq1Ik2LVbYaqrG6H57fRcUmtyPkwSumhYwHkaF7jlHvv823X33/gHAWF3hxYMKwRxQYrl/vOm0v1QEF1+w==" saltValue="95q+L4JVi5QrOaa/TM38bQ==" spinCount="100000" sheet="1" objects="1" scenarios="1"/>
  <mergeCells count="3">
    <mergeCell ref="A1:E1"/>
    <mergeCell ref="G1:J1"/>
    <mergeCell ref="L1:T1"/>
  </mergeCells>
  <hyperlinks>
    <hyperlink ref="C10" r:id="rId1" display="https://www.zillow.com/colfax-ca/rentals/?searchQueryState=%7B%22pagination%22%3A%7B%7D%2C%22isMapVisible%22%3Atrue%2C%22mapBounds%22%3A%7B%22north%22%3A39.21795998319647%2C%22south%22%3A38.971223255645164%2C%22east%22%3A-120.60345089990234%2C%22west%22%3A-121.19190610009765%7D%2C%22usersSearchTerm%22%3A%22Redding%2C%20CA%22%2C%22filterState%22%3A%7B%22sort%22%3A%7B%22value%22%3A%22paymenta%22%7D%2C%22sf%22%3A%7B%22value%22%3Afalse%7D%2C%22tow%22%3A%7B%22value%22%3Afalse%7D%2C%22con%22%3A%7B%22value%22%3Afalse%7D%2C%22land%22%3A%7B%22value%22%3Afalse%7D%2C%22ah%22%3A%7B%22value%22%3Atrue%7D%2C%22apa%22%3A%7B%22value%22%3Afalse%7D%2C%22manu%22%3A%7B%22value%22%3Afalse%7D%2C%22apco%22%3A%7B%22value%22%3Afalse%7D%2C%22fr%22%3A%7B%22value%22%3Atrue%7D%2C%22fsba%22%3A%7B%22value%22%3Afalse%7D%2C%22fsbo%22%3A%7B%22value%22%3Afalse%7D%2C%22nc%22%3A%7B%22value%22%3Afalse%7D%2C%22cmsn%22%3A%7B%22value%22%3Afalse%7D%2C%22auc%22%3A%7B%22value%22%3Afalse%7D%2C%22fore%22%3A%7B%22value%22%3Afalse%7D%2C%22beds%22%3A%7B%22min%22%3A2%2C%22max%22%3A2%7D%7D%2C%22isListVisible%22%3Atrue%2C%22regionSelection%22%3A%5B%7B%22regionId%22%3A10902%2C%22regionType%22%3A6%7D%5D%2C%22mapZoom%22%3A11%7D" xr:uid="{38E6AF6A-D410-4AF7-B3F6-AAEC9B8B5A33}"/>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81D2-335C-43A6-BBC4-B42BDF8518C2}">
  <sheetPr codeName="Sheet10">
    <tabColor rgb="FF7030A0"/>
  </sheetPr>
  <dimension ref="A1:S115"/>
  <sheetViews>
    <sheetView workbookViewId="0">
      <selection activeCell="R14" sqref="R14"/>
    </sheetView>
  </sheetViews>
  <sheetFormatPr defaultColWidth="9.140625" defaultRowHeight="15" x14ac:dyDescent="0.25"/>
  <cols>
    <col min="1" max="1" width="27.7109375" style="150" bestFit="1" customWidth="1"/>
    <col min="2" max="2" width="9.42578125" style="154" bestFit="1" customWidth="1"/>
    <col min="3" max="3" width="10.28515625" style="150" bestFit="1" customWidth="1"/>
    <col min="4" max="5" width="13.140625" style="150" customWidth="1"/>
    <col min="6" max="6" width="12.140625" style="150" customWidth="1"/>
    <col min="7" max="7" width="10.28515625" style="150" bestFit="1" customWidth="1"/>
    <col min="8" max="8" width="10.140625" style="150" bestFit="1" customWidth="1"/>
    <col min="9" max="10" width="13.85546875" style="150" customWidth="1"/>
    <col min="11" max="11" width="1.42578125" style="150" customWidth="1"/>
    <col min="12" max="12" width="38.42578125" style="150" customWidth="1"/>
    <col min="13" max="13" width="55.42578125" style="150" customWidth="1"/>
    <col min="14" max="14" width="9.140625" style="150"/>
    <col min="15" max="15" width="20.7109375" style="150" customWidth="1"/>
    <col min="16" max="16384" width="9.140625" style="150"/>
  </cols>
  <sheetData>
    <row r="1" spans="1:19" x14ac:dyDescent="0.25">
      <c r="A1" s="864" t="s">
        <v>404</v>
      </c>
      <c r="B1" s="864"/>
      <c r="C1" s="864"/>
      <c r="D1" s="864"/>
      <c r="E1" s="864"/>
      <c r="F1" s="864"/>
      <c r="G1" s="864"/>
      <c r="H1" s="864"/>
      <c r="I1" s="864"/>
      <c r="J1" s="864"/>
      <c r="K1" s="864"/>
      <c r="L1" s="864"/>
      <c r="M1" s="864"/>
      <c r="P1" s="866" t="s">
        <v>405</v>
      </c>
      <c r="Q1" s="867"/>
      <c r="R1" s="867"/>
      <c r="S1" s="868"/>
    </row>
    <row r="2" spans="1:19" x14ac:dyDescent="0.25">
      <c r="A2" s="150" t="s">
        <v>406</v>
      </c>
      <c r="B2" s="151"/>
      <c r="C2" s="152"/>
      <c r="D2" s="152"/>
      <c r="E2" s="152"/>
      <c r="F2" s="152"/>
      <c r="G2" s="152"/>
      <c r="H2" s="152"/>
      <c r="I2" s="152"/>
      <c r="J2" s="152"/>
      <c r="K2" s="152"/>
      <c r="L2" s="152"/>
      <c r="M2" s="152"/>
      <c r="P2" s="253">
        <f>VLOOKUP(Proforma!N4,Q2:R6,2,FALSE)</f>
        <v>0</v>
      </c>
      <c r="Q2" s="520">
        <f>Current_Year-1</f>
        <v>2024</v>
      </c>
      <c r="R2" s="500">
        <v>0</v>
      </c>
      <c r="S2" s="254"/>
    </row>
    <row r="3" spans="1:19" x14ac:dyDescent="0.25">
      <c r="A3" s="150" t="s">
        <v>407</v>
      </c>
      <c r="B3" s="153">
        <v>2025</v>
      </c>
      <c r="C3" s="154"/>
      <c r="D3" s="154"/>
      <c r="P3" s="253"/>
      <c r="Q3" s="520" t="str">
        <f>F9</f>
        <v>Trailing 12</v>
      </c>
      <c r="R3" s="500">
        <v>1</v>
      </c>
      <c r="S3" s="254"/>
    </row>
    <row r="4" spans="1:19" x14ac:dyDescent="0.25">
      <c r="A4" s="150" t="s">
        <v>408</v>
      </c>
      <c r="B4" s="154">
        <f>+B3-1</f>
        <v>2024</v>
      </c>
      <c r="C4" s="154">
        <f>+B4-1</f>
        <v>2023</v>
      </c>
      <c r="D4" s="154">
        <f>+C4-1</f>
        <v>2022</v>
      </c>
      <c r="P4" s="563"/>
      <c r="Q4" s="520" t="str">
        <f>H9&amp;" Annualized"</f>
        <v>2025 Annualized</v>
      </c>
      <c r="R4" s="500">
        <v>2</v>
      </c>
      <c r="S4" s="254"/>
    </row>
    <row r="5" spans="1:19" x14ac:dyDescent="0.25">
      <c r="A5" s="150" t="str">
        <f>"For YTD "&amp;B3&amp;" Income Statement"</f>
        <v>For YTD 2025 Income Statement</v>
      </c>
      <c r="B5" s="150"/>
      <c r="C5" s="155" t="s">
        <v>409</v>
      </c>
      <c r="D5" s="156">
        <v>45382</v>
      </c>
      <c r="E5" s="157"/>
      <c r="F5" s="157"/>
      <c r="G5" s="158" t="s">
        <v>410</v>
      </c>
      <c r="H5" s="159">
        <f>MONTH(D5)</f>
        <v>3</v>
      </c>
      <c r="P5" s="563"/>
      <c r="Q5" s="649" t="s">
        <v>91</v>
      </c>
      <c r="R5" s="500">
        <v>3</v>
      </c>
      <c r="S5" s="254"/>
    </row>
    <row r="6" spans="1:19" ht="14.25" customHeight="1" thickBot="1" x14ac:dyDescent="0.3">
      <c r="B6" s="150"/>
      <c r="P6" s="650"/>
      <c r="Q6" s="738" t="s">
        <v>411</v>
      </c>
      <c r="R6" s="210">
        <v>4</v>
      </c>
      <c r="S6" s="255"/>
    </row>
    <row r="7" spans="1:19" x14ac:dyDescent="0.25">
      <c r="A7" s="865" t="s">
        <v>412</v>
      </c>
      <c r="B7" s="865"/>
      <c r="C7" s="865"/>
      <c r="D7" s="865"/>
      <c r="E7" s="865"/>
      <c r="F7" s="865"/>
      <c r="G7" s="865"/>
      <c r="H7" s="865"/>
      <c r="I7" s="865"/>
      <c r="J7" s="865"/>
      <c r="K7" s="865"/>
      <c r="L7" s="865"/>
      <c r="M7" s="865"/>
    </row>
    <row r="8" spans="1:19" x14ac:dyDescent="0.25">
      <c r="A8" s="160"/>
      <c r="B8" s="161" t="s">
        <v>413</v>
      </c>
      <c r="C8" s="161"/>
      <c r="D8" s="161"/>
      <c r="E8" s="161"/>
      <c r="F8" s="161"/>
      <c r="G8" s="161" t="s">
        <v>414</v>
      </c>
      <c r="H8" s="161" t="s">
        <v>415</v>
      </c>
      <c r="I8" s="161" t="s">
        <v>416</v>
      </c>
      <c r="J8" s="161" t="s">
        <v>234</v>
      </c>
      <c r="K8" s="161"/>
    </row>
    <row r="9" spans="1:19" ht="15.75" thickBot="1" x14ac:dyDescent="0.3">
      <c r="A9" s="160" t="s">
        <v>417</v>
      </c>
      <c r="B9" s="161" t="s">
        <v>418</v>
      </c>
      <c r="C9" s="161">
        <f>+D4</f>
        <v>2022</v>
      </c>
      <c r="D9" s="161">
        <f>+C4</f>
        <v>2023</v>
      </c>
      <c r="E9" s="161">
        <f>+B4</f>
        <v>2024</v>
      </c>
      <c r="F9" s="161" t="s">
        <v>83</v>
      </c>
      <c r="G9" s="161">
        <f>Current_Year</f>
        <v>2025</v>
      </c>
      <c r="H9" s="162">
        <f>Current_Year</f>
        <v>2025</v>
      </c>
      <c r="I9" s="161" t="s">
        <v>419</v>
      </c>
      <c r="J9" s="161" t="s">
        <v>420</v>
      </c>
      <c r="K9" s="162"/>
      <c r="L9" s="163" t="s">
        <v>421</v>
      </c>
      <c r="M9" s="163" t="s">
        <v>105</v>
      </c>
    </row>
    <row r="10" spans="1:19" x14ac:dyDescent="0.25">
      <c r="A10" s="639" t="str">
        <f>+Proforma!C29</f>
        <v>MH - Original Section</v>
      </c>
      <c r="B10" s="640">
        <v>1</v>
      </c>
      <c r="C10" s="641"/>
      <c r="D10" s="641">
        <v>1134213.32</v>
      </c>
      <c r="E10" s="641">
        <v>1266044</v>
      </c>
      <c r="F10" s="641">
        <v>1280618</v>
      </c>
      <c r="G10" s="641"/>
      <c r="H10" s="164">
        <f t="shared" ref="H10:H21" si="0">+G10/$H$5*12</f>
        <v>0</v>
      </c>
      <c r="I10" s="641">
        <v>1169496</v>
      </c>
      <c r="J10" s="641"/>
      <c r="L10" s="150" t="str">
        <f t="shared" ref="L10:L36" si="1">VLOOKUP($B10,Income_Account_Codes,2,)</f>
        <v>MH Space Rent Tier 1</v>
      </c>
      <c r="O10" s="639" t="s">
        <v>422</v>
      </c>
      <c r="P10" s="640">
        <v>1</v>
      </c>
      <c r="Q10" s="564"/>
    </row>
    <row r="11" spans="1:19" x14ac:dyDescent="0.25">
      <c r="A11" s="739" t="str">
        <f>+Proforma!C30</f>
        <v>MH - Expanded Section</v>
      </c>
      <c r="B11" s="640">
        <v>2</v>
      </c>
      <c r="C11" s="641"/>
      <c r="D11" s="641"/>
      <c r="E11" s="641"/>
      <c r="F11" s="641"/>
      <c r="G11" s="641"/>
      <c r="H11" s="164">
        <f t="shared" si="0"/>
        <v>0</v>
      </c>
      <c r="I11" s="641"/>
      <c r="J11" s="641"/>
      <c r="L11" s="150" t="str">
        <f t="shared" si="1"/>
        <v>RV Space Rent Permanent</v>
      </c>
      <c r="O11" s="739" t="s">
        <v>423</v>
      </c>
      <c r="P11" s="640">
        <v>2</v>
      </c>
      <c r="Q11" s="564"/>
    </row>
    <row r="12" spans="1:19" x14ac:dyDescent="0.25">
      <c r="A12" s="639" t="str">
        <f>+Proforma!C31</f>
        <v>Commercial building</v>
      </c>
      <c r="B12" s="640">
        <v>3</v>
      </c>
      <c r="C12" s="641"/>
      <c r="D12" s="641"/>
      <c r="E12" s="641"/>
      <c r="F12" s="641"/>
      <c r="G12" s="641"/>
      <c r="H12" s="164">
        <f t="shared" si="0"/>
        <v>0</v>
      </c>
      <c r="I12" s="641"/>
      <c r="J12" s="641"/>
      <c r="L12" s="150" t="str">
        <f t="shared" si="1"/>
        <v>RV Space Rent Temporary</v>
      </c>
      <c r="O12" s="639" t="s">
        <v>424</v>
      </c>
      <c r="P12" s="640">
        <v>3</v>
      </c>
      <c r="Q12" s="564"/>
    </row>
    <row r="13" spans="1:19" x14ac:dyDescent="0.25">
      <c r="A13" s="739" t="s">
        <v>425</v>
      </c>
      <c r="B13" s="640">
        <v>4</v>
      </c>
      <c r="C13" s="641"/>
      <c r="D13" s="641"/>
      <c r="E13" s="641"/>
      <c r="F13" s="641"/>
      <c r="G13" s="641"/>
      <c r="H13" s="164">
        <f t="shared" si="0"/>
        <v>0</v>
      </c>
      <c r="I13" s="641"/>
      <c r="J13" s="641"/>
      <c r="L13" s="150" t="str">
        <f t="shared" si="1"/>
        <v>Vacancy Loss</v>
      </c>
      <c r="O13" s="739" t="s">
        <v>425</v>
      </c>
      <c r="P13" s="640">
        <v>4</v>
      </c>
      <c r="Q13" s="564"/>
    </row>
    <row r="14" spans="1:19" x14ac:dyDescent="0.25">
      <c r="A14" s="639" t="s">
        <v>426</v>
      </c>
      <c r="B14" s="640">
        <v>4403</v>
      </c>
      <c r="C14" s="641"/>
      <c r="D14" s="641"/>
      <c r="E14" s="641"/>
      <c r="F14" s="641"/>
      <c r="G14" s="641"/>
      <c r="H14" s="164">
        <f t="shared" si="0"/>
        <v>0</v>
      </c>
      <c r="I14" s="641">
        <v>211671</v>
      </c>
      <c r="J14" s="641"/>
      <c r="L14" s="150" t="str">
        <f t="shared" si="1"/>
        <v>Electric</v>
      </c>
      <c r="O14" s="639" t="s">
        <v>426</v>
      </c>
      <c r="P14" s="640">
        <v>4403</v>
      </c>
      <c r="Q14" s="564"/>
    </row>
    <row r="15" spans="1:19" x14ac:dyDescent="0.25">
      <c r="A15" s="639" t="s">
        <v>164</v>
      </c>
      <c r="B15" s="640">
        <v>4401</v>
      </c>
      <c r="C15" s="641"/>
      <c r="D15" s="641"/>
      <c r="E15" s="641"/>
      <c r="F15" s="641"/>
      <c r="G15" s="641"/>
      <c r="H15" s="164">
        <f t="shared" si="0"/>
        <v>0</v>
      </c>
      <c r="I15" s="641"/>
      <c r="J15" s="641"/>
      <c r="L15" s="150" t="str">
        <f t="shared" si="1"/>
        <v>Gas / Propane</v>
      </c>
      <c r="O15" s="639" t="s">
        <v>164</v>
      </c>
      <c r="P15" s="640">
        <v>4401</v>
      </c>
      <c r="Q15" s="564"/>
    </row>
    <row r="16" spans="1:19" x14ac:dyDescent="0.25">
      <c r="A16" s="639" t="s">
        <v>291</v>
      </c>
      <c r="B16" s="640">
        <v>4404</v>
      </c>
      <c r="C16" s="641"/>
      <c r="D16" s="641"/>
      <c r="E16" s="641"/>
      <c r="F16" s="641"/>
      <c r="G16" s="641"/>
      <c r="H16" s="164">
        <f t="shared" si="0"/>
        <v>0</v>
      </c>
      <c r="I16" s="641">
        <v>31282</v>
      </c>
      <c r="J16" s="641"/>
      <c r="L16" s="150" t="str">
        <f t="shared" si="1"/>
        <v>Trash</v>
      </c>
      <c r="O16" s="639" t="s">
        <v>291</v>
      </c>
      <c r="P16" s="640">
        <v>4404</v>
      </c>
      <c r="Q16" s="564"/>
    </row>
    <row r="17" spans="1:17" x14ac:dyDescent="0.25">
      <c r="A17" s="639" t="s">
        <v>104</v>
      </c>
      <c r="B17" s="640">
        <v>4405</v>
      </c>
      <c r="C17" s="641"/>
      <c r="D17" s="641"/>
      <c r="E17" s="641"/>
      <c r="F17" s="641"/>
      <c r="G17" s="641"/>
      <c r="H17" s="164">
        <f t="shared" si="0"/>
        <v>0</v>
      </c>
      <c r="I17" s="641">
        <v>89107</v>
      </c>
      <c r="J17" s="641"/>
      <c r="L17" s="150" t="str">
        <f t="shared" si="1"/>
        <v>Sewer</v>
      </c>
      <c r="O17" s="639" t="s">
        <v>104</v>
      </c>
      <c r="P17" s="640">
        <v>4405</v>
      </c>
      <c r="Q17" s="564"/>
    </row>
    <row r="18" spans="1:17" x14ac:dyDescent="0.25">
      <c r="A18" s="639" t="s">
        <v>103</v>
      </c>
      <c r="B18" s="640">
        <v>4402</v>
      </c>
      <c r="C18" s="641"/>
      <c r="D18" s="641"/>
      <c r="E18" s="641"/>
      <c r="F18" s="641"/>
      <c r="G18" s="641"/>
      <c r="H18" s="164">
        <f t="shared" si="0"/>
        <v>0</v>
      </c>
      <c r="I18" s="641"/>
      <c r="J18" s="641"/>
      <c r="L18" s="150" t="str">
        <f t="shared" si="1"/>
        <v>Water</v>
      </c>
      <c r="O18" s="639" t="s">
        <v>103</v>
      </c>
      <c r="P18" s="640">
        <v>4402</v>
      </c>
      <c r="Q18" s="564"/>
    </row>
    <row r="19" spans="1:17" x14ac:dyDescent="0.25">
      <c r="A19" s="639" t="s">
        <v>427</v>
      </c>
      <c r="B19" s="640">
        <v>4998</v>
      </c>
      <c r="C19" s="641"/>
      <c r="D19" s="641"/>
      <c r="E19" s="641"/>
      <c r="F19" s="641"/>
      <c r="G19" s="641"/>
      <c r="H19" s="164">
        <f t="shared" si="0"/>
        <v>0</v>
      </c>
      <c r="I19" s="641"/>
      <c r="J19" s="641"/>
      <c r="L19" s="150" t="str">
        <f t="shared" si="1"/>
        <v>Other, misc.</v>
      </c>
      <c r="O19" s="639" t="s">
        <v>427</v>
      </c>
      <c r="P19" s="640">
        <v>4998</v>
      </c>
      <c r="Q19" s="564"/>
    </row>
    <row r="20" spans="1:17" x14ac:dyDescent="0.25">
      <c r="A20" s="639" t="s">
        <v>428</v>
      </c>
      <c r="B20" s="640">
        <v>4134</v>
      </c>
      <c r="C20" s="641"/>
      <c r="D20" s="641"/>
      <c r="E20" s="641"/>
      <c r="F20" s="641"/>
      <c r="G20" s="641"/>
      <c r="H20" s="164">
        <f t="shared" si="0"/>
        <v>0</v>
      </c>
      <c r="I20" s="641"/>
      <c r="J20" s="641"/>
      <c r="L20" s="150" t="str">
        <f t="shared" si="1"/>
        <v>Free Rent to Manager</v>
      </c>
      <c r="O20" s="639" t="s">
        <v>428</v>
      </c>
      <c r="P20" s="640">
        <v>4134</v>
      </c>
      <c r="Q20" s="564"/>
    </row>
    <row r="21" spans="1:17" x14ac:dyDescent="0.25">
      <c r="A21" s="639"/>
      <c r="B21" s="640"/>
      <c r="C21" s="641"/>
      <c r="D21" s="641"/>
      <c r="E21" s="641"/>
      <c r="F21" s="641"/>
      <c r="G21" s="641"/>
      <c r="H21" s="164">
        <f t="shared" si="0"/>
        <v>0</v>
      </c>
      <c r="I21" s="641"/>
      <c r="J21" s="641"/>
      <c r="L21" s="150" t="e">
        <f t="shared" si="1"/>
        <v>#N/A</v>
      </c>
    </row>
    <row r="22" spans="1:17" x14ac:dyDescent="0.25">
      <c r="A22" s="639" t="s">
        <v>429</v>
      </c>
      <c r="B22" s="640">
        <v>1</v>
      </c>
      <c r="C22" s="641"/>
      <c r="D22" s="641"/>
      <c r="E22" s="641"/>
      <c r="F22" s="641"/>
      <c r="G22" s="641"/>
      <c r="H22" s="164">
        <f t="shared" ref="H22:H36" si="2">+G22/$H$5*12</f>
        <v>0</v>
      </c>
      <c r="I22" s="641"/>
      <c r="J22" s="641"/>
      <c r="L22" s="150" t="str">
        <f t="shared" si="1"/>
        <v>MH Space Rent Tier 1</v>
      </c>
    </row>
    <row r="23" spans="1:17" x14ac:dyDescent="0.25">
      <c r="A23" s="639" t="s">
        <v>430</v>
      </c>
      <c r="B23" s="640">
        <v>4404</v>
      </c>
      <c r="C23" s="641"/>
      <c r="D23" s="641"/>
      <c r="E23" s="641"/>
      <c r="F23" s="641"/>
      <c r="G23" s="641"/>
      <c r="H23" s="164">
        <f t="shared" si="2"/>
        <v>0</v>
      </c>
      <c r="I23" s="641"/>
      <c r="J23" s="641"/>
      <c r="L23" s="150" t="str">
        <f t="shared" si="1"/>
        <v>Trash</v>
      </c>
    </row>
    <row r="24" spans="1:17" x14ac:dyDescent="0.25">
      <c r="A24" s="639" t="s">
        <v>431</v>
      </c>
      <c r="B24" s="640">
        <v>4402</v>
      </c>
      <c r="C24" s="641"/>
      <c r="D24" s="641"/>
      <c r="E24" s="641"/>
      <c r="F24" s="641"/>
      <c r="G24" s="641"/>
      <c r="H24" s="164">
        <f t="shared" si="2"/>
        <v>0</v>
      </c>
      <c r="I24" s="641"/>
      <c r="J24" s="641"/>
      <c r="L24" s="150" t="str">
        <f t="shared" si="1"/>
        <v>Water</v>
      </c>
    </row>
    <row r="25" spans="1:17" x14ac:dyDescent="0.25">
      <c r="A25" s="639" t="s">
        <v>432</v>
      </c>
      <c r="B25" s="640">
        <v>4405</v>
      </c>
      <c r="C25" s="641"/>
      <c r="D25" s="641"/>
      <c r="E25" s="641"/>
      <c r="F25" s="641"/>
      <c r="G25" s="641"/>
      <c r="H25" s="164">
        <f t="shared" si="2"/>
        <v>0</v>
      </c>
      <c r="I25" s="641"/>
      <c r="J25" s="641"/>
      <c r="L25" s="150" t="str">
        <f t="shared" si="1"/>
        <v>Sewer</v>
      </c>
    </row>
    <row r="26" spans="1:17" x14ac:dyDescent="0.25">
      <c r="A26" s="639" t="s">
        <v>433</v>
      </c>
      <c r="B26" s="640">
        <v>4403</v>
      </c>
      <c r="C26" s="641"/>
      <c r="D26" s="641"/>
      <c r="E26" s="641"/>
      <c r="F26" s="641"/>
      <c r="G26" s="641"/>
      <c r="H26" s="164">
        <f t="shared" si="2"/>
        <v>0</v>
      </c>
      <c r="I26" s="641"/>
      <c r="J26" s="641"/>
      <c r="L26" s="150" t="str">
        <f t="shared" si="1"/>
        <v>Electric</v>
      </c>
    </row>
    <row r="27" spans="1:17" x14ac:dyDescent="0.25">
      <c r="A27" s="639" t="s">
        <v>434</v>
      </c>
      <c r="B27" s="640">
        <v>4998</v>
      </c>
      <c r="C27" s="641"/>
      <c r="D27" s="641"/>
      <c r="E27" s="641"/>
      <c r="F27" s="641"/>
      <c r="G27" s="641"/>
      <c r="H27" s="164">
        <f t="shared" si="2"/>
        <v>0</v>
      </c>
      <c r="I27" s="641">
        <v>23172</v>
      </c>
      <c r="J27" s="641"/>
      <c r="L27" s="150" t="str">
        <f t="shared" si="1"/>
        <v>Other, misc.</v>
      </c>
    </row>
    <row r="28" spans="1:17" x14ac:dyDescent="0.25">
      <c r="A28" s="639" t="s">
        <v>162</v>
      </c>
      <c r="B28" s="640">
        <v>4998</v>
      </c>
      <c r="C28" s="641"/>
      <c r="D28" s="641"/>
      <c r="E28" s="641"/>
      <c r="F28" s="641"/>
      <c r="G28" s="641"/>
      <c r="H28" s="164">
        <f t="shared" si="2"/>
        <v>0</v>
      </c>
      <c r="I28" s="641">
        <v>5372</v>
      </c>
      <c r="J28" s="641"/>
      <c r="L28" s="150" t="str">
        <f t="shared" si="1"/>
        <v>Other, misc.</v>
      </c>
    </row>
    <row r="29" spans="1:17" x14ac:dyDescent="0.25">
      <c r="A29" s="639" t="s">
        <v>4</v>
      </c>
      <c r="B29" s="640"/>
      <c r="C29" s="641"/>
      <c r="D29" s="641"/>
      <c r="E29" s="641"/>
      <c r="F29" s="641"/>
      <c r="G29" s="641"/>
      <c r="H29" s="164">
        <f t="shared" si="2"/>
        <v>0</v>
      </c>
      <c r="I29" s="641">
        <v>-75075.13</v>
      </c>
      <c r="J29" s="641"/>
      <c r="L29" s="150" t="e">
        <f t="shared" si="1"/>
        <v>#N/A</v>
      </c>
    </row>
    <row r="30" spans="1:17" x14ac:dyDescent="0.25">
      <c r="A30" s="639"/>
      <c r="B30" s="640"/>
      <c r="C30" s="641"/>
      <c r="D30" s="641"/>
      <c r="E30" s="641"/>
      <c r="F30" s="641"/>
      <c r="G30" s="641"/>
      <c r="H30" s="164">
        <f t="shared" si="2"/>
        <v>0</v>
      </c>
      <c r="I30" s="641"/>
      <c r="J30" s="641"/>
      <c r="L30" s="150" t="e">
        <f t="shared" si="1"/>
        <v>#N/A</v>
      </c>
    </row>
    <row r="31" spans="1:17" x14ac:dyDescent="0.25">
      <c r="A31" s="639"/>
      <c r="B31" s="640"/>
      <c r="C31" s="641"/>
      <c r="D31" s="641"/>
      <c r="E31" s="641"/>
      <c r="F31" s="641"/>
      <c r="G31" s="641"/>
      <c r="H31" s="164">
        <f t="shared" si="2"/>
        <v>0</v>
      </c>
      <c r="I31" s="641"/>
      <c r="J31" s="641"/>
      <c r="L31" s="150" t="e">
        <f t="shared" si="1"/>
        <v>#N/A</v>
      </c>
    </row>
    <row r="32" spans="1:17" x14ac:dyDescent="0.25">
      <c r="A32" s="639"/>
      <c r="B32" s="640"/>
      <c r="C32" s="641"/>
      <c r="D32" s="641"/>
      <c r="E32" s="641"/>
      <c r="F32" s="641"/>
      <c r="G32" s="641"/>
      <c r="H32" s="164">
        <f t="shared" si="2"/>
        <v>0</v>
      </c>
      <c r="I32" s="641"/>
      <c r="J32" s="641"/>
      <c r="L32" s="150" t="e">
        <f t="shared" si="1"/>
        <v>#N/A</v>
      </c>
    </row>
    <row r="33" spans="1:16" x14ac:dyDescent="0.25">
      <c r="A33" s="639"/>
      <c r="B33" s="640"/>
      <c r="C33" s="641"/>
      <c r="D33" s="641"/>
      <c r="E33" s="641"/>
      <c r="F33" s="641"/>
      <c r="G33" s="641"/>
      <c r="H33" s="164">
        <f t="shared" si="2"/>
        <v>0</v>
      </c>
      <c r="I33" s="641"/>
      <c r="J33" s="641"/>
      <c r="L33" s="150" t="e">
        <f t="shared" si="1"/>
        <v>#N/A</v>
      </c>
    </row>
    <row r="34" spans="1:16" x14ac:dyDescent="0.25">
      <c r="A34" s="639"/>
      <c r="B34" s="640"/>
      <c r="C34" s="641"/>
      <c r="D34" s="641"/>
      <c r="E34" s="641"/>
      <c r="F34" s="641"/>
      <c r="G34" s="641"/>
      <c r="H34" s="164">
        <f t="shared" si="2"/>
        <v>0</v>
      </c>
      <c r="I34" s="641"/>
      <c r="J34" s="641"/>
      <c r="L34" s="150" t="e">
        <f t="shared" si="1"/>
        <v>#N/A</v>
      </c>
    </row>
    <row r="35" spans="1:16" x14ac:dyDescent="0.25">
      <c r="A35" s="639"/>
      <c r="B35" s="640"/>
      <c r="C35" s="641"/>
      <c r="D35" s="641"/>
      <c r="E35" s="641"/>
      <c r="F35" s="641"/>
      <c r="G35" s="641"/>
      <c r="H35" s="164">
        <f t="shared" si="2"/>
        <v>0</v>
      </c>
      <c r="I35" s="641"/>
      <c r="J35" s="641"/>
      <c r="L35" s="150" t="e">
        <f t="shared" si="1"/>
        <v>#N/A</v>
      </c>
    </row>
    <row r="36" spans="1:16" x14ac:dyDescent="0.25">
      <c r="A36" s="639"/>
      <c r="B36" s="640"/>
      <c r="C36" s="641"/>
      <c r="D36" s="641"/>
      <c r="E36" s="641"/>
      <c r="F36" s="641"/>
      <c r="G36" s="641"/>
      <c r="H36" s="164">
        <f t="shared" si="2"/>
        <v>0</v>
      </c>
      <c r="I36" s="641"/>
      <c r="J36" s="641"/>
      <c r="L36" s="150" t="e">
        <f t="shared" si="1"/>
        <v>#N/A</v>
      </c>
    </row>
    <row r="37" spans="1:16" x14ac:dyDescent="0.25">
      <c r="A37" s="169" t="s">
        <v>435</v>
      </c>
      <c r="B37" s="150"/>
      <c r="C37" s="171">
        <f>SUM(C10:C36)</f>
        <v>0</v>
      </c>
      <c r="D37" s="171">
        <f t="shared" ref="D37:I37" si="3">SUM(D10:D36)</f>
        <v>1134213.32</v>
      </c>
      <c r="E37" s="171">
        <f t="shared" si="3"/>
        <v>1266044</v>
      </c>
      <c r="F37" s="171">
        <f t="shared" si="3"/>
        <v>1280618</v>
      </c>
      <c r="G37" s="171">
        <f t="shared" si="3"/>
        <v>0</v>
      </c>
      <c r="H37" s="171">
        <f t="shared" si="3"/>
        <v>0</v>
      </c>
      <c r="I37" s="171">
        <f t="shared" si="3"/>
        <v>1455024.87</v>
      </c>
      <c r="J37" s="171"/>
    </row>
    <row r="38" spans="1:16" x14ac:dyDescent="0.25">
      <c r="B38" s="150"/>
    </row>
    <row r="39" spans="1:16" x14ac:dyDescent="0.25">
      <c r="A39" s="865" t="s">
        <v>436</v>
      </c>
      <c r="B39" s="865"/>
      <c r="C39" s="865"/>
      <c r="D39" s="865"/>
      <c r="E39" s="865"/>
      <c r="F39" s="865"/>
      <c r="G39" s="865"/>
      <c r="H39" s="865"/>
      <c r="I39" s="865"/>
      <c r="J39" s="865"/>
      <c r="K39" s="865"/>
      <c r="L39" s="865"/>
      <c r="M39" s="865"/>
    </row>
    <row r="40" spans="1:16" x14ac:dyDescent="0.25">
      <c r="A40" s="160"/>
      <c r="B40" s="161" t="s">
        <v>413</v>
      </c>
      <c r="C40" s="161"/>
      <c r="D40" s="161"/>
      <c r="E40" s="161"/>
      <c r="F40" s="161"/>
      <c r="G40" s="161" t="s">
        <v>414</v>
      </c>
      <c r="H40" s="161" t="s">
        <v>415</v>
      </c>
      <c r="I40" s="161" t="s">
        <v>416</v>
      </c>
      <c r="J40" s="161" t="s">
        <v>234</v>
      </c>
      <c r="K40" s="161"/>
    </row>
    <row r="41" spans="1:16" ht="15.75" thickBot="1" x14ac:dyDescent="0.3">
      <c r="A41" s="163" t="s">
        <v>437</v>
      </c>
      <c r="B41" s="162" t="s">
        <v>418</v>
      </c>
      <c r="C41" s="162">
        <f>+D4</f>
        <v>2022</v>
      </c>
      <c r="D41" s="162">
        <f>+C4</f>
        <v>2023</v>
      </c>
      <c r="E41" s="162">
        <f>+B4</f>
        <v>2024</v>
      </c>
      <c r="F41" s="162" t="str">
        <f>+F9</f>
        <v>Trailing 12</v>
      </c>
      <c r="G41" s="162">
        <f>Current_Year</f>
        <v>2025</v>
      </c>
      <c r="H41" s="162">
        <f>Current_Year</f>
        <v>2025</v>
      </c>
      <c r="I41" s="162" t="s">
        <v>419</v>
      </c>
      <c r="J41" s="161" t="s">
        <v>420</v>
      </c>
      <c r="K41" s="162"/>
      <c r="L41" s="163" t="s">
        <v>421</v>
      </c>
      <c r="M41" s="163" t="s">
        <v>105</v>
      </c>
    </row>
    <row r="42" spans="1:16" x14ac:dyDescent="0.25">
      <c r="A42" s="165" t="s">
        <v>438</v>
      </c>
      <c r="B42" s="166">
        <v>5064</v>
      </c>
      <c r="C42" s="167"/>
      <c r="D42" s="167"/>
      <c r="E42" s="167"/>
      <c r="F42" s="167"/>
      <c r="G42" s="167"/>
      <c r="H42" s="164">
        <f>+G42/$H$5*12</f>
        <v>0</v>
      </c>
      <c r="I42" s="167"/>
      <c r="J42" s="641">
        <f>400*NoOfSpaces</f>
        <v>47200</v>
      </c>
      <c r="L42" s="168" t="str">
        <f t="shared" ref="L42:L112" si="4">VLOOKUP(B42,ChartOfAccounts,2,)</f>
        <v>Banking and Merchant fees (est)</v>
      </c>
      <c r="M42" s="168"/>
      <c r="O42" s="165" t="s">
        <v>439</v>
      </c>
      <c r="P42" s="166">
        <v>5701</v>
      </c>
    </row>
    <row r="43" spans="1:16" x14ac:dyDescent="0.25">
      <c r="A43" s="639" t="s">
        <v>440</v>
      </c>
      <c r="B43" s="640">
        <v>5304</v>
      </c>
      <c r="C43" s="641"/>
      <c r="D43" s="641"/>
      <c r="E43" s="641"/>
      <c r="F43" s="641"/>
      <c r="G43" s="641"/>
      <c r="H43" s="164">
        <f t="shared" ref="H43:H112" si="5">+G43/$H$5*12</f>
        <v>0</v>
      </c>
      <c r="I43" s="641"/>
      <c r="J43" s="641">
        <f>J42*0.017</f>
        <v>802.40000000000009</v>
      </c>
      <c r="L43" s="642" t="str">
        <f t="shared" si="4"/>
        <v>Licenses and Permits</v>
      </c>
      <c r="M43" s="642"/>
      <c r="O43" s="639" t="s">
        <v>175</v>
      </c>
      <c r="P43" s="640">
        <v>5305</v>
      </c>
    </row>
    <row r="44" spans="1:16" x14ac:dyDescent="0.25">
      <c r="A44" s="639" t="s">
        <v>441</v>
      </c>
      <c r="B44" s="640">
        <v>5603</v>
      </c>
      <c r="C44" s="641"/>
      <c r="D44" s="641"/>
      <c r="E44" s="641"/>
      <c r="F44" s="641"/>
      <c r="G44" s="641"/>
      <c r="H44" s="164">
        <f t="shared" si="5"/>
        <v>0</v>
      </c>
      <c r="I44" s="641"/>
      <c r="J44" s="641">
        <f>J42*0.06</f>
        <v>2832</v>
      </c>
      <c r="L44" s="642" t="str">
        <f t="shared" si="4"/>
        <v xml:space="preserve">Phone/Cable </v>
      </c>
      <c r="M44" s="642"/>
      <c r="O44" s="639" t="s">
        <v>176</v>
      </c>
      <c r="P44" s="640">
        <v>5306</v>
      </c>
    </row>
    <row r="45" spans="1:16" x14ac:dyDescent="0.25">
      <c r="A45" s="639" t="s">
        <v>186</v>
      </c>
      <c r="B45" s="640">
        <v>5053</v>
      </c>
      <c r="C45" s="641"/>
      <c r="D45" s="641"/>
      <c r="E45" s="641"/>
      <c r="F45" s="641"/>
      <c r="G45" s="641"/>
      <c r="H45" s="164">
        <f t="shared" si="5"/>
        <v>0</v>
      </c>
      <c r="I45" s="641"/>
      <c r="J45" s="641"/>
      <c r="L45" s="642" t="str">
        <f t="shared" si="4"/>
        <v xml:space="preserve">Insurance </v>
      </c>
      <c r="M45" s="642"/>
      <c r="O45" s="639" t="s">
        <v>426</v>
      </c>
      <c r="P45" s="640">
        <v>5404</v>
      </c>
    </row>
    <row r="46" spans="1:16" x14ac:dyDescent="0.25">
      <c r="A46" s="639" t="s">
        <v>442</v>
      </c>
      <c r="B46" s="640">
        <v>5701</v>
      </c>
      <c r="C46" s="641"/>
      <c r="D46" s="641"/>
      <c r="E46" s="641"/>
      <c r="F46" s="641"/>
      <c r="G46" s="641"/>
      <c r="H46" s="164">
        <f t="shared" si="5"/>
        <v>0</v>
      </c>
      <c r="I46" s="641"/>
      <c r="J46" s="641"/>
      <c r="L46" s="642" t="str">
        <f t="shared" si="4"/>
        <v>Manager/Maint Salary Expense</v>
      </c>
      <c r="M46" s="642"/>
      <c r="O46" s="639" t="s">
        <v>443</v>
      </c>
      <c r="P46" s="640">
        <v>5401</v>
      </c>
    </row>
    <row r="47" spans="1:16" x14ac:dyDescent="0.25">
      <c r="A47" s="639" t="s">
        <v>194</v>
      </c>
      <c r="B47" s="640">
        <v>5601</v>
      </c>
      <c r="C47" s="641"/>
      <c r="D47" s="641"/>
      <c r="E47" s="641"/>
      <c r="F47" s="641"/>
      <c r="G47" s="641"/>
      <c r="H47" s="164">
        <f t="shared" si="5"/>
        <v>0</v>
      </c>
      <c r="I47" s="641"/>
      <c r="J47" s="641"/>
      <c r="L47" s="642" t="str">
        <f t="shared" si="4"/>
        <v>Office Supplies, Postage, Pager, Printing, dues, subscr, Misc.</v>
      </c>
      <c r="M47" s="642" t="s">
        <v>444</v>
      </c>
      <c r="O47" s="639" t="s">
        <v>291</v>
      </c>
      <c r="P47" s="640">
        <v>5405</v>
      </c>
    </row>
    <row r="48" spans="1:16" x14ac:dyDescent="0.25">
      <c r="A48" s="639" t="s">
        <v>445</v>
      </c>
      <c r="B48" s="640">
        <v>5402</v>
      </c>
      <c r="C48" s="641"/>
      <c r="D48" s="641"/>
      <c r="E48" s="641"/>
      <c r="F48" s="641"/>
      <c r="G48" s="641"/>
      <c r="H48" s="164">
        <f t="shared" si="5"/>
        <v>0</v>
      </c>
      <c r="I48" s="641"/>
      <c r="J48" s="641"/>
      <c r="L48" s="642" t="str">
        <f t="shared" si="4"/>
        <v xml:space="preserve">Water </v>
      </c>
      <c r="M48" s="642"/>
      <c r="O48" s="639" t="s">
        <v>446</v>
      </c>
      <c r="P48" s="640">
        <v>5403</v>
      </c>
    </row>
    <row r="49" spans="1:16" x14ac:dyDescent="0.25">
      <c r="A49" s="639" t="s">
        <v>447</v>
      </c>
      <c r="B49" s="640">
        <v>5000</v>
      </c>
      <c r="C49" s="641"/>
      <c r="D49" s="641"/>
      <c r="E49" s="641"/>
      <c r="F49" s="641"/>
      <c r="G49" s="641"/>
      <c r="H49" s="164">
        <f t="shared" si="5"/>
        <v>0</v>
      </c>
      <c r="I49" s="641"/>
      <c r="J49" s="641"/>
      <c r="L49" s="642" t="str">
        <f t="shared" si="4"/>
        <v>Professional Mgmt ($2,000/mo or 5%)</v>
      </c>
      <c r="M49" s="642"/>
      <c r="O49" s="639" t="s">
        <v>448</v>
      </c>
      <c r="P49" s="640">
        <v>5402</v>
      </c>
    </row>
    <row r="50" spans="1:16" x14ac:dyDescent="0.25">
      <c r="A50" s="639" t="s">
        <v>449</v>
      </c>
      <c r="B50" s="640">
        <v>5104</v>
      </c>
      <c r="C50" s="641"/>
      <c r="D50" s="641"/>
      <c r="E50" s="641"/>
      <c r="F50" s="641"/>
      <c r="G50" s="641"/>
      <c r="H50" s="164">
        <f t="shared" si="5"/>
        <v>0</v>
      </c>
      <c r="I50" s="641"/>
      <c r="J50" s="641"/>
      <c r="L50" s="642" t="str">
        <f t="shared" si="4"/>
        <v>Repairs &amp; Maintenance / Capex Reserve</v>
      </c>
      <c r="M50" s="642"/>
      <c r="O50" s="639" t="s">
        <v>182</v>
      </c>
      <c r="P50" s="640">
        <v>5603</v>
      </c>
    </row>
    <row r="51" spans="1:16" x14ac:dyDescent="0.25">
      <c r="A51" s="639" t="s">
        <v>450</v>
      </c>
      <c r="B51" s="640">
        <v>5701</v>
      </c>
      <c r="C51" s="641"/>
      <c r="D51" s="641"/>
      <c r="E51" s="641"/>
      <c r="F51" s="641"/>
      <c r="G51" s="641"/>
      <c r="H51" s="164">
        <f t="shared" si="5"/>
        <v>0</v>
      </c>
      <c r="I51" s="641"/>
      <c r="J51" s="641"/>
      <c r="L51" s="642" t="str">
        <f t="shared" si="4"/>
        <v>Manager/Maint Salary Expense</v>
      </c>
      <c r="M51" s="642"/>
      <c r="O51" s="639" t="s">
        <v>183</v>
      </c>
      <c r="P51" s="640">
        <v>5020</v>
      </c>
    </row>
    <row r="52" spans="1:16" x14ac:dyDescent="0.25">
      <c r="A52" s="639" t="s">
        <v>451</v>
      </c>
      <c r="B52" s="640">
        <v>5301</v>
      </c>
      <c r="C52" s="641"/>
      <c r="D52" s="641"/>
      <c r="E52" s="641"/>
      <c r="F52" s="641"/>
      <c r="G52" s="641"/>
      <c r="H52" s="164">
        <f t="shared" si="5"/>
        <v>0</v>
      </c>
      <c r="I52" s="641"/>
      <c r="J52" s="641">
        <f>250*NoOfSpaces</f>
        <v>29500</v>
      </c>
      <c r="L52" s="642" t="str">
        <f t="shared" si="4"/>
        <v xml:space="preserve">Property Taxes </v>
      </c>
      <c r="M52" s="642"/>
      <c r="O52" s="639" t="s">
        <v>452</v>
      </c>
      <c r="P52" s="640">
        <v>5104</v>
      </c>
    </row>
    <row r="53" spans="1:16" x14ac:dyDescent="0.25">
      <c r="A53" s="639" t="s">
        <v>453</v>
      </c>
      <c r="B53" s="640">
        <v>5305</v>
      </c>
      <c r="C53" s="641"/>
      <c r="D53" s="641"/>
      <c r="E53" s="641"/>
      <c r="F53" s="641"/>
      <c r="G53" s="641"/>
      <c r="H53" s="164">
        <f t="shared" si="5"/>
        <v>0</v>
      </c>
      <c r="I53" s="641"/>
      <c r="J53" s="641">
        <f>50*NoOfSpaces</f>
        <v>5900</v>
      </c>
      <c r="L53" s="642" t="str">
        <f t="shared" si="4"/>
        <v>Payroll Taxes</v>
      </c>
      <c r="M53" s="642"/>
      <c r="O53" s="639" t="s">
        <v>184</v>
      </c>
      <c r="P53" s="640">
        <v>5109</v>
      </c>
    </row>
    <row r="54" spans="1:16" x14ac:dyDescent="0.25">
      <c r="A54" s="639" t="s">
        <v>454</v>
      </c>
      <c r="B54" s="640">
        <v>5301</v>
      </c>
      <c r="C54" s="641"/>
      <c r="D54" s="641"/>
      <c r="E54" s="641"/>
      <c r="F54" s="641"/>
      <c r="G54" s="641"/>
      <c r="H54" s="164">
        <f t="shared" si="5"/>
        <v>0</v>
      </c>
      <c r="I54" s="641"/>
      <c r="J54" s="641">
        <f>50*NoOfSpaces</f>
        <v>5900</v>
      </c>
      <c r="L54" s="642" t="str">
        <f t="shared" si="4"/>
        <v xml:space="preserve">Property Taxes </v>
      </c>
      <c r="M54" s="642"/>
      <c r="O54" s="639" t="s">
        <v>185</v>
      </c>
      <c r="P54" s="640">
        <v>5200</v>
      </c>
    </row>
    <row r="55" spans="1:16" x14ac:dyDescent="0.25">
      <c r="A55" s="639" t="s">
        <v>455</v>
      </c>
      <c r="B55" s="640">
        <v>5404</v>
      </c>
      <c r="C55" s="641"/>
      <c r="D55" s="641"/>
      <c r="E55" s="641"/>
      <c r="F55" s="641"/>
      <c r="G55" s="641"/>
      <c r="H55" s="164">
        <f t="shared" si="5"/>
        <v>0</v>
      </c>
      <c r="I55" s="641"/>
      <c r="J55" s="641">
        <f>0.011*Purchase_Price</f>
        <v>112530</v>
      </c>
      <c r="L55" s="642" t="str">
        <f t="shared" si="4"/>
        <v>Electric</v>
      </c>
      <c r="M55" s="642"/>
      <c r="O55" s="639" t="s">
        <v>454</v>
      </c>
      <c r="P55" s="640">
        <v>5301</v>
      </c>
    </row>
    <row r="56" spans="1:16" x14ac:dyDescent="0.25">
      <c r="A56" s="639"/>
      <c r="B56" s="640"/>
      <c r="C56" s="641"/>
      <c r="D56" s="641"/>
      <c r="E56" s="641"/>
      <c r="F56" s="641"/>
      <c r="G56" s="641"/>
      <c r="H56" s="164">
        <f t="shared" si="5"/>
        <v>0</v>
      </c>
      <c r="I56" s="641"/>
      <c r="J56" s="641">
        <f>Proforma!J9*NoOfSpaces</f>
        <v>8260</v>
      </c>
      <c r="L56" s="642" t="e">
        <f t="shared" si="4"/>
        <v>#N/A</v>
      </c>
      <c r="M56" s="642"/>
      <c r="O56" s="639" t="s">
        <v>186</v>
      </c>
      <c r="P56" s="640">
        <v>5053</v>
      </c>
    </row>
    <row r="57" spans="1:16" x14ac:dyDescent="0.25">
      <c r="A57" s="639" t="s">
        <v>456</v>
      </c>
      <c r="B57" s="640">
        <v>5000</v>
      </c>
      <c r="C57" s="641"/>
      <c r="D57" s="641"/>
      <c r="E57" s="641"/>
      <c r="F57" s="641"/>
      <c r="G57" s="641"/>
      <c r="H57" s="164">
        <f t="shared" si="5"/>
        <v>0</v>
      </c>
      <c r="I57" s="641">
        <v>87298</v>
      </c>
      <c r="J57" s="641"/>
      <c r="L57" s="642" t="str">
        <f t="shared" si="4"/>
        <v>Professional Mgmt ($2,000/mo or 5%)</v>
      </c>
      <c r="M57" s="642"/>
      <c r="O57" s="639" t="s">
        <v>457</v>
      </c>
      <c r="P57" s="640">
        <v>5604</v>
      </c>
    </row>
    <row r="58" spans="1:16" x14ac:dyDescent="0.25">
      <c r="A58" s="639" t="s">
        <v>458</v>
      </c>
      <c r="B58" s="640">
        <v>5020</v>
      </c>
      <c r="C58" s="641"/>
      <c r="D58" s="641"/>
      <c r="E58" s="641"/>
      <c r="F58" s="641"/>
      <c r="G58" s="641"/>
      <c r="H58" s="164">
        <f t="shared" si="5"/>
        <v>0</v>
      </c>
      <c r="I58" s="641">
        <v>152</v>
      </c>
      <c r="J58" s="641"/>
      <c r="L58" s="642" t="str">
        <f t="shared" si="4"/>
        <v>Auto expense &amp; travel</v>
      </c>
      <c r="M58" s="642"/>
      <c r="O58" s="639" t="s">
        <v>188</v>
      </c>
      <c r="P58" s="640">
        <v>5062</v>
      </c>
    </row>
    <row r="59" spans="1:16" x14ac:dyDescent="0.25">
      <c r="A59" s="639" t="s">
        <v>459</v>
      </c>
      <c r="B59" s="640">
        <v>5064</v>
      </c>
      <c r="C59" s="641"/>
      <c r="D59" s="641"/>
      <c r="E59" s="641"/>
      <c r="F59" s="641"/>
      <c r="G59" s="641"/>
      <c r="H59" s="164">
        <f t="shared" si="5"/>
        <v>0</v>
      </c>
      <c r="I59" s="641">
        <v>1001</v>
      </c>
      <c r="J59" s="641"/>
      <c r="L59" s="642" t="str">
        <f t="shared" si="4"/>
        <v>Banking and Merchant fees (est)</v>
      </c>
      <c r="M59" s="642"/>
      <c r="O59" s="639" t="s">
        <v>189</v>
      </c>
      <c r="P59" s="640">
        <v>5302</v>
      </c>
    </row>
    <row r="60" spans="1:16" x14ac:dyDescent="0.25">
      <c r="A60" s="639" t="s">
        <v>460</v>
      </c>
      <c r="B60" s="640">
        <v>5302</v>
      </c>
      <c r="C60" s="641"/>
      <c r="D60" s="641"/>
      <c r="E60" s="641"/>
      <c r="F60" s="641"/>
      <c r="G60" s="641"/>
      <c r="H60" s="164">
        <f t="shared" si="5"/>
        <v>0</v>
      </c>
      <c r="I60" s="641">
        <v>5800</v>
      </c>
      <c r="J60" s="641"/>
      <c r="L60" s="642" t="str">
        <f t="shared" si="4"/>
        <v>LLC/LP Tax</v>
      </c>
      <c r="M60" s="642"/>
      <c r="O60" s="639" t="s">
        <v>190</v>
      </c>
      <c r="P60" s="640">
        <v>5001</v>
      </c>
    </row>
    <row r="61" spans="1:16" x14ac:dyDescent="0.25">
      <c r="A61" s="639" t="s">
        <v>461</v>
      </c>
      <c r="B61" s="640">
        <v>5603</v>
      </c>
      <c r="C61" s="641"/>
      <c r="D61" s="641"/>
      <c r="E61" s="641"/>
      <c r="F61" s="641"/>
      <c r="G61" s="641"/>
      <c r="H61" s="164">
        <f t="shared" si="5"/>
        <v>0</v>
      </c>
      <c r="I61" s="641">
        <v>3159</v>
      </c>
      <c r="J61" s="641"/>
      <c r="L61" s="642" t="str">
        <f t="shared" si="4"/>
        <v xml:space="preserve">Phone/Cable </v>
      </c>
      <c r="M61" s="642"/>
      <c r="O61" s="639" t="s">
        <v>191</v>
      </c>
      <c r="P61" s="640">
        <v>5061</v>
      </c>
    </row>
    <row r="62" spans="1:16" x14ac:dyDescent="0.25">
      <c r="A62" s="639" t="s">
        <v>462</v>
      </c>
      <c r="B62" s="640">
        <v>5601</v>
      </c>
      <c r="C62" s="641"/>
      <c r="D62" s="641"/>
      <c r="E62" s="641"/>
      <c r="F62" s="641"/>
      <c r="G62" s="641"/>
      <c r="H62" s="164">
        <f t="shared" si="5"/>
        <v>0</v>
      </c>
      <c r="I62" s="641">
        <v>216</v>
      </c>
      <c r="J62" s="641">
        <v>500</v>
      </c>
      <c r="L62" s="642" t="str">
        <f t="shared" si="4"/>
        <v>Office Supplies, Postage, Pager, Printing, dues, subscr, Misc.</v>
      </c>
      <c r="M62" s="642"/>
      <c r="O62" s="639" t="s">
        <v>192</v>
      </c>
      <c r="P62" s="640">
        <v>5304</v>
      </c>
    </row>
    <row r="63" spans="1:16" x14ac:dyDescent="0.25">
      <c r="A63" s="639" t="s">
        <v>463</v>
      </c>
      <c r="B63" s="640">
        <v>5053</v>
      </c>
      <c r="C63" s="641"/>
      <c r="D63" s="641"/>
      <c r="E63" s="641"/>
      <c r="F63" s="641"/>
      <c r="G63" s="641"/>
      <c r="H63" s="164">
        <f t="shared" si="5"/>
        <v>0</v>
      </c>
      <c r="I63" s="641">
        <v>20400</v>
      </c>
      <c r="J63" s="641">
        <v>250</v>
      </c>
      <c r="L63" s="642" t="str">
        <f t="shared" si="4"/>
        <v xml:space="preserve">Insurance </v>
      </c>
      <c r="M63" s="642"/>
      <c r="O63" s="639" t="s">
        <v>193</v>
      </c>
      <c r="P63" s="640">
        <v>5064</v>
      </c>
    </row>
    <row r="64" spans="1:16" x14ac:dyDescent="0.25">
      <c r="A64" s="639" t="s">
        <v>464</v>
      </c>
      <c r="B64" s="640">
        <v>5601</v>
      </c>
      <c r="C64" s="641"/>
      <c r="D64" s="641"/>
      <c r="E64" s="641"/>
      <c r="F64" s="641"/>
      <c r="G64" s="641"/>
      <c r="H64" s="164">
        <f t="shared" si="5"/>
        <v>0</v>
      </c>
      <c r="I64" s="641">
        <v>3387</v>
      </c>
      <c r="J64" s="641">
        <f>20*NoOfSpaces</f>
        <v>2360</v>
      </c>
      <c r="L64" s="642" t="str">
        <f t="shared" si="4"/>
        <v>Office Supplies, Postage, Pager, Printing, dues, subscr, Misc.</v>
      </c>
      <c r="M64" s="642"/>
      <c r="O64" s="639" t="s">
        <v>194</v>
      </c>
      <c r="P64" s="640">
        <v>5601</v>
      </c>
    </row>
    <row r="65" spans="1:16" x14ac:dyDescent="0.25">
      <c r="A65" s="639" t="s">
        <v>465</v>
      </c>
      <c r="B65" s="640">
        <v>5109</v>
      </c>
      <c r="C65" s="641"/>
      <c r="D65" s="641"/>
      <c r="E65" s="641"/>
      <c r="F65" s="641"/>
      <c r="G65" s="641"/>
      <c r="H65" s="164">
        <f t="shared" si="5"/>
        <v>0</v>
      </c>
      <c r="I65" s="641">
        <v>24204</v>
      </c>
      <c r="J65" s="641">
        <f>0.05*Proforma!F54*12</f>
        <v>71960.769520000002</v>
      </c>
      <c r="L65" s="642" t="str">
        <f t="shared" si="4"/>
        <v>Outside Services -plumbing, electrical, etc</v>
      </c>
      <c r="M65" s="642"/>
      <c r="O65" s="639" t="s">
        <v>466</v>
      </c>
      <c r="P65" s="640">
        <v>5000</v>
      </c>
    </row>
    <row r="66" spans="1:16" x14ac:dyDescent="0.25">
      <c r="A66" s="639" t="s">
        <v>467</v>
      </c>
      <c r="B66" s="640">
        <v>5701</v>
      </c>
      <c r="C66" s="641"/>
      <c r="D66" s="641"/>
      <c r="E66" s="641"/>
      <c r="F66" s="641"/>
      <c r="G66" s="641"/>
      <c r="H66" s="164">
        <f t="shared" si="5"/>
        <v>0</v>
      </c>
      <c r="I66" s="641">
        <v>1224</v>
      </c>
      <c r="J66" s="641"/>
      <c r="L66" s="642" t="str">
        <f t="shared" si="4"/>
        <v>Manager/Maint Salary Expense</v>
      </c>
      <c r="M66" s="642"/>
    </row>
    <row r="67" spans="1:16" x14ac:dyDescent="0.25">
      <c r="A67" s="739" t="s">
        <v>468</v>
      </c>
      <c r="B67" s="640">
        <v>5304</v>
      </c>
      <c r="C67" s="641"/>
      <c r="D67" s="641"/>
      <c r="E67" s="641"/>
      <c r="F67" s="641"/>
      <c r="G67" s="641"/>
      <c r="H67" s="164">
        <f t="shared" si="5"/>
        <v>0</v>
      </c>
      <c r="I67" s="641">
        <v>4256</v>
      </c>
      <c r="J67" s="641"/>
      <c r="L67" s="642" t="str">
        <f t="shared" si="4"/>
        <v>Licenses and Permits</v>
      </c>
      <c r="M67" s="642"/>
      <c r="O67" s="165" t="s">
        <v>439</v>
      </c>
      <c r="P67" s="166">
        <v>5701</v>
      </c>
    </row>
    <row r="68" spans="1:16" x14ac:dyDescent="0.25">
      <c r="A68" s="739" t="s">
        <v>469</v>
      </c>
      <c r="B68" s="640">
        <v>5601</v>
      </c>
      <c r="C68" s="641"/>
      <c r="D68" s="641"/>
      <c r="E68" s="641"/>
      <c r="F68" s="641"/>
      <c r="G68" s="641"/>
      <c r="H68" s="164">
        <f t="shared" si="5"/>
        <v>0</v>
      </c>
      <c r="I68" s="641">
        <v>26</v>
      </c>
      <c r="J68" s="641"/>
      <c r="L68" s="642" t="str">
        <f t="shared" si="4"/>
        <v>Office Supplies, Postage, Pager, Printing, dues, subscr, Misc.</v>
      </c>
      <c r="M68" s="642"/>
      <c r="O68" s="639" t="s">
        <v>175</v>
      </c>
      <c r="P68" s="640">
        <v>5305</v>
      </c>
    </row>
    <row r="69" spans="1:16" x14ac:dyDescent="0.25">
      <c r="A69" s="739" t="s">
        <v>470</v>
      </c>
      <c r="B69" s="640">
        <v>5061</v>
      </c>
      <c r="C69" s="641"/>
      <c r="D69" s="641"/>
      <c r="E69" s="641"/>
      <c r="F69" s="641"/>
      <c r="G69" s="641"/>
      <c r="H69" s="164">
        <f t="shared" si="5"/>
        <v>0</v>
      </c>
      <c r="I69" s="641">
        <v>3008</v>
      </c>
      <c r="J69" s="641"/>
      <c r="L69" s="642" t="str">
        <f t="shared" si="4"/>
        <v>Tax Return Preparation/accounting</v>
      </c>
      <c r="M69" s="642"/>
      <c r="O69" s="639" t="s">
        <v>176</v>
      </c>
      <c r="P69" s="640">
        <v>5306</v>
      </c>
    </row>
    <row r="70" spans="1:16" x14ac:dyDescent="0.25">
      <c r="A70" s="739" t="s">
        <v>471</v>
      </c>
      <c r="B70" s="640">
        <v>5104</v>
      </c>
      <c r="C70" s="641"/>
      <c r="D70" s="641"/>
      <c r="E70" s="641"/>
      <c r="F70" s="641"/>
      <c r="G70" s="641"/>
      <c r="H70" s="164">
        <f t="shared" si="5"/>
        <v>0</v>
      </c>
      <c r="I70" s="641">
        <v>44397</v>
      </c>
      <c r="J70" s="641"/>
      <c r="L70" s="642" t="str">
        <f t="shared" si="4"/>
        <v>Repairs &amp; Maintenance / Capex Reserve</v>
      </c>
      <c r="M70" s="642"/>
      <c r="O70" s="639" t="s">
        <v>426</v>
      </c>
      <c r="P70" s="640">
        <v>5404</v>
      </c>
    </row>
    <row r="71" spans="1:16" x14ac:dyDescent="0.25">
      <c r="A71" s="739" t="s">
        <v>472</v>
      </c>
      <c r="B71" s="640">
        <v>5701</v>
      </c>
      <c r="C71" s="641"/>
      <c r="D71" s="641"/>
      <c r="E71" s="641"/>
      <c r="F71" s="641"/>
      <c r="G71" s="641"/>
      <c r="H71" s="164">
        <f t="shared" si="5"/>
        <v>0</v>
      </c>
      <c r="I71" s="641">
        <v>88079</v>
      </c>
      <c r="J71" s="641"/>
      <c r="L71" s="642" t="str">
        <f t="shared" si="4"/>
        <v>Manager/Maint Salary Expense</v>
      </c>
      <c r="M71" s="642"/>
      <c r="O71" s="639" t="s">
        <v>443</v>
      </c>
      <c r="P71" s="640">
        <v>5401</v>
      </c>
    </row>
    <row r="72" spans="1:16" x14ac:dyDescent="0.25">
      <c r="A72" s="739" t="s">
        <v>473</v>
      </c>
      <c r="B72" s="640">
        <v>5305</v>
      </c>
      <c r="C72" s="641"/>
      <c r="D72" s="641"/>
      <c r="E72" s="641"/>
      <c r="F72" s="641"/>
      <c r="G72" s="641"/>
      <c r="H72" s="164">
        <f t="shared" si="5"/>
        <v>0</v>
      </c>
      <c r="I72" s="641">
        <v>9402</v>
      </c>
      <c r="J72" s="641"/>
      <c r="L72" s="642" t="str">
        <f t="shared" si="4"/>
        <v>Payroll Taxes</v>
      </c>
      <c r="M72" s="642"/>
      <c r="O72" s="639" t="s">
        <v>291</v>
      </c>
      <c r="P72" s="640">
        <v>5405</v>
      </c>
    </row>
    <row r="73" spans="1:16" x14ac:dyDescent="0.25">
      <c r="A73" s="739" t="s">
        <v>474</v>
      </c>
      <c r="B73" s="640">
        <v>5301</v>
      </c>
      <c r="C73" s="641"/>
      <c r="D73" s="641"/>
      <c r="E73" s="641"/>
      <c r="F73" s="641"/>
      <c r="G73" s="641"/>
      <c r="H73" s="164">
        <f t="shared" si="5"/>
        <v>0</v>
      </c>
      <c r="I73" s="641">
        <v>125292</v>
      </c>
      <c r="J73" s="641"/>
      <c r="L73" s="642" t="str">
        <f t="shared" si="4"/>
        <v xml:space="preserve">Property Taxes </v>
      </c>
      <c r="M73" s="642"/>
      <c r="O73" s="639" t="s">
        <v>446</v>
      </c>
      <c r="P73" s="640">
        <v>5403</v>
      </c>
    </row>
    <row r="74" spans="1:16" x14ac:dyDescent="0.25">
      <c r="A74" s="739" t="s">
        <v>475</v>
      </c>
      <c r="B74" s="640">
        <v>5020</v>
      </c>
      <c r="C74" s="641"/>
      <c r="D74" s="641"/>
      <c r="E74" s="641"/>
      <c r="F74" s="641"/>
      <c r="G74" s="641"/>
      <c r="H74" s="164">
        <f t="shared" si="5"/>
        <v>0</v>
      </c>
      <c r="I74" s="641">
        <v>813</v>
      </c>
      <c r="J74" s="641"/>
      <c r="L74" s="642" t="str">
        <f t="shared" si="4"/>
        <v>Auto expense &amp; travel</v>
      </c>
      <c r="M74" s="642"/>
      <c r="O74" s="639" t="s">
        <v>448</v>
      </c>
      <c r="P74" s="640">
        <v>5402</v>
      </c>
    </row>
    <row r="75" spans="1:16" x14ac:dyDescent="0.25">
      <c r="A75" s="739" t="s">
        <v>455</v>
      </c>
      <c r="B75" s="640">
        <v>5404</v>
      </c>
      <c r="C75" s="641"/>
      <c r="D75" s="641"/>
      <c r="E75" s="641"/>
      <c r="F75" s="641"/>
      <c r="G75" s="641"/>
      <c r="H75" s="164">
        <f t="shared" si="5"/>
        <v>0</v>
      </c>
      <c r="I75" s="641">
        <v>288261</v>
      </c>
      <c r="J75" s="641"/>
      <c r="L75" s="642" t="str">
        <f t="shared" si="4"/>
        <v>Electric</v>
      </c>
      <c r="M75" s="642"/>
      <c r="O75" s="639" t="s">
        <v>182</v>
      </c>
      <c r="P75" s="640">
        <v>5603</v>
      </c>
    </row>
    <row r="76" spans="1:16" x14ac:dyDescent="0.25">
      <c r="A76" s="739"/>
      <c r="B76" s="640"/>
      <c r="C76" s="641"/>
      <c r="D76" s="641"/>
      <c r="E76" s="641"/>
      <c r="F76" s="641"/>
      <c r="G76" s="641"/>
      <c r="H76" s="164">
        <f t="shared" si="5"/>
        <v>0</v>
      </c>
      <c r="I76" s="641"/>
      <c r="J76" s="641"/>
      <c r="L76" s="642" t="e">
        <f t="shared" si="4"/>
        <v>#N/A</v>
      </c>
      <c r="M76" s="642"/>
      <c r="O76" s="639" t="s">
        <v>183</v>
      </c>
      <c r="P76" s="640">
        <v>5020</v>
      </c>
    </row>
    <row r="77" spans="1:16" x14ac:dyDescent="0.25">
      <c r="A77" s="739" t="s">
        <v>476</v>
      </c>
      <c r="B77" s="640">
        <v>5001</v>
      </c>
      <c r="C77" s="641"/>
      <c r="D77" s="641">
        <v>0</v>
      </c>
      <c r="E77" s="641"/>
      <c r="F77" s="641"/>
      <c r="G77" s="641"/>
      <c r="H77" s="164">
        <f t="shared" si="5"/>
        <v>0</v>
      </c>
      <c r="I77" s="641"/>
      <c r="J77" s="641"/>
      <c r="L77" s="642" t="str">
        <f t="shared" si="4"/>
        <v>Advertising</v>
      </c>
      <c r="M77" s="642"/>
      <c r="O77" s="639" t="s">
        <v>452</v>
      </c>
      <c r="P77" s="640">
        <v>5104</v>
      </c>
    </row>
    <row r="78" spans="1:16" x14ac:dyDescent="0.25">
      <c r="A78" s="739" t="s">
        <v>458</v>
      </c>
      <c r="B78" s="640">
        <v>5020</v>
      </c>
      <c r="C78" s="641"/>
      <c r="D78" s="641">
        <v>0</v>
      </c>
      <c r="E78" s="641"/>
      <c r="F78" s="641"/>
      <c r="G78" s="641"/>
      <c r="H78" s="164">
        <f t="shared" si="5"/>
        <v>0</v>
      </c>
      <c r="I78" s="641"/>
      <c r="J78" s="641"/>
      <c r="L78" s="642" t="str">
        <f t="shared" si="4"/>
        <v>Auto expense &amp; travel</v>
      </c>
      <c r="M78" s="642"/>
      <c r="O78" s="639" t="s">
        <v>184</v>
      </c>
      <c r="P78" s="640">
        <v>5109</v>
      </c>
    </row>
    <row r="79" spans="1:16" x14ac:dyDescent="0.25">
      <c r="A79" s="739" t="s">
        <v>459</v>
      </c>
      <c r="B79" s="640">
        <v>5064</v>
      </c>
      <c r="C79" s="641"/>
      <c r="D79" s="641">
        <v>751.57</v>
      </c>
      <c r="E79" s="641">
        <v>935.16</v>
      </c>
      <c r="F79" s="641">
        <v>823.14</v>
      </c>
      <c r="G79" s="641"/>
      <c r="H79" s="164">
        <f t="shared" si="5"/>
        <v>0</v>
      </c>
      <c r="I79" s="641"/>
      <c r="J79" s="641"/>
      <c r="L79" s="642" t="str">
        <f t="shared" si="4"/>
        <v>Banking and Merchant fees (est)</v>
      </c>
      <c r="M79" s="642"/>
      <c r="O79" s="639" t="s">
        <v>185</v>
      </c>
      <c r="P79" s="640">
        <v>5200</v>
      </c>
    </row>
    <row r="80" spans="1:16" x14ac:dyDescent="0.25">
      <c r="A80" s="739" t="s">
        <v>460</v>
      </c>
      <c r="B80" s="640">
        <v>5304</v>
      </c>
      <c r="C80" s="641"/>
      <c r="D80" s="641">
        <v>7048.64</v>
      </c>
      <c r="E80" s="641">
        <v>5184.2700000000004</v>
      </c>
      <c r="F80" s="641">
        <v>6891.47</v>
      </c>
      <c r="G80" s="641"/>
      <c r="H80" s="164">
        <f t="shared" si="5"/>
        <v>0</v>
      </c>
      <c r="I80" s="641"/>
      <c r="J80" s="641"/>
      <c r="L80" s="642" t="str">
        <f t="shared" si="4"/>
        <v>Licenses and Permits</v>
      </c>
      <c r="M80" s="642"/>
      <c r="O80" s="639" t="s">
        <v>454</v>
      </c>
      <c r="P80" s="640">
        <v>5301</v>
      </c>
    </row>
    <row r="81" spans="1:16" x14ac:dyDescent="0.25">
      <c r="A81" s="739" t="s">
        <v>477</v>
      </c>
      <c r="B81" s="640"/>
      <c r="C81" s="641"/>
      <c r="D81" s="641">
        <v>0</v>
      </c>
      <c r="E81" s="641"/>
      <c r="F81" s="641"/>
      <c r="G81" s="641"/>
      <c r="H81" s="164">
        <f t="shared" si="5"/>
        <v>0</v>
      </c>
      <c r="I81" s="641"/>
      <c r="J81" s="641"/>
      <c r="L81" s="642" t="e">
        <f t="shared" si="4"/>
        <v>#N/A</v>
      </c>
      <c r="M81" s="642"/>
      <c r="O81" s="639" t="s">
        <v>186</v>
      </c>
      <c r="P81" s="640">
        <v>5053</v>
      </c>
    </row>
    <row r="82" spans="1:16" x14ac:dyDescent="0.25">
      <c r="A82" s="739" t="s">
        <v>461</v>
      </c>
      <c r="B82" s="640">
        <v>5603</v>
      </c>
      <c r="C82" s="641"/>
      <c r="D82" s="641">
        <v>2589.75</v>
      </c>
      <c r="E82" s="641">
        <v>3334.35</v>
      </c>
      <c r="F82" s="641">
        <v>4108.26</v>
      </c>
      <c r="G82" s="641"/>
      <c r="H82" s="164">
        <f t="shared" si="5"/>
        <v>0</v>
      </c>
      <c r="I82" s="641"/>
      <c r="J82" s="641"/>
      <c r="L82" s="642" t="str">
        <f t="shared" si="4"/>
        <v xml:space="preserve">Phone/Cable </v>
      </c>
      <c r="M82" s="642"/>
      <c r="O82" s="639" t="s">
        <v>457</v>
      </c>
      <c r="P82" s="640">
        <v>5604</v>
      </c>
    </row>
    <row r="83" spans="1:16" x14ac:dyDescent="0.25">
      <c r="A83" s="739" t="s">
        <v>478</v>
      </c>
      <c r="B83" s="640"/>
      <c r="C83" s="641"/>
      <c r="D83" s="641">
        <v>3792</v>
      </c>
      <c r="E83" s="641"/>
      <c r="F83" s="641">
        <v>3792</v>
      </c>
      <c r="G83" s="641"/>
      <c r="H83" s="164">
        <f t="shared" si="5"/>
        <v>0</v>
      </c>
      <c r="I83" s="641"/>
      <c r="J83" s="641"/>
      <c r="L83" s="642" t="e">
        <f t="shared" si="4"/>
        <v>#N/A</v>
      </c>
      <c r="M83" s="642"/>
      <c r="O83" s="639" t="s">
        <v>188</v>
      </c>
      <c r="P83" s="640">
        <v>5062</v>
      </c>
    </row>
    <row r="84" spans="1:16" x14ac:dyDescent="0.25">
      <c r="A84" s="739" t="s">
        <v>462</v>
      </c>
      <c r="B84" s="640">
        <v>5601</v>
      </c>
      <c r="C84" s="641"/>
      <c r="D84" s="641">
        <v>1320.52</v>
      </c>
      <c r="E84" s="641">
        <v>195</v>
      </c>
      <c r="F84" s="641">
        <v>195</v>
      </c>
      <c r="G84" s="641"/>
      <c r="H84" s="164">
        <f t="shared" si="5"/>
        <v>0</v>
      </c>
      <c r="I84" s="641"/>
      <c r="J84" s="641"/>
      <c r="L84" s="642" t="str">
        <f t="shared" si="4"/>
        <v>Office Supplies, Postage, Pager, Printing, dues, subscr, Misc.</v>
      </c>
      <c r="M84" s="642"/>
      <c r="O84" s="639" t="s">
        <v>189</v>
      </c>
      <c r="P84" s="640">
        <v>5302</v>
      </c>
    </row>
    <row r="85" spans="1:16" x14ac:dyDescent="0.25">
      <c r="A85" s="739" t="s">
        <v>479</v>
      </c>
      <c r="B85" s="640">
        <v>5053</v>
      </c>
      <c r="C85" s="641"/>
      <c r="D85" s="641">
        <v>17519.2</v>
      </c>
      <c r="E85" s="641">
        <v>14462.8</v>
      </c>
      <c r="F85" s="641">
        <v>19008.8</v>
      </c>
      <c r="G85" s="641"/>
      <c r="H85" s="164">
        <f t="shared" si="5"/>
        <v>0</v>
      </c>
      <c r="I85" s="641"/>
      <c r="J85" s="641"/>
      <c r="L85" s="642" t="str">
        <f t="shared" si="4"/>
        <v xml:space="preserve">Insurance </v>
      </c>
      <c r="M85" s="642"/>
      <c r="O85" s="639" t="s">
        <v>190</v>
      </c>
      <c r="P85" s="640">
        <v>5001</v>
      </c>
    </row>
    <row r="86" spans="1:16" x14ac:dyDescent="0.25">
      <c r="A86" s="739" t="s">
        <v>480</v>
      </c>
      <c r="B86" s="640"/>
      <c r="C86" s="641"/>
      <c r="D86" s="641">
        <v>314115.40999999997</v>
      </c>
      <c r="E86" s="641"/>
      <c r="F86" s="641">
        <v>400722.23</v>
      </c>
      <c r="G86" s="641"/>
      <c r="H86" s="164">
        <f t="shared" si="5"/>
        <v>0</v>
      </c>
      <c r="I86" s="641"/>
      <c r="J86" s="641"/>
      <c r="L86" s="642" t="e">
        <f t="shared" si="4"/>
        <v>#N/A</v>
      </c>
      <c r="M86" s="642"/>
      <c r="O86" s="639" t="s">
        <v>191</v>
      </c>
      <c r="P86" s="640">
        <v>5061</v>
      </c>
    </row>
    <row r="87" spans="1:16" x14ac:dyDescent="0.25">
      <c r="A87" s="739" t="s">
        <v>481</v>
      </c>
      <c r="B87" s="640">
        <v>5701</v>
      </c>
      <c r="C87" s="641"/>
      <c r="D87" s="641">
        <v>122917</v>
      </c>
      <c r="E87" s="641">
        <v>119976.89</v>
      </c>
      <c r="F87" s="641">
        <v>128726.89</v>
      </c>
      <c r="G87" s="641"/>
      <c r="H87" s="164">
        <f t="shared" si="5"/>
        <v>0</v>
      </c>
      <c r="I87" s="641"/>
      <c r="J87" s="641"/>
      <c r="L87" s="642" t="str">
        <f t="shared" si="4"/>
        <v>Manager/Maint Salary Expense</v>
      </c>
      <c r="M87" s="642"/>
      <c r="O87" s="639" t="s">
        <v>192</v>
      </c>
      <c r="P87" s="640">
        <v>5304</v>
      </c>
    </row>
    <row r="88" spans="1:16" x14ac:dyDescent="0.25">
      <c r="A88" s="739" t="s">
        <v>464</v>
      </c>
      <c r="B88" s="640">
        <v>5601</v>
      </c>
      <c r="C88" s="641"/>
      <c r="D88" s="641">
        <v>4129.7299999999996</v>
      </c>
      <c r="E88" s="641">
        <v>3091.86</v>
      </c>
      <c r="F88" s="641">
        <v>2375.06</v>
      </c>
      <c r="G88" s="641"/>
      <c r="H88" s="164">
        <f t="shared" si="5"/>
        <v>0</v>
      </c>
      <c r="I88" s="641"/>
      <c r="J88" s="641"/>
      <c r="L88" s="642" t="str">
        <f t="shared" si="4"/>
        <v>Office Supplies, Postage, Pager, Printing, dues, subscr, Misc.</v>
      </c>
      <c r="M88" s="642"/>
      <c r="O88" s="639" t="s">
        <v>193</v>
      </c>
      <c r="P88" s="640">
        <v>5064</v>
      </c>
    </row>
    <row r="89" spans="1:16" x14ac:dyDescent="0.25">
      <c r="A89" s="739" t="s">
        <v>465</v>
      </c>
      <c r="B89" s="640">
        <v>5109</v>
      </c>
      <c r="C89" s="641"/>
      <c r="D89" s="641">
        <v>33292.51</v>
      </c>
      <c r="E89" s="641">
        <v>30488.77</v>
      </c>
      <c r="F89" s="641">
        <v>27173.43</v>
      </c>
      <c r="G89" s="641"/>
      <c r="H89" s="164">
        <f t="shared" si="5"/>
        <v>0</v>
      </c>
      <c r="I89" s="641"/>
      <c r="J89" s="641"/>
      <c r="L89" s="642" t="str">
        <f t="shared" si="4"/>
        <v>Outside Services -plumbing, electrical, etc</v>
      </c>
      <c r="M89" s="642"/>
      <c r="O89" s="639" t="s">
        <v>194</v>
      </c>
      <c r="P89" s="640">
        <v>5601</v>
      </c>
    </row>
    <row r="90" spans="1:16" x14ac:dyDescent="0.25">
      <c r="A90" s="739" t="s">
        <v>467</v>
      </c>
      <c r="B90" s="640">
        <v>5305</v>
      </c>
      <c r="C90" s="641"/>
      <c r="D90" s="641">
        <v>900</v>
      </c>
      <c r="E90" s="641">
        <v>1200</v>
      </c>
      <c r="F90" s="641">
        <v>1200</v>
      </c>
      <c r="G90" s="641"/>
      <c r="H90" s="164">
        <f t="shared" si="5"/>
        <v>0</v>
      </c>
      <c r="I90" s="641"/>
      <c r="J90" s="641"/>
      <c r="L90" s="642" t="str">
        <f t="shared" si="4"/>
        <v>Payroll Taxes</v>
      </c>
      <c r="M90" s="642"/>
      <c r="O90" s="639" t="s">
        <v>466</v>
      </c>
      <c r="P90" s="640">
        <v>5000</v>
      </c>
    </row>
    <row r="91" spans="1:16" x14ac:dyDescent="0.25">
      <c r="A91" s="739" t="s">
        <v>469</v>
      </c>
      <c r="B91" s="640">
        <v>5601</v>
      </c>
      <c r="C91" s="641"/>
      <c r="D91" s="641">
        <v>51</v>
      </c>
      <c r="E91" s="641">
        <v>23.45</v>
      </c>
      <c r="F91" s="641">
        <v>13.14</v>
      </c>
      <c r="G91" s="641"/>
      <c r="H91" s="164">
        <f t="shared" si="5"/>
        <v>0</v>
      </c>
      <c r="I91" s="641"/>
      <c r="J91" s="641"/>
      <c r="L91" s="642" t="str">
        <f t="shared" si="4"/>
        <v>Office Supplies, Postage, Pager, Printing, dues, subscr, Misc.</v>
      </c>
      <c r="M91" s="642"/>
    </row>
    <row r="92" spans="1:16" x14ac:dyDescent="0.25">
      <c r="A92" s="739" t="s">
        <v>470</v>
      </c>
      <c r="B92" s="640">
        <v>5062</v>
      </c>
      <c r="C92" s="641"/>
      <c r="D92" s="641">
        <v>15069.78</v>
      </c>
      <c r="E92" s="641">
        <v>8252.16</v>
      </c>
      <c r="F92" s="641">
        <v>9330.61</v>
      </c>
      <c r="G92" s="641"/>
      <c r="H92" s="164">
        <f t="shared" si="5"/>
        <v>0</v>
      </c>
      <c r="I92" s="641"/>
      <c r="J92" s="641"/>
      <c r="L92" s="642" t="str">
        <f t="shared" si="4"/>
        <v>Legal Expenses</v>
      </c>
      <c r="M92" s="642"/>
      <c r="O92" s="165" t="s">
        <v>439</v>
      </c>
      <c r="P92" s="166">
        <v>5701</v>
      </c>
    </row>
    <row r="93" spans="1:16" x14ac:dyDescent="0.25">
      <c r="A93" s="739" t="s">
        <v>471</v>
      </c>
      <c r="B93" s="640">
        <v>5104</v>
      </c>
      <c r="C93" s="641"/>
      <c r="D93" s="641">
        <v>70559.070000000007</v>
      </c>
      <c r="E93" s="641">
        <v>40941.480000000003</v>
      </c>
      <c r="F93" s="641">
        <v>39248.32</v>
      </c>
      <c r="G93" s="641"/>
      <c r="H93" s="164">
        <f t="shared" si="5"/>
        <v>0</v>
      </c>
      <c r="I93" s="641"/>
      <c r="J93" s="641"/>
      <c r="L93" s="642" t="str">
        <f t="shared" si="4"/>
        <v>Repairs &amp; Maintenance / Capex Reserve</v>
      </c>
      <c r="M93" s="642"/>
      <c r="O93" s="639" t="s">
        <v>175</v>
      </c>
      <c r="P93" s="640">
        <v>5305</v>
      </c>
    </row>
    <row r="94" spans="1:16" x14ac:dyDescent="0.25">
      <c r="A94" s="639" t="s">
        <v>472</v>
      </c>
      <c r="B94" s="640">
        <v>5701</v>
      </c>
      <c r="C94" s="641"/>
      <c r="D94" s="641">
        <v>70449.75</v>
      </c>
      <c r="E94" s="641">
        <v>80403.25</v>
      </c>
      <c r="F94" s="641">
        <v>56837.59</v>
      </c>
      <c r="G94" s="641"/>
      <c r="H94" s="164">
        <f t="shared" si="5"/>
        <v>0</v>
      </c>
      <c r="I94" s="641"/>
      <c r="J94" s="641"/>
      <c r="L94" s="642" t="str">
        <f t="shared" si="4"/>
        <v>Manager/Maint Salary Expense</v>
      </c>
      <c r="M94" s="642"/>
      <c r="O94" s="639" t="s">
        <v>176</v>
      </c>
      <c r="P94" s="640">
        <v>5306</v>
      </c>
    </row>
    <row r="95" spans="1:16" x14ac:dyDescent="0.25">
      <c r="A95" s="639" t="s">
        <v>482</v>
      </c>
      <c r="B95" s="640">
        <v>5200</v>
      </c>
      <c r="C95" s="641"/>
      <c r="D95" s="641">
        <v>8910</v>
      </c>
      <c r="E95" s="641"/>
      <c r="F95" s="641"/>
      <c r="G95" s="641"/>
      <c r="H95" s="164">
        <f t="shared" si="5"/>
        <v>0</v>
      </c>
      <c r="I95" s="641"/>
      <c r="J95" s="641"/>
      <c r="L95" s="642" t="str">
        <f t="shared" si="4"/>
        <v>Landscape, pool, &amp; sweeping maintenance &amp; supplies</v>
      </c>
      <c r="M95" s="642"/>
      <c r="O95" s="639" t="s">
        <v>426</v>
      </c>
      <c r="P95" s="640">
        <v>5404</v>
      </c>
    </row>
    <row r="96" spans="1:16" x14ac:dyDescent="0.25">
      <c r="A96" s="639" t="s">
        <v>483</v>
      </c>
      <c r="B96" s="640"/>
      <c r="C96" s="641"/>
      <c r="D96" s="641"/>
      <c r="E96" s="641"/>
      <c r="F96" s="641"/>
      <c r="G96" s="641"/>
      <c r="H96" s="164">
        <f t="shared" si="5"/>
        <v>0</v>
      </c>
      <c r="I96" s="641"/>
      <c r="J96" s="641"/>
      <c r="L96" s="642" t="e">
        <f t="shared" si="4"/>
        <v>#N/A</v>
      </c>
      <c r="M96" s="642"/>
      <c r="O96" s="639" t="s">
        <v>443</v>
      </c>
      <c r="P96" s="640">
        <v>5401</v>
      </c>
    </row>
    <row r="97" spans="1:16" x14ac:dyDescent="0.25">
      <c r="A97" s="639" t="s">
        <v>484</v>
      </c>
      <c r="B97" s="640"/>
      <c r="C97" s="641"/>
      <c r="D97" s="641">
        <v>1600</v>
      </c>
      <c r="E97" s="641"/>
      <c r="F97" s="641">
        <v>1693.35</v>
      </c>
      <c r="G97" s="641"/>
      <c r="H97" s="164">
        <f t="shared" si="5"/>
        <v>0</v>
      </c>
      <c r="I97" s="641"/>
      <c r="J97" s="641"/>
      <c r="L97" s="642" t="e">
        <f t="shared" si="4"/>
        <v>#N/A</v>
      </c>
      <c r="M97" s="642"/>
      <c r="O97" s="639" t="s">
        <v>291</v>
      </c>
      <c r="P97" s="640">
        <v>5405</v>
      </c>
    </row>
    <row r="98" spans="1:16" x14ac:dyDescent="0.25">
      <c r="A98" s="639" t="s">
        <v>485</v>
      </c>
      <c r="B98" s="640">
        <v>5305</v>
      </c>
      <c r="C98" s="641"/>
      <c r="D98" s="641">
        <v>5066.82</v>
      </c>
      <c r="E98" s="641">
        <v>8090.47</v>
      </c>
      <c r="F98" s="641">
        <v>4928.0600000000004</v>
      </c>
      <c r="G98" s="641"/>
      <c r="H98" s="164">
        <f t="shared" si="5"/>
        <v>0</v>
      </c>
      <c r="I98" s="641"/>
      <c r="J98" s="641"/>
      <c r="L98" s="642" t="str">
        <f t="shared" si="4"/>
        <v>Payroll Taxes</v>
      </c>
      <c r="M98" s="642"/>
      <c r="O98" s="639" t="s">
        <v>446</v>
      </c>
      <c r="P98" s="640">
        <v>5403</v>
      </c>
    </row>
    <row r="99" spans="1:16" x14ac:dyDescent="0.25">
      <c r="A99" s="639" t="s">
        <v>486</v>
      </c>
      <c r="B99" s="640">
        <v>5301</v>
      </c>
      <c r="C99" s="641"/>
      <c r="D99" s="641">
        <v>161422.42000000001</v>
      </c>
      <c r="E99" s="641">
        <v>98731.839999999997</v>
      </c>
      <c r="F99" s="641">
        <v>96926.65</v>
      </c>
      <c r="G99" s="641"/>
      <c r="H99" s="164">
        <f t="shared" si="5"/>
        <v>0</v>
      </c>
      <c r="I99" s="641"/>
      <c r="J99" s="641"/>
      <c r="L99" s="642" t="str">
        <f t="shared" si="4"/>
        <v xml:space="preserve">Property Taxes </v>
      </c>
      <c r="M99" s="642"/>
      <c r="O99" s="639" t="s">
        <v>448</v>
      </c>
      <c r="P99" s="640">
        <v>5402</v>
      </c>
    </row>
    <row r="100" spans="1:16" x14ac:dyDescent="0.25">
      <c r="A100" s="639" t="s">
        <v>487</v>
      </c>
      <c r="B100" s="640"/>
      <c r="C100" s="641"/>
      <c r="D100" s="641">
        <v>168089.24</v>
      </c>
      <c r="E100" s="641"/>
      <c r="F100" s="641"/>
      <c r="G100" s="641"/>
      <c r="H100" s="164">
        <f t="shared" si="5"/>
        <v>0</v>
      </c>
      <c r="I100" s="641"/>
      <c r="J100" s="641"/>
      <c r="L100" s="642" t="e">
        <f t="shared" si="4"/>
        <v>#N/A</v>
      </c>
      <c r="M100" s="642"/>
      <c r="O100" s="639" t="s">
        <v>182</v>
      </c>
      <c r="P100" s="640">
        <v>5603</v>
      </c>
    </row>
    <row r="101" spans="1:16" x14ac:dyDescent="0.25">
      <c r="A101" s="639" t="s">
        <v>475</v>
      </c>
      <c r="B101" s="640">
        <v>5020</v>
      </c>
      <c r="C101" s="641"/>
      <c r="D101" s="641">
        <v>0</v>
      </c>
      <c r="E101" s="641">
        <v>731.42</v>
      </c>
      <c r="F101" s="641"/>
      <c r="G101" s="641"/>
      <c r="H101" s="164">
        <f t="shared" si="5"/>
        <v>0</v>
      </c>
      <c r="I101" s="641"/>
      <c r="J101" s="641"/>
      <c r="L101" s="642" t="str">
        <f t="shared" si="4"/>
        <v>Auto expense &amp; travel</v>
      </c>
      <c r="M101" s="642"/>
      <c r="O101" s="639" t="s">
        <v>183</v>
      </c>
      <c r="P101" s="640">
        <v>5020</v>
      </c>
    </row>
    <row r="102" spans="1:16" x14ac:dyDescent="0.25">
      <c r="A102" s="639" t="s">
        <v>455</v>
      </c>
      <c r="B102" s="640">
        <v>5404</v>
      </c>
      <c r="C102" s="641"/>
      <c r="D102" s="641">
        <v>234623.6</v>
      </c>
      <c r="E102" s="641">
        <v>277990.37</v>
      </c>
      <c r="F102" s="641">
        <v>281148.08</v>
      </c>
      <c r="G102" s="641"/>
      <c r="H102" s="164">
        <f t="shared" si="5"/>
        <v>0</v>
      </c>
      <c r="I102" s="641"/>
      <c r="J102" s="641"/>
      <c r="L102" s="642" t="str">
        <f t="shared" si="4"/>
        <v>Electric</v>
      </c>
      <c r="M102" s="642"/>
      <c r="O102" s="639" t="s">
        <v>452</v>
      </c>
      <c r="P102" s="640">
        <v>5104</v>
      </c>
    </row>
    <row r="103" spans="1:16" x14ac:dyDescent="0.25">
      <c r="A103" s="639" t="s">
        <v>488</v>
      </c>
      <c r="B103" s="640">
        <v>5405</v>
      </c>
      <c r="C103" s="641"/>
      <c r="D103" s="641">
        <v>71.66</v>
      </c>
      <c r="E103" s="641"/>
      <c r="F103" s="641"/>
      <c r="G103" s="641"/>
      <c r="H103" s="164">
        <f t="shared" si="5"/>
        <v>0</v>
      </c>
      <c r="I103" s="641"/>
      <c r="J103" s="641"/>
      <c r="L103" s="642" t="str">
        <f t="shared" si="4"/>
        <v>Trash</v>
      </c>
      <c r="M103" s="642"/>
      <c r="O103" s="639" t="s">
        <v>184</v>
      </c>
      <c r="P103" s="640">
        <v>5109</v>
      </c>
    </row>
    <row r="104" spans="1:16" x14ac:dyDescent="0.25">
      <c r="A104" s="639"/>
      <c r="B104" s="640"/>
      <c r="C104" s="641"/>
      <c r="D104" s="641"/>
      <c r="E104" s="641"/>
      <c r="F104" s="641"/>
      <c r="G104" s="641"/>
      <c r="H104" s="164">
        <f t="shared" si="5"/>
        <v>0</v>
      </c>
      <c r="I104" s="641"/>
      <c r="J104" s="641"/>
      <c r="L104" s="642" t="e">
        <f t="shared" si="4"/>
        <v>#N/A</v>
      </c>
      <c r="M104" s="642"/>
      <c r="O104" s="639" t="s">
        <v>185</v>
      </c>
      <c r="P104" s="640">
        <v>5200</v>
      </c>
    </row>
    <row r="105" spans="1:16" x14ac:dyDescent="0.25">
      <c r="A105" s="639"/>
      <c r="B105" s="640"/>
      <c r="C105" s="641"/>
      <c r="D105" s="641"/>
      <c r="E105" s="641"/>
      <c r="F105" s="641"/>
      <c r="G105" s="641"/>
      <c r="H105" s="164">
        <f t="shared" si="5"/>
        <v>0</v>
      </c>
      <c r="I105" s="641"/>
      <c r="J105" s="641"/>
      <c r="L105" s="642" t="e">
        <f t="shared" si="4"/>
        <v>#N/A</v>
      </c>
      <c r="M105" s="642"/>
      <c r="O105" s="639" t="s">
        <v>454</v>
      </c>
      <c r="P105" s="640">
        <v>5301</v>
      </c>
    </row>
    <row r="106" spans="1:16" x14ac:dyDescent="0.25">
      <c r="A106" s="639"/>
      <c r="B106" s="640"/>
      <c r="C106" s="641"/>
      <c r="D106" s="641"/>
      <c r="E106" s="641"/>
      <c r="F106" s="641"/>
      <c r="G106" s="641"/>
      <c r="H106" s="164">
        <f t="shared" si="5"/>
        <v>0</v>
      </c>
      <c r="I106" s="641"/>
      <c r="J106" s="641"/>
      <c r="L106" s="642" t="e">
        <f t="shared" si="4"/>
        <v>#N/A</v>
      </c>
      <c r="M106" s="642"/>
      <c r="O106" s="639" t="s">
        <v>186</v>
      </c>
      <c r="P106" s="640">
        <v>5053</v>
      </c>
    </row>
    <row r="107" spans="1:16" x14ac:dyDescent="0.25">
      <c r="A107" s="639"/>
      <c r="B107" s="640"/>
      <c r="C107" s="641"/>
      <c r="D107" s="641"/>
      <c r="E107" s="641"/>
      <c r="F107" s="641"/>
      <c r="G107" s="641"/>
      <c r="H107" s="164">
        <f t="shared" si="5"/>
        <v>0</v>
      </c>
      <c r="I107" s="641"/>
      <c r="J107" s="641"/>
      <c r="L107" s="642" t="e">
        <f t="shared" si="4"/>
        <v>#N/A</v>
      </c>
      <c r="M107" s="642"/>
      <c r="O107" s="639" t="s">
        <v>457</v>
      </c>
      <c r="P107" s="640">
        <v>5604</v>
      </c>
    </row>
    <row r="108" spans="1:16" x14ac:dyDescent="0.25">
      <c r="A108" s="639"/>
      <c r="B108" s="640"/>
      <c r="C108" s="641"/>
      <c r="D108" s="641"/>
      <c r="E108" s="641"/>
      <c r="F108" s="641"/>
      <c r="G108" s="641"/>
      <c r="H108" s="164">
        <f t="shared" si="5"/>
        <v>0</v>
      </c>
      <c r="I108" s="641"/>
      <c r="J108" s="641"/>
      <c r="L108" s="642" t="e">
        <f t="shared" si="4"/>
        <v>#N/A</v>
      </c>
      <c r="M108" s="642"/>
      <c r="O108" s="639" t="s">
        <v>188</v>
      </c>
      <c r="P108" s="640">
        <v>5062</v>
      </c>
    </row>
    <row r="109" spans="1:16" x14ac:dyDescent="0.25">
      <c r="A109" s="639"/>
      <c r="B109" s="640"/>
      <c r="C109" s="641"/>
      <c r="D109" s="641"/>
      <c r="E109" s="641"/>
      <c r="F109" s="641"/>
      <c r="G109" s="641"/>
      <c r="H109" s="164">
        <f t="shared" si="5"/>
        <v>0</v>
      </c>
      <c r="I109" s="641"/>
      <c r="J109" s="641"/>
      <c r="L109" s="642" t="e">
        <f t="shared" si="4"/>
        <v>#N/A</v>
      </c>
      <c r="M109" s="642"/>
      <c r="O109" s="639" t="s">
        <v>189</v>
      </c>
      <c r="P109" s="640">
        <v>5302</v>
      </c>
    </row>
    <row r="110" spans="1:16" x14ac:dyDescent="0.25">
      <c r="A110" s="639"/>
      <c r="B110" s="640"/>
      <c r="C110" s="641"/>
      <c r="D110" s="641"/>
      <c r="E110" s="641"/>
      <c r="F110" s="641"/>
      <c r="G110" s="641"/>
      <c r="H110" s="164">
        <f t="shared" si="5"/>
        <v>0</v>
      </c>
      <c r="I110" s="641"/>
      <c r="J110" s="641"/>
      <c r="L110" s="642" t="e">
        <f t="shared" si="4"/>
        <v>#N/A</v>
      </c>
      <c r="M110" s="642"/>
      <c r="O110" s="639" t="s">
        <v>190</v>
      </c>
      <c r="P110" s="640">
        <v>5001</v>
      </c>
    </row>
    <row r="111" spans="1:16" x14ac:dyDescent="0.25">
      <c r="A111" s="639"/>
      <c r="B111" s="640"/>
      <c r="C111" s="641"/>
      <c r="D111" s="641"/>
      <c r="E111" s="641"/>
      <c r="F111" s="641"/>
      <c r="G111" s="641"/>
      <c r="H111" s="164">
        <f t="shared" si="5"/>
        <v>0</v>
      </c>
      <c r="I111" s="641"/>
      <c r="J111" s="641"/>
      <c r="L111" s="642" t="e">
        <f t="shared" si="4"/>
        <v>#N/A</v>
      </c>
      <c r="M111" s="642"/>
      <c r="O111" s="639" t="s">
        <v>191</v>
      </c>
      <c r="P111" s="640">
        <v>5061</v>
      </c>
    </row>
    <row r="112" spans="1:16" x14ac:dyDescent="0.25">
      <c r="A112" s="639"/>
      <c r="B112" s="640"/>
      <c r="C112" s="641"/>
      <c r="D112" s="641"/>
      <c r="E112" s="641"/>
      <c r="F112" s="641"/>
      <c r="G112" s="641"/>
      <c r="H112" s="164">
        <f t="shared" si="5"/>
        <v>0</v>
      </c>
      <c r="I112" s="641"/>
      <c r="J112" s="641"/>
      <c r="L112" s="642" t="e">
        <f t="shared" si="4"/>
        <v>#N/A</v>
      </c>
      <c r="M112" s="642"/>
      <c r="O112" s="639" t="s">
        <v>192</v>
      </c>
      <c r="P112" s="640">
        <v>5304</v>
      </c>
    </row>
    <row r="113" spans="1:16" s="169" customFormat="1" x14ac:dyDescent="0.25">
      <c r="A113" s="169" t="s">
        <v>435</v>
      </c>
      <c r="B113" s="170"/>
      <c r="C113" s="171">
        <f>SUM(C42:C112)</f>
        <v>0</v>
      </c>
      <c r="D113" s="171">
        <f t="shared" ref="D113:I113" si="6">SUM(D42:D112)</f>
        <v>1244289.67</v>
      </c>
      <c r="E113" s="171">
        <f t="shared" si="6"/>
        <v>694033.54</v>
      </c>
      <c r="F113" s="171">
        <f t="shared" si="6"/>
        <v>1085142.08</v>
      </c>
      <c r="G113" s="171">
        <f t="shared" si="6"/>
        <v>0</v>
      </c>
      <c r="H113" s="171">
        <f t="shared" si="6"/>
        <v>0</v>
      </c>
      <c r="I113" s="171">
        <f t="shared" si="6"/>
        <v>710375</v>
      </c>
      <c r="J113" s="171"/>
      <c r="O113" s="639" t="s">
        <v>193</v>
      </c>
      <c r="P113" s="640">
        <v>5064</v>
      </c>
    </row>
    <row r="114" spans="1:16" x14ac:dyDescent="0.25">
      <c r="O114" s="639" t="s">
        <v>194</v>
      </c>
      <c r="P114" s="640">
        <v>5601</v>
      </c>
    </row>
    <row r="115" spans="1:16" x14ac:dyDescent="0.25">
      <c r="O115" s="639" t="s">
        <v>466</v>
      </c>
      <c r="P115" s="640">
        <v>5000</v>
      </c>
    </row>
  </sheetData>
  <sheetProtection algorithmName="SHA-512" hashValue="0kh40Bdyf2yHzENY7LdUhn51rmJ4JeCKt5fig902M4+zzTIO7pv/ymPoIcpxsFW7bgHyBa5fAmTiKG1TvOg+Pw==" saltValue="l48OMXyFxNJ8UQdossg6MQ==" spinCount="100000" sheet="1" objects="1" scenarios="1"/>
  <mergeCells count="4">
    <mergeCell ref="A1:M1"/>
    <mergeCell ref="A7:M7"/>
    <mergeCell ref="A39:M39"/>
    <mergeCell ref="P1:S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33F9-CD85-4464-8D5C-662985727A34}">
  <sheetPr codeName="Sheet11">
    <tabColor rgb="FF7030A0"/>
  </sheetPr>
  <dimension ref="A1:V110"/>
  <sheetViews>
    <sheetView topLeftCell="A29" zoomScale="115" zoomScaleNormal="115" workbookViewId="0">
      <selection activeCell="R14" sqref="R14"/>
    </sheetView>
  </sheetViews>
  <sheetFormatPr defaultColWidth="9.140625" defaultRowHeight="15" x14ac:dyDescent="0.25"/>
  <cols>
    <col min="1" max="1" width="53.7109375" style="150" bestFit="1" customWidth="1"/>
    <col min="2" max="2" width="10.28515625" style="150" bestFit="1" customWidth="1"/>
    <col min="3" max="3" width="18.7109375" style="150" customWidth="1"/>
    <col min="4" max="4" width="15.42578125" style="150" customWidth="1"/>
    <col min="5" max="5" width="19" style="150" customWidth="1"/>
    <col min="6" max="6" width="15.28515625" style="150" bestFit="1" customWidth="1"/>
    <col min="7" max="7" width="16.42578125" style="150" bestFit="1" customWidth="1"/>
    <col min="8" max="8" width="16.42578125" style="150" customWidth="1"/>
    <col min="9" max="9" width="18.42578125" style="150" bestFit="1" customWidth="1"/>
    <col min="10" max="10" width="18.42578125" style="150" customWidth="1"/>
    <col min="11" max="11" width="5.28515625" style="150" customWidth="1"/>
    <col min="12" max="12" width="9.140625" style="150" customWidth="1"/>
    <col min="13" max="13" width="52.7109375" style="150" customWidth="1"/>
    <col min="14" max="16384" width="9.140625" style="150"/>
  </cols>
  <sheetData>
    <row r="1" spans="1:22" x14ac:dyDescent="0.25">
      <c r="A1" s="864" t="str">
        <f>"Historical Financial Analysis Summary - "&amp;'IE Data Entry'!B2</f>
        <v xml:space="preserve">Historical Financial Analysis Summary - </v>
      </c>
      <c r="B1" s="864"/>
      <c r="C1" s="864"/>
      <c r="D1" s="864"/>
      <c r="E1" s="864"/>
      <c r="F1" s="864"/>
      <c r="G1" s="864"/>
      <c r="H1" s="645"/>
      <c r="I1" s="172"/>
      <c r="J1" s="172"/>
      <c r="K1" s="172"/>
      <c r="L1" s="173"/>
      <c r="M1" s="173"/>
      <c r="N1" s="173"/>
      <c r="O1" s="173"/>
      <c r="P1" s="173"/>
      <c r="Q1" s="173"/>
      <c r="R1" s="173"/>
      <c r="S1" s="173"/>
      <c r="T1" s="172"/>
      <c r="U1" s="172"/>
      <c r="V1" s="172"/>
    </row>
    <row r="2" spans="1:22" ht="9" customHeight="1" x14ac:dyDescent="0.25">
      <c r="A2" s="152"/>
      <c r="B2" s="152"/>
      <c r="C2" s="152"/>
      <c r="D2" s="152"/>
      <c r="E2" s="152"/>
      <c r="F2" s="152"/>
      <c r="G2" s="172"/>
      <c r="H2" s="172"/>
      <c r="I2" s="172"/>
      <c r="J2" s="172"/>
      <c r="K2" s="172"/>
      <c r="L2" s="173"/>
      <c r="M2" s="173"/>
      <c r="N2" s="173"/>
      <c r="O2" s="173"/>
      <c r="P2" s="173"/>
      <c r="Q2" s="173"/>
      <c r="R2" s="173"/>
      <c r="S2" s="173"/>
      <c r="T2" s="172"/>
      <c r="U2" s="172"/>
      <c r="V2" s="172"/>
    </row>
    <row r="3" spans="1:22" x14ac:dyDescent="0.25">
      <c r="A3" s="865" t="s">
        <v>489</v>
      </c>
      <c r="B3" s="865"/>
      <c r="C3" s="865"/>
      <c r="D3" s="865"/>
      <c r="E3" s="865"/>
      <c r="F3" s="865"/>
      <c r="G3" s="865"/>
      <c r="H3" s="646"/>
      <c r="I3" s="698" t="s">
        <v>490</v>
      </c>
      <c r="J3" s="698">
        <v>81354.255000000005</v>
      </c>
      <c r="K3" s="698"/>
      <c r="L3" s="698"/>
      <c r="M3" s="698">
        <f>+J3*12</f>
        <v>976251.06</v>
      </c>
      <c r="N3" s="173"/>
      <c r="O3" s="173"/>
      <c r="P3" s="173"/>
      <c r="Q3" s="173"/>
      <c r="R3" s="173"/>
      <c r="S3" s="173"/>
      <c r="T3" s="174"/>
      <c r="U3" s="172"/>
      <c r="V3" s="172"/>
    </row>
    <row r="4" spans="1:22" x14ac:dyDescent="0.25">
      <c r="A4" s="160"/>
      <c r="B4" s="161"/>
      <c r="C4" s="161"/>
      <c r="D4" s="161"/>
      <c r="E4" s="161"/>
      <c r="F4" s="869" t="str">
        <f>Current_Year&amp;" Annualized"</f>
        <v>2025 Annualized</v>
      </c>
      <c r="G4" s="869" t="s">
        <v>491</v>
      </c>
      <c r="H4" s="869" t="s">
        <v>492</v>
      </c>
      <c r="I4" s="161" t="s">
        <v>493</v>
      </c>
      <c r="J4" s="686" t="s">
        <v>494</v>
      </c>
      <c r="K4" s="161"/>
      <c r="L4" s="173" t="s">
        <v>493</v>
      </c>
      <c r="M4" s="699">
        <f>+I7+I8+I10</f>
        <v>1009842</v>
      </c>
      <c r="N4" s="173"/>
      <c r="O4" s="175"/>
      <c r="P4" s="173"/>
      <c r="Q4" s="173"/>
      <c r="R4" s="173"/>
      <c r="S4" s="173"/>
      <c r="T4" s="176"/>
      <c r="U4" s="172"/>
      <c r="V4" s="172"/>
    </row>
    <row r="5" spans="1:22" ht="15.75" thickBot="1" x14ac:dyDescent="0.3">
      <c r="A5" s="163" t="s">
        <v>495</v>
      </c>
      <c r="B5" s="162">
        <f>+B31</f>
        <v>2022</v>
      </c>
      <c r="C5" s="162">
        <f t="shared" ref="C5:E5" si="0">+C31</f>
        <v>2023</v>
      </c>
      <c r="D5" s="162">
        <f t="shared" si="0"/>
        <v>2024</v>
      </c>
      <c r="E5" s="162" t="str">
        <f t="shared" si="0"/>
        <v>Trailing 12</v>
      </c>
      <c r="F5" s="870"/>
      <c r="G5" s="870"/>
      <c r="H5" s="870"/>
      <c r="I5" s="162" t="s">
        <v>419</v>
      </c>
      <c r="J5" s="687" t="s">
        <v>496</v>
      </c>
      <c r="K5" s="161"/>
      <c r="L5" s="173"/>
      <c r="M5" s="684" t="s">
        <v>497</v>
      </c>
      <c r="N5" s="173"/>
      <c r="O5" s="175"/>
      <c r="P5" s="173"/>
      <c r="Q5" s="173"/>
      <c r="R5" s="173"/>
      <c r="S5" s="173"/>
      <c r="T5" s="176"/>
      <c r="U5" s="172"/>
      <c r="V5" s="172"/>
    </row>
    <row r="6" spans="1:22" x14ac:dyDescent="0.25">
      <c r="A6" s="160" t="s">
        <v>498</v>
      </c>
      <c r="B6" s="161"/>
      <c r="C6" s="161"/>
      <c r="D6" s="161"/>
      <c r="E6" s="161"/>
      <c r="F6" s="161"/>
      <c r="G6" s="161"/>
      <c r="H6" s="161"/>
      <c r="I6" s="161"/>
      <c r="J6" s="493"/>
      <c r="K6" s="161"/>
      <c r="L6" s="173" t="s">
        <v>499</v>
      </c>
      <c r="M6" s="173"/>
      <c r="N6" s="173"/>
      <c r="O6" s="175"/>
      <c r="P6" s="173"/>
      <c r="Q6" s="173"/>
      <c r="R6" s="173"/>
      <c r="S6" s="173"/>
      <c r="T6" s="176"/>
      <c r="U6" s="172"/>
      <c r="V6" s="172"/>
    </row>
    <row r="7" spans="1:22" x14ac:dyDescent="0.25">
      <c r="A7" s="564" t="str">
        <f>+Proforma!C29</f>
        <v>MH - Original Section</v>
      </c>
      <c r="B7" s="177">
        <f>SUMIF('IE Data Entry'!$B$10:$B$36,'IE SUMMARY'!$T7,'IE Data Entry'!C$10:C$36)</f>
        <v>0</v>
      </c>
      <c r="C7" s="178">
        <f>SUMIF('IE Data Entry'!$B$10:$B$36,'IE SUMMARY'!$T7,'IE Data Entry'!D$10:D$36)</f>
        <v>1134213.32</v>
      </c>
      <c r="D7" s="178">
        <f>SUMIF('IE Data Entry'!$B$10:$B$36,'IE SUMMARY'!$T7,'IE Data Entry'!E$10:E$36)</f>
        <v>1266044</v>
      </c>
      <c r="E7" s="178">
        <f>SUMIF('IE Data Entry'!$B$10:$B$36,'IE SUMMARY'!$T7,'IE Data Entry'!F$10:F$36)</f>
        <v>1280618</v>
      </c>
      <c r="F7" s="178">
        <f>SUMIF('IE Data Entry'!$B$10:$B$36,'IE SUMMARY'!$T7,'IE Data Entry'!H$10:H$36)</f>
        <v>0</v>
      </c>
      <c r="G7" s="178">
        <f>SUMIF('IE Data Entry'!$B$10:$B$36,'IE SUMMARY'!$T7,'IE Data Entry'!I$10:I$36)</f>
        <v>1169496</v>
      </c>
      <c r="H7" s="178">
        <f>SUMIF('IE Data Entry'!$B$10:$B$36,'IE SUMMARY'!$T7,'IE Data Entry'!J$10:J$36)</f>
        <v>0</v>
      </c>
      <c r="I7" s="179">
        <f>+Proforma!F34*12</f>
        <v>771900</v>
      </c>
      <c r="J7" s="653">
        <f>I7-MAX(F7,E7)</f>
        <v>-508718</v>
      </c>
      <c r="K7" s="488"/>
      <c r="L7" s="173"/>
      <c r="M7" s="173"/>
      <c r="N7" s="173"/>
      <c r="O7" s="175"/>
      <c r="P7" s="173"/>
      <c r="Q7" s="173"/>
      <c r="R7" s="173"/>
      <c r="S7" s="173"/>
      <c r="T7" s="176">
        <v>1</v>
      </c>
      <c r="U7" s="172"/>
      <c r="V7" s="172"/>
    </row>
    <row r="8" spans="1:22" x14ac:dyDescent="0.25">
      <c r="A8" s="564" t="str">
        <f>+Proforma!C30</f>
        <v>MH - Expanded Section</v>
      </c>
      <c r="B8" s="178">
        <f>SUMIF('IE Data Entry'!$B$10:$B$36,'IE SUMMARY'!$T8,'IE Data Entry'!C$10:C$36)</f>
        <v>0</v>
      </c>
      <c r="C8" s="178">
        <f>SUMIF('IE Data Entry'!$B$10:$B$36,'IE SUMMARY'!$T8,'IE Data Entry'!D$10:D$36)</f>
        <v>0</v>
      </c>
      <c r="D8" s="178">
        <f>SUMIF('IE Data Entry'!$B$10:$B$36,'IE SUMMARY'!$T8,'IE Data Entry'!E$10:E$36)</f>
        <v>0</v>
      </c>
      <c r="E8" s="178">
        <f>SUMIF('IE Data Entry'!$B$10:$B$36,'IE SUMMARY'!$T8,'IE Data Entry'!F$10:F$36)</f>
        <v>0</v>
      </c>
      <c r="F8" s="178">
        <f>SUMIF('IE Data Entry'!$B$10:$B$36,'IE SUMMARY'!$T8,'IE Data Entry'!H$10:H$36)</f>
        <v>0</v>
      </c>
      <c r="G8" s="178">
        <f>SUMIF('IE Data Entry'!$B$10:$B$36,'IE SUMMARY'!$T8,'IE Data Entry'!I$10:I$36)</f>
        <v>0</v>
      </c>
      <c r="H8" s="178">
        <f>SUMIF('IE Data Entry'!$B$10:$B$36,'IE SUMMARY'!$T8,'IE Data Entry'!J$10:J$36)</f>
        <v>0</v>
      </c>
      <c r="I8" s="179">
        <f>+Proforma!F35*12</f>
        <v>316200</v>
      </c>
      <c r="J8" s="653">
        <f t="shared" ref="J8:J26" si="1">I8-MAX(F8,E8)</f>
        <v>316200</v>
      </c>
      <c r="K8" s="488"/>
      <c r="L8" s="173"/>
      <c r="M8" s="173"/>
      <c r="N8" s="173"/>
      <c r="O8" s="175"/>
      <c r="P8" s="173"/>
      <c r="Q8" s="173"/>
      <c r="R8" s="173"/>
      <c r="S8" s="173"/>
      <c r="T8" s="176">
        <v>2</v>
      </c>
      <c r="U8" s="172"/>
      <c r="V8" s="172"/>
    </row>
    <row r="9" spans="1:22" x14ac:dyDescent="0.25">
      <c r="A9" s="564" t="str">
        <f>+Proforma!C31</f>
        <v>Commercial building</v>
      </c>
      <c r="B9" s="178">
        <f>SUMIF('IE Data Entry'!$B$10:$B$36,'IE SUMMARY'!$T9,'IE Data Entry'!C$10:C$36)</f>
        <v>0</v>
      </c>
      <c r="C9" s="178">
        <f>SUMIF('IE Data Entry'!$B$10:$B$36,'IE SUMMARY'!$T9,'IE Data Entry'!D$10:D$36)</f>
        <v>0</v>
      </c>
      <c r="D9" s="178">
        <f>SUMIF('IE Data Entry'!$B$10:$B$36,'IE SUMMARY'!$T9,'IE Data Entry'!E$10:E$36)</f>
        <v>0</v>
      </c>
      <c r="E9" s="178">
        <f>SUMIF('IE Data Entry'!$B$10:$B$36,'IE SUMMARY'!$T9,'IE Data Entry'!F$10:F$36)</f>
        <v>0</v>
      </c>
      <c r="F9" s="178">
        <f>SUMIF('IE Data Entry'!$B$10:$B$36,'IE SUMMARY'!$T9,'IE Data Entry'!H$10:H$36)</f>
        <v>0</v>
      </c>
      <c r="G9" s="178">
        <f>SUMIF('IE Data Entry'!$B$10:$B$36,'IE SUMMARY'!$T9,'IE Data Entry'!I$10:I$36)</f>
        <v>0</v>
      </c>
      <c r="H9" s="178">
        <f>SUMIF('IE Data Entry'!$B$10:$B$36,'IE SUMMARY'!$T9,'IE Data Entry'!J$10:J$36)</f>
        <v>0</v>
      </c>
      <c r="I9" s="179">
        <f>+Proforma!F36*12</f>
        <v>10200</v>
      </c>
      <c r="J9" s="653">
        <f t="shared" si="1"/>
        <v>10200</v>
      </c>
      <c r="K9" s="488"/>
      <c r="L9" s="172">
        <f>IF(ISERROR((+(G11-E11)/E11)),"",(+(G11-E11)/E11))</f>
        <v>-8.6772167812727924E-2</v>
      </c>
      <c r="M9" s="180"/>
      <c r="N9" s="172"/>
      <c r="P9" s="172"/>
      <c r="Q9" s="172"/>
      <c r="R9" s="172"/>
      <c r="S9" s="172"/>
      <c r="T9" s="176">
        <v>3</v>
      </c>
      <c r="U9" s="172"/>
      <c r="V9" s="172"/>
    </row>
    <row r="10" spans="1:22" x14ac:dyDescent="0.25">
      <c r="A10" s="564" t="s">
        <v>500</v>
      </c>
      <c r="B10" s="178">
        <f>SUMIF('IE Data Entry'!$B$10:$B$36,'IE SUMMARY'!$T10,'IE Data Entry'!C$10:C$36)</f>
        <v>0</v>
      </c>
      <c r="C10" s="178">
        <f>SUMIF('IE Data Entry'!$B$10:$B$36,'IE SUMMARY'!$T10,'IE Data Entry'!D$10:D$36)</f>
        <v>0</v>
      </c>
      <c r="D10" s="178">
        <f>SUMIF('IE Data Entry'!$B$10:$B$36,'IE SUMMARY'!$T10,'IE Data Entry'!E$10:E$36)</f>
        <v>0</v>
      </c>
      <c r="E10" s="178">
        <f>SUMIF('IE Data Entry'!$B$10:$B$36,'IE SUMMARY'!$T10,'IE Data Entry'!F$10:F$36)</f>
        <v>0</v>
      </c>
      <c r="F10" s="178">
        <f>SUMIF('IE Data Entry'!$B$10:$B$36,'IE SUMMARY'!$T10,'IE Data Entry'!H$10:H$36)</f>
        <v>0</v>
      </c>
      <c r="G10" s="178">
        <f>SUMIF('IE Data Entry'!$B$10:$B$36,'IE SUMMARY'!$T10,'IE Data Entry'!I$10:I$36)</f>
        <v>0</v>
      </c>
      <c r="H10" s="178">
        <f>SUMIF('IE Data Entry'!$B$10:$B$36,'IE SUMMARY'!$T10,'IE Data Entry'!J$10:J$36)</f>
        <v>0</v>
      </c>
      <c r="I10" s="181">
        <f>SUM(Proforma!F38:F40)*12</f>
        <v>-78258</v>
      </c>
      <c r="J10" s="654">
        <f t="shared" si="1"/>
        <v>-78258</v>
      </c>
      <c r="K10" s="488"/>
      <c r="L10" s="182" t="str">
        <f>IF(ISERROR((+(G11-F11)/F11)),"",(+(G11-F11)/F11))</f>
        <v/>
      </c>
      <c r="M10" s="180"/>
      <c r="N10" s="172"/>
      <c r="P10" s="173"/>
      <c r="Q10" s="172"/>
      <c r="R10" s="172"/>
      <c r="S10" s="172"/>
      <c r="T10" s="176">
        <v>4</v>
      </c>
      <c r="U10" s="172"/>
      <c r="V10" s="172"/>
    </row>
    <row r="11" spans="1:22" x14ac:dyDescent="0.25">
      <c r="A11" s="183" t="s">
        <v>161</v>
      </c>
      <c r="B11" s="740">
        <f>SUM(B7:B10)</f>
        <v>0</v>
      </c>
      <c r="C11" s="740">
        <f t="shared" ref="C11:I11" si="2">SUM(C7:C10)</f>
        <v>1134213.32</v>
      </c>
      <c r="D11" s="740">
        <f t="shared" si="2"/>
        <v>1266044</v>
      </c>
      <c r="E11" s="740">
        <f t="shared" si="2"/>
        <v>1280618</v>
      </c>
      <c r="F11" s="740">
        <f t="shared" si="2"/>
        <v>0</v>
      </c>
      <c r="G11" s="740">
        <f t="shared" si="2"/>
        <v>1169496</v>
      </c>
      <c r="H11" s="740">
        <f t="shared" ref="H11" si="3">SUM(H7:H10)</f>
        <v>0</v>
      </c>
      <c r="I11" s="740">
        <f t="shared" si="2"/>
        <v>1020042</v>
      </c>
      <c r="J11" s="653">
        <f t="shared" si="1"/>
        <v>-260576</v>
      </c>
      <c r="K11" s="488"/>
      <c r="L11" s="182">
        <f>IF(ISERROR((+(G11-D11)/D11)),"",(+(G11-D11)/D11))</f>
        <v>-7.6259592873549414E-2</v>
      </c>
      <c r="M11" s="180"/>
      <c r="N11" s="184"/>
      <c r="P11" s="173"/>
      <c r="Q11" s="172"/>
      <c r="R11" s="172"/>
      <c r="S11" s="172"/>
      <c r="T11" s="176"/>
      <c r="U11" s="172"/>
      <c r="V11" s="172"/>
    </row>
    <row r="12" spans="1:22" x14ac:dyDescent="0.25">
      <c r="A12" s="185" t="s">
        <v>501</v>
      </c>
      <c r="B12" s="180"/>
      <c r="C12" s="182" t="str">
        <f>IF(ISERROR((+(C11-B11)/B11)),"",(+(C11-B11)/B11))</f>
        <v/>
      </c>
      <c r="D12" s="182">
        <f>IF(ISERROR((+(D11-C11)/C11)),"",(+(D11-C11)/C11))</f>
        <v>0.11623093969659952</v>
      </c>
      <c r="E12" s="182">
        <f>IF(ISERROR((+(E11-D11)/D11)),"",(+(E11-D11)/D11))</f>
        <v>1.1511448259302203E-2</v>
      </c>
      <c r="F12" s="182">
        <f>IF(ISERROR((+(F11-D11)/D11)),"",(+(F11-D11)/D11))</f>
        <v>-1</v>
      </c>
      <c r="G12" s="182"/>
      <c r="H12" s="182"/>
      <c r="J12" s="488"/>
      <c r="M12" s="182"/>
      <c r="N12" s="182"/>
      <c r="O12" s="182"/>
      <c r="P12" s="172"/>
      <c r="Q12" s="172"/>
      <c r="R12" s="172"/>
      <c r="S12" s="172"/>
      <c r="T12" s="176"/>
      <c r="U12" s="172"/>
      <c r="V12" s="172"/>
    </row>
    <row r="13" spans="1:22" ht="10.35" customHeight="1" x14ac:dyDescent="0.25">
      <c r="A13" s="564"/>
      <c r="B13" s="186"/>
      <c r="C13" s="186"/>
      <c r="D13" s="186"/>
      <c r="E13" s="186"/>
      <c r="F13" s="186"/>
      <c r="G13" s="186"/>
      <c r="H13" s="186"/>
      <c r="I13" s="182"/>
      <c r="J13" s="488"/>
      <c r="K13" s="182"/>
      <c r="L13" s="180"/>
      <c r="M13" s="172"/>
      <c r="N13" s="172"/>
      <c r="O13" s="186"/>
      <c r="P13" s="172"/>
      <c r="Q13" s="172"/>
      <c r="R13" s="172"/>
      <c r="S13" s="172"/>
      <c r="T13" s="176"/>
      <c r="U13" s="172"/>
      <c r="V13" s="172"/>
    </row>
    <row r="14" spans="1:22" x14ac:dyDescent="0.25">
      <c r="A14" s="187" t="s">
        <v>162</v>
      </c>
      <c r="B14" s="186"/>
      <c r="C14" s="186"/>
      <c r="D14" s="186"/>
      <c r="E14" s="186"/>
      <c r="F14" s="186"/>
      <c r="G14" s="186"/>
      <c r="H14" s="186"/>
      <c r="I14" s="172"/>
      <c r="J14" s="488"/>
      <c r="K14" s="172"/>
      <c r="L14" s="172"/>
      <c r="M14" s="172"/>
      <c r="N14" s="172"/>
      <c r="O14" s="186"/>
      <c r="P14" s="172"/>
      <c r="Q14" s="172"/>
      <c r="R14" s="172"/>
      <c r="S14" s="172"/>
      <c r="T14" s="176"/>
      <c r="U14" s="172"/>
      <c r="V14" s="172"/>
    </row>
    <row r="15" spans="1:22" x14ac:dyDescent="0.25">
      <c r="A15" s="564" t="s">
        <v>426</v>
      </c>
      <c r="B15" s="178">
        <f>SUMIF('IE Data Entry'!$B$10:$B$36,'IE SUMMARY'!$T15,'IE Data Entry'!C$10:C$36)</f>
        <v>0</v>
      </c>
      <c r="C15" s="178">
        <f>SUMIF('IE Data Entry'!$B$10:$B$36,'IE SUMMARY'!$T15,'IE Data Entry'!D$10:D$36)</f>
        <v>0</v>
      </c>
      <c r="D15" s="178">
        <f>SUMIF('IE Data Entry'!$B$10:$B$36,'IE SUMMARY'!$T15,'IE Data Entry'!E$10:E$36)</f>
        <v>0</v>
      </c>
      <c r="E15" s="178">
        <f>SUMIF('IE Data Entry'!$B$10:$B$36,'IE SUMMARY'!$T15,'IE Data Entry'!F$10:F$36)</f>
        <v>0</v>
      </c>
      <c r="F15" s="178">
        <f>SUMIF('IE Data Entry'!$B$10:$B$36,'IE SUMMARY'!$T15,'IE Data Entry'!H$10:H$36)</f>
        <v>0</v>
      </c>
      <c r="G15" s="178">
        <f>SUMIF('IE Data Entry'!$B$10:$B$36,'IE SUMMARY'!$T15,'IE Data Entry'!I$10:I$36)</f>
        <v>211671</v>
      </c>
      <c r="H15" s="178">
        <f>SUMIF('IE Data Entry'!$B$10:$B$36,'IE SUMMARY'!$T15,'IE Data Entry'!J$10:J$36)</f>
        <v>0</v>
      </c>
      <c r="I15" s="179">
        <f>+Proforma!F44*12</f>
        <v>218327.967</v>
      </c>
      <c r="J15" s="653">
        <f t="shared" si="1"/>
        <v>218327.967</v>
      </c>
      <c r="K15" s="488"/>
      <c r="L15" s="172"/>
      <c r="M15" s="172"/>
      <c r="N15" s="172"/>
      <c r="P15" s="173">
        <v>106000</v>
      </c>
      <c r="Q15" s="172"/>
      <c r="R15" s="172"/>
      <c r="S15" s="172"/>
      <c r="T15" s="176">
        <v>4403</v>
      </c>
      <c r="U15" s="172"/>
      <c r="V15" s="172"/>
    </row>
    <row r="16" spans="1:22" x14ac:dyDescent="0.25">
      <c r="A16" s="564" t="s">
        <v>164</v>
      </c>
      <c r="B16" s="178">
        <f>SUMIF('IE Data Entry'!$B$10:$B$36,'IE SUMMARY'!$T16,'IE Data Entry'!C$10:C$36)</f>
        <v>0</v>
      </c>
      <c r="C16" s="178">
        <f>SUMIF('IE Data Entry'!$B$10:$B$36,'IE SUMMARY'!$T16,'IE Data Entry'!D$10:D$36)</f>
        <v>0</v>
      </c>
      <c r="D16" s="178">
        <f>SUMIF('IE Data Entry'!$B$10:$B$36,'IE SUMMARY'!$T16,'IE Data Entry'!E$10:E$36)</f>
        <v>0</v>
      </c>
      <c r="E16" s="178">
        <f>SUMIF('IE Data Entry'!$B$10:$B$36,'IE SUMMARY'!$T16,'IE Data Entry'!F$10:F$36)</f>
        <v>0</v>
      </c>
      <c r="F16" s="178">
        <f>SUMIF('IE Data Entry'!$B$10:$B$36,'IE SUMMARY'!$T16,'IE Data Entry'!H$10:H$36)</f>
        <v>0</v>
      </c>
      <c r="G16" s="178">
        <f>SUMIF('IE Data Entry'!$B$10:$B$36,'IE SUMMARY'!$T16,'IE Data Entry'!I$10:I$36)</f>
        <v>0</v>
      </c>
      <c r="H16" s="178">
        <f>SUMIF('IE Data Entry'!$B$10:$B$36,'IE SUMMARY'!$T16,'IE Data Entry'!J$10:J$36)</f>
        <v>0</v>
      </c>
      <c r="I16" s="179">
        <f>+Proforma!F45*12</f>
        <v>0</v>
      </c>
      <c r="J16" s="653">
        <f t="shared" si="1"/>
        <v>0</v>
      </c>
      <c r="K16" s="488"/>
      <c r="L16" s="172"/>
      <c r="M16" s="172"/>
      <c r="N16" s="172"/>
      <c r="P16" s="173"/>
      <c r="Q16" s="172"/>
      <c r="R16" s="172"/>
      <c r="S16" s="172"/>
      <c r="T16" s="176">
        <v>4401</v>
      </c>
      <c r="U16" s="172"/>
      <c r="V16" s="172"/>
    </row>
    <row r="17" spans="1:22" x14ac:dyDescent="0.25">
      <c r="A17" s="564" t="s">
        <v>291</v>
      </c>
      <c r="B17" s="178">
        <f>SUMIF('IE Data Entry'!$B$10:$B$36,'IE SUMMARY'!$T17,'IE Data Entry'!C$10:C$36)</f>
        <v>0</v>
      </c>
      <c r="C17" s="178">
        <f>SUMIF('IE Data Entry'!$B$10:$B$36,'IE SUMMARY'!$T17,'IE Data Entry'!D$10:D$36)</f>
        <v>0</v>
      </c>
      <c r="D17" s="178">
        <f>SUMIF('IE Data Entry'!$B$10:$B$36,'IE SUMMARY'!$T17,'IE Data Entry'!E$10:E$36)</f>
        <v>0</v>
      </c>
      <c r="E17" s="178">
        <f>SUMIF('IE Data Entry'!$B$10:$B$36,'IE SUMMARY'!$T17,'IE Data Entry'!F$10:F$36)</f>
        <v>0</v>
      </c>
      <c r="F17" s="178">
        <f>SUMIF('IE Data Entry'!$B$10:$B$36,'IE SUMMARY'!$T17,'IE Data Entry'!H$10:H$36)</f>
        <v>0</v>
      </c>
      <c r="G17" s="178">
        <f>SUMIF('IE Data Entry'!$B$10:$B$36,'IE SUMMARY'!$T17,'IE Data Entry'!I$10:I$36)</f>
        <v>31282</v>
      </c>
      <c r="H17" s="178">
        <f>SUMIF('IE Data Entry'!$B$10:$B$36,'IE SUMMARY'!$T17,'IE Data Entry'!J$10:J$36)</f>
        <v>0</v>
      </c>
      <c r="I17" s="179">
        <f>+Proforma!F46*12</f>
        <v>35941.623400000004</v>
      </c>
      <c r="J17" s="653">
        <f t="shared" si="1"/>
        <v>35941.623400000004</v>
      </c>
      <c r="K17" s="488"/>
      <c r="L17" s="172"/>
      <c r="M17" s="172"/>
      <c r="N17" s="172"/>
      <c r="P17" s="173"/>
      <c r="Q17" s="172"/>
      <c r="R17" s="172"/>
      <c r="S17" s="172"/>
      <c r="T17" s="176">
        <v>4404</v>
      </c>
      <c r="U17" s="172"/>
      <c r="V17" s="172"/>
    </row>
    <row r="18" spans="1:22" x14ac:dyDescent="0.25">
      <c r="A18" s="564" t="s">
        <v>104</v>
      </c>
      <c r="B18" s="178">
        <f>SUMIF('IE Data Entry'!$B$10:$B$36,'IE SUMMARY'!$T18,'IE Data Entry'!C$10:C$36)</f>
        <v>0</v>
      </c>
      <c r="C18" s="178">
        <f>SUMIF('IE Data Entry'!$B$10:$B$36,'IE SUMMARY'!$T18,'IE Data Entry'!D$10:D$36)</f>
        <v>0</v>
      </c>
      <c r="D18" s="178">
        <f>SUMIF('IE Data Entry'!$B$10:$B$36,'IE SUMMARY'!$T18,'IE Data Entry'!E$10:E$36)</f>
        <v>0</v>
      </c>
      <c r="E18" s="178">
        <f>SUMIF('IE Data Entry'!$B$10:$B$36,'IE SUMMARY'!$T18,'IE Data Entry'!F$10:F$36)</f>
        <v>0</v>
      </c>
      <c r="F18" s="178">
        <f>SUMIF('IE Data Entry'!$B$10:$B$36,'IE SUMMARY'!$T18,'IE Data Entry'!H$10:H$36)</f>
        <v>0</v>
      </c>
      <c r="G18" s="178">
        <f>SUMIF('IE Data Entry'!$B$10:$B$36,'IE SUMMARY'!$T18,'IE Data Entry'!I$10:I$36)</f>
        <v>89107</v>
      </c>
      <c r="H18" s="178">
        <f>SUMIF('IE Data Entry'!$B$10:$B$36,'IE SUMMARY'!$T18,'IE Data Entry'!J$10:J$36)</f>
        <v>0</v>
      </c>
      <c r="I18" s="179">
        <f>+Proforma!F47*12</f>
        <v>86580</v>
      </c>
      <c r="J18" s="653">
        <f t="shared" si="1"/>
        <v>86580</v>
      </c>
      <c r="K18" s="488"/>
      <c r="L18" s="172"/>
      <c r="M18" s="172"/>
      <c r="N18" s="172"/>
      <c r="P18" s="173"/>
      <c r="Q18" s="172"/>
      <c r="R18" s="172"/>
      <c r="S18" s="172"/>
      <c r="T18" s="176">
        <v>4405</v>
      </c>
      <c r="U18" s="172"/>
      <c r="V18" s="172"/>
    </row>
    <row r="19" spans="1:22" x14ac:dyDescent="0.25">
      <c r="A19" s="564" t="s">
        <v>103</v>
      </c>
      <c r="B19" s="178">
        <f>SUMIF('IE Data Entry'!$B$10:$B$36,'IE SUMMARY'!$T19,'IE Data Entry'!C$10:C$36)</f>
        <v>0</v>
      </c>
      <c r="C19" s="178">
        <f>SUMIF('IE Data Entry'!$B$10:$B$36,'IE SUMMARY'!$T19,'IE Data Entry'!D$10:D$36)</f>
        <v>0</v>
      </c>
      <c r="D19" s="178">
        <f>SUMIF('IE Data Entry'!$B$10:$B$36,'IE SUMMARY'!$T19,'IE Data Entry'!E$10:E$36)</f>
        <v>0</v>
      </c>
      <c r="E19" s="178">
        <f>SUMIF('IE Data Entry'!$B$10:$B$36,'IE SUMMARY'!$T19,'IE Data Entry'!F$10:F$36)</f>
        <v>0</v>
      </c>
      <c r="F19" s="178">
        <f>SUMIF('IE Data Entry'!$B$10:$B$36,'IE SUMMARY'!$T19,'IE Data Entry'!H$10:H$36)</f>
        <v>0</v>
      </c>
      <c r="G19" s="178">
        <f>SUMIF('IE Data Entry'!$B$10:$B$36,'IE SUMMARY'!$T19,'IE Data Entry'!I$10:I$36)</f>
        <v>0</v>
      </c>
      <c r="H19" s="178">
        <f>SUMIF('IE Data Entry'!$B$10:$B$36,'IE SUMMARY'!$T19,'IE Data Entry'!J$10:J$36)</f>
        <v>0</v>
      </c>
      <c r="I19" s="179">
        <f>+Proforma!F48*12</f>
        <v>41423.799999999996</v>
      </c>
      <c r="J19" s="653">
        <f t="shared" si="1"/>
        <v>41423.799999999996</v>
      </c>
      <c r="K19" s="488"/>
      <c r="L19" s="172" t="str">
        <f>IF(ISERROR((+(G21-E21)/E21)),"",(+(G21-E21)/E21))</f>
        <v/>
      </c>
      <c r="M19" s="180"/>
      <c r="N19" s="172"/>
      <c r="P19" s="173"/>
      <c r="Q19" s="172"/>
      <c r="R19" s="172"/>
      <c r="S19" s="172"/>
      <c r="T19" s="176">
        <v>4402</v>
      </c>
      <c r="U19" s="172"/>
      <c r="V19" s="172"/>
    </row>
    <row r="20" spans="1:22" x14ac:dyDescent="0.25">
      <c r="A20" s="564" t="s">
        <v>427</v>
      </c>
      <c r="B20" s="178">
        <f>SUMIF('IE Data Entry'!$B$10:$B$36,'IE SUMMARY'!$T20,'IE Data Entry'!C$10:C$36)</f>
        <v>0</v>
      </c>
      <c r="C20" s="178">
        <f>SUMIF('IE Data Entry'!$B$10:$B$36,'IE SUMMARY'!$T20,'IE Data Entry'!D$10:D$36)</f>
        <v>0</v>
      </c>
      <c r="D20" s="178">
        <f>SUMIF('IE Data Entry'!$B$10:$B$36,'IE SUMMARY'!$T20,'IE Data Entry'!E$10:E$36)</f>
        <v>0</v>
      </c>
      <c r="E20" s="178">
        <f>SUMIF('IE Data Entry'!$B$10:$B$36,'IE SUMMARY'!$T20,'IE Data Entry'!F$10:F$36)</f>
        <v>0</v>
      </c>
      <c r="F20" s="178">
        <f>SUMIF('IE Data Entry'!$B$10:$B$36,'IE SUMMARY'!$T20,'IE Data Entry'!H$10:H$36)</f>
        <v>0</v>
      </c>
      <c r="G20" s="178">
        <f>SUMIF('IE Data Entry'!$B$10:$B$36,'IE SUMMARY'!$T20,'IE Data Entry'!I$10:I$36)</f>
        <v>28544</v>
      </c>
      <c r="H20" s="178">
        <f>SUMIF('IE Data Entry'!$B$10:$B$36,'IE SUMMARY'!$T20,'IE Data Entry'!J$10:J$36)</f>
        <v>0</v>
      </c>
      <c r="I20" s="181">
        <f>(+Proforma!F49+Proforma!F50)*12</f>
        <v>36900</v>
      </c>
      <c r="J20" s="653">
        <f t="shared" si="1"/>
        <v>36900</v>
      </c>
      <c r="K20" s="488"/>
      <c r="L20" s="182" t="str">
        <f>IF(ISERROR((+(G21-F21)/F21)),"",(+(G21-F21)/F21))</f>
        <v/>
      </c>
      <c r="M20" s="180"/>
      <c r="N20" s="172"/>
      <c r="P20" s="173"/>
      <c r="Q20" s="172"/>
      <c r="R20" s="172"/>
      <c r="S20" s="172"/>
      <c r="T20" s="176">
        <v>4998</v>
      </c>
      <c r="U20" s="172"/>
      <c r="V20" s="172"/>
    </row>
    <row r="21" spans="1:22" x14ac:dyDescent="0.25">
      <c r="A21" s="183" t="s">
        <v>169</v>
      </c>
      <c r="B21" s="740">
        <f>SUM(B15:B20)</f>
        <v>0</v>
      </c>
      <c r="C21" s="740">
        <f t="shared" ref="C21:G21" si="4">SUM(C15:C20)</f>
        <v>0</v>
      </c>
      <c r="D21" s="740">
        <f t="shared" si="4"/>
        <v>0</v>
      </c>
      <c r="E21" s="740">
        <f t="shared" si="4"/>
        <v>0</v>
      </c>
      <c r="F21" s="740">
        <f t="shared" si="4"/>
        <v>0</v>
      </c>
      <c r="G21" s="740">
        <f t="shared" si="4"/>
        <v>360604</v>
      </c>
      <c r="H21" s="740">
        <f t="shared" ref="H21" si="5">SUM(H15:H20)</f>
        <v>0</v>
      </c>
      <c r="I21" s="740">
        <f>SUM(I15:I20)</f>
        <v>419173.39039999997</v>
      </c>
      <c r="J21" s="653">
        <f t="shared" si="1"/>
        <v>419173.39039999997</v>
      </c>
      <c r="K21" s="488"/>
      <c r="L21" s="182" t="str">
        <f>IF(ISERROR((+(G21-D21)/D21)),"",(+(G21-D21)/D21))</f>
        <v/>
      </c>
      <c r="M21" s="180"/>
      <c r="N21" s="172"/>
      <c r="P21" s="188"/>
      <c r="Q21" s="172"/>
      <c r="R21" s="172"/>
      <c r="S21" s="172"/>
      <c r="T21" s="176"/>
      <c r="U21" s="172"/>
      <c r="V21" s="172"/>
    </row>
    <row r="22" spans="1:22" x14ac:dyDescent="0.25">
      <c r="A22" s="185" t="s">
        <v>501</v>
      </c>
      <c r="B22" s="180"/>
      <c r="C22" s="182" t="str">
        <f>IF(ISERROR((+(C21-B21)/B21)),"",(+(C21-B21)/B21))</f>
        <v/>
      </c>
      <c r="D22" s="182" t="str">
        <f>IF(ISERROR((+(D21-C21)/C21)),"",(+(D21-C21)/C21))</f>
        <v/>
      </c>
      <c r="E22" s="182" t="str">
        <f>IF(ISERROR((+(E21-D21)/D21)),"",(+(E21-D21)/D21))</f>
        <v/>
      </c>
      <c r="F22" s="182" t="str">
        <f>IF(ISERROR((+(F21-D21)/D21)),"",(+(F21-D21)/D21))</f>
        <v/>
      </c>
      <c r="G22" s="182"/>
      <c r="H22" s="182"/>
      <c r="J22" s="504"/>
      <c r="M22" s="172"/>
      <c r="N22" s="172"/>
      <c r="O22" s="182"/>
      <c r="P22" s="173"/>
      <c r="Q22" s="172"/>
      <c r="R22" s="172"/>
      <c r="S22" s="172"/>
      <c r="T22" s="176"/>
      <c r="U22" s="172"/>
      <c r="V22" s="172"/>
    </row>
    <row r="23" spans="1:22" ht="6.75" customHeight="1" x14ac:dyDescent="0.25">
      <c r="A23" s="185"/>
      <c r="B23" s="180"/>
      <c r="C23" s="182"/>
      <c r="D23" s="182"/>
      <c r="E23" s="182"/>
      <c r="F23" s="182"/>
      <c r="G23" s="182"/>
      <c r="H23" s="182"/>
      <c r="I23" s="182"/>
      <c r="J23" s="504"/>
      <c r="K23" s="182"/>
      <c r="L23" s="180"/>
      <c r="M23" s="172"/>
      <c r="N23" s="172"/>
      <c r="O23" s="182"/>
      <c r="P23" s="173"/>
      <c r="Q23" s="172"/>
      <c r="R23" s="172"/>
      <c r="S23" s="172"/>
      <c r="T23" s="176"/>
      <c r="U23" s="172"/>
      <c r="V23" s="172"/>
    </row>
    <row r="24" spans="1:22" x14ac:dyDescent="0.25">
      <c r="A24" s="564" t="s">
        <v>502</v>
      </c>
      <c r="B24" s="178">
        <f>SUMIF('IE Data Entry'!$B$10:$B$36,'IE SUMMARY'!$T24,'IE Data Entry'!C$10:C$36)</f>
        <v>0</v>
      </c>
      <c r="C24" s="178">
        <f>SUMIF('IE Data Entry'!$B$10:$B$36,'IE SUMMARY'!$T24,'IE Data Entry'!D$10:D$36)</f>
        <v>0</v>
      </c>
      <c r="D24" s="178">
        <f>SUMIF('IE Data Entry'!$B$10:$B$36,'IE SUMMARY'!$T24,'IE Data Entry'!E$10:E$36)</f>
        <v>0</v>
      </c>
      <c r="E24" s="178">
        <f>SUMIF('IE Data Entry'!$B$10:$B$36,'IE SUMMARY'!$T24,'IE Data Entry'!F$10:F$36)</f>
        <v>0</v>
      </c>
      <c r="F24" s="178">
        <f>SUMIF('IE Data Entry'!$B$10:$B$36,'IE SUMMARY'!$T24,'IE Data Entry'!H$10:H$36)</f>
        <v>0</v>
      </c>
      <c r="G24" s="178">
        <f>SUMIF('IE Data Entry'!$B$10:$B$36,'IE SUMMARY'!$T24,'IE Data Entry'!I$10:I$36)</f>
        <v>0</v>
      </c>
      <c r="H24" s="178">
        <f>SUMIF('IE Data Entry'!$B$10:$B$36,'IE SUMMARY'!$T24,'IE Data Entry'!J$10:J$36)</f>
        <v>0</v>
      </c>
      <c r="I24" s="189">
        <f>+Proforma!F52*12</f>
        <v>0</v>
      </c>
      <c r="J24" s="499">
        <f t="shared" si="1"/>
        <v>0</v>
      </c>
      <c r="K24" s="178"/>
      <c r="L24" s="180"/>
      <c r="M24" s="172"/>
      <c r="N24" s="172"/>
      <c r="P24" s="173"/>
      <c r="Q24" s="172"/>
      <c r="R24" s="172"/>
      <c r="S24" s="172"/>
      <c r="T24" s="176">
        <v>4134</v>
      </c>
      <c r="U24" s="172"/>
      <c r="V24" s="172"/>
    </row>
    <row r="25" spans="1:22" ht="9" customHeight="1" x14ac:dyDescent="0.25">
      <c r="A25" s="564"/>
      <c r="B25" s="178"/>
      <c r="C25" s="178"/>
      <c r="D25" s="178"/>
      <c r="E25" s="178"/>
      <c r="F25" s="178"/>
      <c r="G25" s="178"/>
      <c r="H25" s="178"/>
      <c r="I25" s="178"/>
      <c r="J25" s="504"/>
      <c r="K25" s="178"/>
      <c r="L25" s="172">
        <f>IF(ISERROR((+(G27-E27)/E27)),"",(+(G27-E27)/E27))</f>
        <v>-1</v>
      </c>
      <c r="M25" s="180"/>
      <c r="N25" s="172"/>
      <c r="P25" s="173"/>
      <c r="Q25" s="172"/>
      <c r="R25" s="172"/>
      <c r="S25" s="172"/>
      <c r="T25" s="176"/>
      <c r="U25" s="172"/>
      <c r="V25" s="172"/>
    </row>
    <row r="26" spans="1:22" x14ac:dyDescent="0.25">
      <c r="A26" s="187" t="s">
        <v>503</v>
      </c>
      <c r="B26" s="643">
        <f>+B11+B21+B24</f>
        <v>0</v>
      </c>
      <c r="C26" s="643">
        <f t="shared" ref="C26:I26" si="6">+C11+C21+C24</f>
        <v>1134213.32</v>
      </c>
      <c r="D26" s="643">
        <f t="shared" si="6"/>
        <v>1266044</v>
      </c>
      <c r="E26" s="643">
        <f t="shared" si="6"/>
        <v>1280618</v>
      </c>
      <c r="F26" s="643">
        <f t="shared" si="6"/>
        <v>0</v>
      </c>
      <c r="G26" s="643">
        <f t="shared" si="6"/>
        <v>1530100</v>
      </c>
      <c r="H26" s="643">
        <f t="shared" ref="H26" si="7">+H11+H21+H24</f>
        <v>0</v>
      </c>
      <c r="I26" s="643">
        <f t="shared" si="6"/>
        <v>1439215.3903999999</v>
      </c>
      <c r="J26" s="499">
        <f t="shared" si="1"/>
        <v>158597.39039999992</v>
      </c>
      <c r="K26" s="488"/>
      <c r="L26" s="182" t="str">
        <f>IF(ISERROR((+(G26-F26)/F26)),"",(+(G26-F26)/F26))</f>
        <v/>
      </c>
      <c r="M26" s="180"/>
      <c r="N26" s="172"/>
      <c r="P26" s="173"/>
      <c r="Q26" s="172"/>
      <c r="R26" s="172"/>
      <c r="S26" s="172"/>
      <c r="T26" s="176"/>
      <c r="U26" s="172"/>
      <c r="V26" s="172"/>
    </row>
    <row r="27" spans="1:22" x14ac:dyDescent="0.25">
      <c r="A27" s="185" t="s">
        <v>501</v>
      </c>
      <c r="B27" s="180"/>
      <c r="C27" s="182" t="str">
        <f>IF(ISERROR((+(C26-B26)/B26)),"",(+(C26-B26)/B26))</f>
        <v/>
      </c>
      <c r="D27" s="182">
        <f>IF(ISERROR((+(D26-C26)/C26)),"",(+(D26-C26)/C26))</f>
        <v>0.11623093969659952</v>
      </c>
      <c r="E27" s="182">
        <f>IF(ISERROR((+(E26-D26)/D26)),"",(+(E26-D26)/D26))</f>
        <v>1.1511448259302203E-2</v>
      </c>
      <c r="F27" s="182">
        <f>IF(ISERROR((+(F26-D26)/D26)),"",(+(F26-D26)/D26))</f>
        <v>-1</v>
      </c>
      <c r="G27" s="182"/>
      <c r="H27" s="182"/>
      <c r="J27" s="504"/>
      <c r="L27" s="182">
        <f>IF(ISERROR((+(G26-D26)/D26)),"",(+(G26-D26)/D26))</f>
        <v>0.20856779069289852</v>
      </c>
      <c r="M27" s="180"/>
      <c r="N27" s="172"/>
      <c r="O27" s="182"/>
      <c r="P27" s="172"/>
      <c r="Q27" s="172"/>
      <c r="R27" s="172"/>
      <c r="S27" s="172"/>
      <c r="T27" s="176"/>
      <c r="U27" s="172"/>
      <c r="V27" s="172"/>
    </row>
    <row r="28" spans="1:22" ht="9.9499999999999993" customHeight="1" x14ac:dyDescent="0.25">
      <c r="A28" s="564"/>
      <c r="B28" s="152"/>
      <c r="C28" s="152"/>
      <c r="D28" s="152"/>
      <c r="E28" s="152"/>
      <c r="F28" s="152"/>
      <c r="G28" s="172"/>
      <c r="H28" s="172"/>
      <c r="I28" s="182"/>
      <c r="J28" s="504"/>
      <c r="K28" s="182"/>
      <c r="L28" s="190"/>
      <c r="M28" s="173"/>
      <c r="N28" s="173"/>
      <c r="O28" s="173"/>
      <c r="P28" s="173"/>
      <c r="Q28" s="173"/>
      <c r="R28" s="173"/>
      <c r="S28" s="173"/>
      <c r="T28" s="174"/>
      <c r="U28" s="172"/>
      <c r="V28" s="172"/>
    </row>
    <row r="29" spans="1:22" x14ac:dyDescent="0.25">
      <c r="A29" s="865" t="s">
        <v>504</v>
      </c>
      <c r="B29" s="865"/>
      <c r="C29" s="865"/>
      <c r="D29" s="865"/>
      <c r="E29" s="865"/>
      <c r="F29" s="865"/>
      <c r="G29" s="865"/>
      <c r="H29" s="646"/>
      <c r="I29" s="172"/>
      <c r="J29" s="504"/>
      <c r="K29" s="172"/>
      <c r="L29" s="173"/>
      <c r="M29" s="173"/>
      <c r="N29" s="173"/>
      <c r="O29" s="173"/>
      <c r="P29" s="173"/>
      <c r="Q29" s="173"/>
      <c r="R29" s="173"/>
      <c r="S29" s="173"/>
      <c r="T29" s="172"/>
      <c r="U29" s="172"/>
      <c r="V29" s="172"/>
    </row>
    <row r="30" spans="1:22" ht="15" customHeight="1" x14ac:dyDescent="0.25">
      <c r="A30" s="160"/>
      <c r="B30" s="161"/>
      <c r="C30" s="161"/>
      <c r="D30" s="161"/>
      <c r="E30" s="161"/>
      <c r="I30" s="161"/>
      <c r="J30" s="494" t="s">
        <v>494</v>
      </c>
      <c r="K30" s="161"/>
      <c r="L30" s="191"/>
      <c r="M30" s="191"/>
      <c r="N30" s="191"/>
      <c r="O30" s="175"/>
      <c r="P30" s="191"/>
      <c r="Q30" s="191"/>
      <c r="R30" s="191"/>
      <c r="S30" s="191"/>
    </row>
    <row r="31" spans="1:22" ht="19.5" customHeight="1" thickBot="1" x14ac:dyDescent="0.3">
      <c r="A31" s="160" t="s">
        <v>505</v>
      </c>
      <c r="B31" s="162">
        <f>+'IE Data Entry'!C41</f>
        <v>2022</v>
      </c>
      <c r="C31" s="162">
        <f>+'IE Data Entry'!D41</f>
        <v>2023</v>
      </c>
      <c r="D31" s="162">
        <f>+'IE Data Entry'!E41</f>
        <v>2024</v>
      </c>
      <c r="E31" s="162" t="str">
        <f>+'IE Data Entry'!F41</f>
        <v>Trailing 12</v>
      </c>
      <c r="F31" s="192" t="str">
        <f>Current_Year&amp;" Annualized"</f>
        <v>2025 Annualized</v>
      </c>
      <c r="G31" s="192" t="s">
        <v>491</v>
      </c>
      <c r="H31" s="192" t="s">
        <v>492</v>
      </c>
      <c r="I31" s="162" t="s">
        <v>506</v>
      </c>
      <c r="J31" s="495" t="s">
        <v>507</v>
      </c>
      <c r="K31" s="161"/>
      <c r="L31" s="191"/>
      <c r="M31" s="683" t="s">
        <v>497</v>
      </c>
      <c r="N31" s="191"/>
      <c r="O31" s="175"/>
      <c r="P31" s="191"/>
      <c r="Q31" s="191"/>
      <c r="R31" s="191"/>
      <c r="S31" s="191"/>
      <c r="T31" s="174" t="s">
        <v>508</v>
      </c>
    </row>
    <row r="32" spans="1:22" ht="15.75" thickBot="1" x14ac:dyDescent="0.3">
      <c r="A32" s="565" t="str">
        <f>+Proforma!C57</f>
        <v>Salary Exp (0.75 FTE Mgr, 1.25 FTE Maintenance)</v>
      </c>
      <c r="B32" s="193">
        <f>SUMIF('IE Data Entry'!$B$42:$B$112,'IE SUMMARY'!$T32,'IE Data Entry'!C$42:C$112)</f>
        <v>0</v>
      </c>
      <c r="C32" s="193">
        <f>SUMIF('IE Data Entry'!$B$42:$B$112,'IE SUMMARY'!$T32,'IE Data Entry'!D$42:D$112)</f>
        <v>193366.75</v>
      </c>
      <c r="D32" s="193">
        <f>SUMIF('IE Data Entry'!$B$42:$B$112,'IE SUMMARY'!$T32,'IE Data Entry'!E$42:E$112)</f>
        <v>200380.14</v>
      </c>
      <c r="E32" s="193">
        <f>SUMIF('IE Data Entry'!$B$42:$B$112,'IE SUMMARY'!$T32,'IE Data Entry'!F$42:F$112)</f>
        <v>185564.47999999998</v>
      </c>
      <c r="F32" s="193">
        <f>SUMIF('IE Data Entry'!$B$42:$B$112,'IE SUMMARY'!$T32,'IE Data Entry'!H$42:H$112)</f>
        <v>0</v>
      </c>
      <c r="G32" s="193">
        <f>SUMIF('IE Data Entry'!$B$42:$B$112,'IE SUMMARY'!$T32,'IE Data Entry'!I$42:I$112)</f>
        <v>89303</v>
      </c>
      <c r="H32" s="193">
        <f>SUMIF('IE Data Entry'!$B$42:$B$112,'IE SUMMARY'!$T32,'IE Data Entry'!J$42:J$112)</f>
        <v>0</v>
      </c>
      <c r="I32" s="194">
        <f>+Proforma!F57*12</f>
        <v>134000</v>
      </c>
      <c r="J32" s="653">
        <f t="shared" ref="J32:J61" si="8">IFERROR(I32-(AVERAGEIF(B32:G32,"&gt;0",B32:G32)),I32)</f>
        <v>-33153.592499999999</v>
      </c>
      <c r="K32" s="199"/>
      <c r="L32" s="195"/>
      <c r="M32" s="685"/>
      <c r="N32" s="195"/>
      <c r="O32" s="175"/>
      <c r="P32" s="195"/>
      <c r="Q32" s="195"/>
      <c r="R32" s="195"/>
      <c r="S32" s="195"/>
      <c r="T32" s="176">
        <v>5701</v>
      </c>
    </row>
    <row r="33" spans="1:20" x14ac:dyDescent="0.25">
      <c r="A33" s="565" t="s">
        <v>175</v>
      </c>
      <c r="B33" s="196">
        <f>SUMIF('IE Data Entry'!$B$42:$B$112,'IE SUMMARY'!$T33,'IE Data Entry'!C$42:C$112)</f>
        <v>0</v>
      </c>
      <c r="C33" s="196">
        <f>SUMIF('IE Data Entry'!$B$42:$B$112,'IE SUMMARY'!$T33,'IE Data Entry'!D$42:D$112)</f>
        <v>5966.82</v>
      </c>
      <c r="D33" s="196">
        <f>SUMIF('IE Data Entry'!$B$42:$B$112,'IE SUMMARY'!$T33,'IE Data Entry'!E$42:E$112)</f>
        <v>9290.4700000000012</v>
      </c>
      <c r="E33" s="196">
        <f>SUMIF('IE Data Entry'!$B$42:$B$112,'IE SUMMARY'!$T33,'IE Data Entry'!F$42:F$112)</f>
        <v>6128.06</v>
      </c>
      <c r="F33" s="196">
        <f>SUMIF('IE Data Entry'!$B$42:$B$112,'IE SUMMARY'!$T33,'IE Data Entry'!H$42:H$112)</f>
        <v>0</v>
      </c>
      <c r="G33" s="196">
        <f>SUMIF('IE Data Entry'!$B$42:$B$112,'IE SUMMARY'!$T33,'IE Data Entry'!I$42:I$112)</f>
        <v>9402</v>
      </c>
      <c r="H33" s="196">
        <f>SUMIF('IE Data Entry'!$B$42:$B$112,'IE SUMMARY'!$T33,'IE Data Entry'!J$42:J$112)</f>
        <v>5900</v>
      </c>
      <c r="I33" s="197">
        <f>+Proforma!F58*12</f>
        <v>17680</v>
      </c>
      <c r="J33" s="653">
        <f t="shared" si="8"/>
        <v>9983.1624999999985</v>
      </c>
      <c r="K33" s="199"/>
      <c r="L33" s="195"/>
      <c r="M33" s="195"/>
      <c r="N33" s="195"/>
      <c r="O33" s="175"/>
      <c r="P33" s="195"/>
      <c r="Q33" s="195"/>
      <c r="R33" s="195"/>
      <c r="S33" s="195"/>
      <c r="T33" s="176">
        <v>5305</v>
      </c>
    </row>
    <row r="34" spans="1:20" x14ac:dyDescent="0.25">
      <c r="A34" s="565" t="s">
        <v>176</v>
      </c>
      <c r="B34" s="196">
        <f>SUMIF('IE Data Entry'!$B$42:$B$112,'IE SUMMARY'!$T34,'IE Data Entry'!C$42:C$112)</f>
        <v>0</v>
      </c>
      <c r="C34" s="196">
        <f>SUMIF('IE Data Entry'!$B$42:$B$112,'IE SUMMARY'!$T34,'IE Data Entry'!D$42:D$112)</f>
        <v>0</v>
      </c>
      <c r="D34" s="196">
        <f>SUMIF('IE Data Entry'!$B$42:$B$112,'IE SUMMARY'!$T34,'IE Data Entry'!E$42:E$112)</f>
        <v>0</v>
      </c>
      <c r="E34" s="196">
        <f>SUMIF('IE Data Entry'!$B$42:$B$112,'IE SUMMARY'!$T34,'IE Data Entry'!F$42:F$112)</f>
        <v>0</v>
      </c>
      <c r="F34" s="196">
        <f>SUMIF('IE Data Entry'!$B$42:$B$112,'IE SUMMARY'!$T34,'IE Data Entry'!H$42:H$112)</f>
        <v>0</v>
      </c>
      <c r="G34" s="196">
        <f>SUMIF('IE Data Entry'!$B$42:$B$112,'IE SUMMARY'!$T34,'IE Data Entry'!I$42:I$112)</f>
        <v>0</v>
      </c>
      <c r="H34" s="196">
        <f>SUMIF('IE Data Entry'!$B$42:$B$112,'IE SUMMARY'!$T34,'IE Data Entry'!J$42:J$112)</f>
        <v>0</v>
      </c>
      <c r="I34" s="197">
        <f>+Proforma!F59*12</f>
        <v>6240</v>
      </c>
      <c r="J34" s="653">
        <f t="shared" si="8"/>
        <v>6240</v>
      </c>
      <c r="K34" s="199"/>
      <c r="L34" s="195"/>
      <c r="M34" s="195"/>
      <c r="N34" s="195"/>
      <c r="O34" s="175"/>
      <c r="P34" s="195"/>
      <c r="Q34" s="195"/>
      <c r="R34" s="195"/>
      <c r="S34" s="195"/>
      <c r="T34" s="176">
        <v>5306</v>
      </c>
    </row>
    <row r="35" spans="1:20" x14ac:dyDescent="0.25">
      <c r="A35" s="565" t="s">
        <v>426</v>
      </c>
      <c r="B35" s="196">
        <f>SUMIF('IE Data Entry'!$B$42:$B$112,'IE SUMMARY'!$T35,'IE Data Entry'!C$42:C$112)</f>
        <v>0</v>
      </c>
      <c r="C35" s="196">
        <f>SUMIF('IE Data Entry'!$B$42:$B$112,'IE SUMMARY'!$T35,'IE Data Entry'!D$42:D$112)</f>
        <v>234623.6</v>
      </c>
      <c r="D35" s="196">
        <f>SUMIF('IE Data Entry'!$B$42:$B$112,'IE SUMMARY'!$T35,'IE Data Entry'!E$42:E$112)</f>
        <v>277990.37</v>
      </c>
      <c r="E35" s="196">
        <f>SUMIF('IE Data Entry'!$B$42:$B$112,'IE SUMMARY'!$T35,'IE Data Entry'!F$42:F$112)</f>
        <v>281148.08</v>
      </c>
      <c r="F35" s="196">
        <f>SUMIF('IE Data Entry'!$B$42:$B$112,'IE SUMMARY'!$T35,'IE Data Entry'!H$42:H$112)</f>
        <v>0</v>
      </c>
      <c r="G35" s="196">
        <f>SUMIF('IE Data Entry'!$B$42:$B$112,'IE SUMMARY'!$T35,'IE Data Entry'!I$42:I$112)</f>
        <v>288261</v>
      </c>
      <c r="H35" s="196">
        <f>SUMIF('IE Data Entry'!$B$42:$B$112,'IE SUMMARY'!$T35,'IE Data Entry'!J$42:J$112)</f>
        <v>112530</v>
      </c>
      <c r="I35" s="197">
        <f>+Proforma!F60*12</f>
        <v>242586.63</v>
      </c>
      <c r="J35" s="653">
        <f t="shared" si="8"/>
        <v>-27919.132500000007</v>
      </c>
      <c r="K35" s="199"/>
      <c r="L35" s="195"/>
      <c r="M35" s="195"/>
      <c r="N35" s="195"/>
      <c r="O35" s="175"/>
      <c r="P35" s="195"/>
      <c r="Q35" s="195"/>
      <c r="R35" s="195"/>
      <c r="S35" s="195"/>
      <c r="T35" s="176">
        <v>5404</v>
      </c>
    </row>
    <row r="36" spans="1:20" x14ac:dyDescent="0.25">
      <c r="A36" s="565" t="s">
        <v>443</v>
      </c>
      <c r="B36" s="196">
        <f>SUMIF('IE Data Entry'!$B$42:$B$112,'IE SUMMARY'!$T36,'IE Data Entry'!C$42:C$112)</f>
        <v>0</v>
      </c>
      <c r="C36" s="196">
        <f>SUMIF('IE Data Entry'!$B$42:$B$112,'IE SUMMARY'!$T36,'IE Data Entry'!D$42:D$112)</f>
        <v>0</v>
      </c>
      <c r="D36" s="196">
        <f>SUMIF('IE Data Entry'!$B$42:$B$112,'IE SUMMARY'!$T36,'IE Data Entry'!E$42:E$112)</f>
        <v>0</v>
      </c>
      <c r="E36" s="196">
        <f>SUMIF('IE Data Entry'!$B$42:$B$112,'IE SUMMARY'!$T36,'IE Data Entry'!F$42:F$112)</f>
        <v>0</v>
      </c>
      <c r="F36" s="196">
        <f>SUMIF('IE Data Entry'!$B$42:$B$112,'IE SUMMARY'!$T36,'IE Data Entry'!H$42:H$112)</f>
        <v>0</v>
      </c>
      <c r="G36" s="196">
        <f>SUMIF('IE Data Entry'!$B$42:$B$112,'IE SUMMARY'!$T36,'IE Data Entry'!I$42:I$112)</f>
        <v>0</v>
      </c>
      <c r="H36" s="196">
        <f>SUMIF('IE Data Entry'!$B$42:$B$112,'IE SUMMARY'!$T36,'IE Data Entry'!J$42:J$112)</f>
        <v>0</v>
      </c>
      <c r="I36" s="197">
        <f>+Proforma!F61*12</f>
        <v>2700</v>
      </c>
      <c r="J36" s="653">
        <f t="shared" si="8"/>
        <v>2700</v>
      </c>
      <c r="K36" s="199"/>
      <c r="L36" s="195"/>
      <c r="M36" s="195"/>
      <c r="N36" s="195"/>
      <c r="O36" s="175"/>
      <c r="P36" s="195"/>
      <c r="Q36" s="195"/>
      <c r="R36" s="195"/>
      <c r="S36" s="195"/>
      <c r="T36" s="176">
        <v>5401</v>
      </c>
    </row>
    <row r="37" spans="1:20" x14ac:dyDescent="0.25">
      <c r="A37" s="565" t="s">
        <v>291</v>
      </c>
      <c r="B37" s="196">
        <f>SUMIF('IE Data Entry'!$B$42:$B$112,'IE SUMMARY'!$T37,'IE Data Entry'!C$42:C$112)</f>
        <v>0</v>
      </c>
      <c r="C37" s="196">
        <f>SUMIF('IE Data Entry'!$B$42:$B$112,'IE SUMMARY'!$T37,'IE Data Entry'!D$42:D$112)</f>
        <v>71.66</v>
      </c>
      <c r="D37" s="196">
        <f>SUMIF('IE Data Entry'!$B$42:$B$112,'IE SUMMARY'!$T37,'IE Data Entry'!E$42:E$112)</f>
        <v>0</v>
      </c>
      <c r="E37" s="196">
        <f>SUMIF('IE Data Entry'!$B$42:$B$112,'IE SUMMARY'!$T37,'IE Data Entry'!F$42:F$112)</f>
        <v>0</v>
      </c>
      <c r="F37" s="196">
        <f>SUMIF('IE Data Entry'!$B$42:$B$112,'IE SUMMARY'!$T37,'IE Data Entry'!H$42:H$112)</f>
        <v>0</v>
      </c>
      <c r="G37" s="196">
        <f>SUMIF('IE Data Entry'!$B$42:$B$112,'IE SUMMARY'!$T37,'IE Data Entry'!I$42:I$112)</f>
        <v>0</v>
      </c>
      <c r="H37" s="196">
        <f>SUMIF('IE Data Entry'!$B$42:$B$112,'IE SUMMARY'!$T37,'IE Data Entry'!J$42:J$112)</f>
        <v>0</v>
      </c>
      <c r="I37" s="197">
        <f>+Proforma!F62*12</f>
        <v>37053.22</v>
      </c>
      <c r="J37" s="653">
        <f t="shared" si="8"/>
        <v>36981.56</v>
      </c>
      <c r="K37" s="199"/>
      <c r="L37" s="195"/>
      <c r="M37" s="195"/>
      <c r="N37" s="195"/>
      <c r="O37" s="175"/>
      <c r="P37" s="195"/>
      <c r="Q37" s="195"/>
      <c r="R37" s="195"/>
      <c r="S37" s="195"/>
      <c r="T37" s="176">
        <v>5405</v>
      </c>
    </row>
    <row r="38" spans="1:20" x14ac:dyDescent="0.25">
      <c r="A38" s="565" t="s">
        <v>446</v>
      </c>
      <c r="B38" s="196">
        <f>SUMIF('IE Data Entry'!$B$42:$B$112,'IE SUMMARY'!$T38,'IE Data Entry'!C$42:C$112)</f>
        <v>0</v>
      </c>
      <c r="C38" s="196">
        <f>SUMIF('IE Data Entry'!$B$42:$B$112,'IE SUMMARY'!$T38,'IE Data Entry'!D$42:D$112)</f>
        <v>0</v>
      </c>
      <c r="D38" s="196">
        <f>SUMIF('IE Data Entry'!$B$42:$B$112,'IE SUMMARY'!$T38,'IE Data Entry'!E$42:E$112)</f>
        <v>0</v>
      </c>
      <c r="E38" s="196">
        <f>SUMIF('IE Data Entry'!$B$42:$B$112,'IE SUMMARY'!$T38,'IE Data Entry'!F$42:F$112)</f>
        <v>0</v>
      </c>
      <c r="F38" s="196">
        <f>SUMIF('IE Data Entry'!$B$42:$B$112,'IE SUMMARY'!$T38,'IE Data Entry'!H$42:H$112)</f>
        <v>0</v>
      </c>
      <c r="G38" s="196">
        <f>SUMIF('IE Data Entry'!$B$42:$B$112,'IE SUMMARY'!$T38,'IE Data Entry'!I$42:I$112)</f>
        <v>0</v>
      </c>
      <c r="H38" s="196">
        <f>SUMIF('IE Data Entry'!$B$42:$B$112,'IE SUMMARY'!$T38,'IE Data Entry'!J$42:J$112)</f>
        <v>0</v>
      </c>
      <c r="I38" s="197">
        <f>+Proforma!F63*12</f>
        <v>35400</v>
      </c>
      <c r="J38" s="653">
        <f t="shared" si="8"/>
        <v>35400</v>
      </c>
      <c r="K38" s="199"/>
      <c r="L38" s="195"/>
      <c r="M38" s="195"/>
      <c r="N38" s="195"/>
      <c r="O38" s="175"/>
      <c r="P38" s="195"/>
      <c r="Q38" s="195"/>
      <c r="R38" s="195"/>
      <c r="S38" s="195"/>
      <c r="T38" s="176">
        <v>5403</v>
      </c>
    </row>
    <row r="39" spans="1:20" x14ac:dyDescent="0.25">
      <c r="A39" s="565" t="s">
        <v>448</v>
      </c>
      <c r="B39" s="196">
        <f>SUMIF('IE Data Entry'!$B$42:$B$112,'IE SUMMARY'!$T39,'IE Data Entry'!C$42:C$112)</f>
        <v>0</v>
      </c>
      <c r="C39" s="196">
        <f>SUMIF('IE Data Entry'!$B$42:$B$112,'IE SUMMARY'!$T39,'IE Data Entry'!D$42:D$112)</f>
        <v>0</v>
      </c>
      <c r="D39" s="196">
        <f>SUMIF('IE Data Entry'!$B$42:$B$112,'IE SUMMARY'!$T39,'IE Data Entry'!E$42:E$112)</f>
        <v>0</v>
      </c>
      <c r="E39" s="196">
        <f>SUMIF('IE Data Entry'!$B$42:$B$112,'IE SUMMARY'!$T39,'IE Data Entry'!F$42:F$112)</f>
        <v>0</v>
      </c>
      <c r="F39" s="196">
        <f>SUMIF('IE Data Entry'!$B$42:$B$112,'IE SUMMARY'!$T39,'IE Data Entry'!H$42:H$112)</f>
        <v>0</v>
      </c>
      <c r="G39" s="196">
        <f>SUMIF('IE Data Entry'!$B$42:$B$112,'IE SUMMARY'!$T39,'IE Data Entry'!I$42:I$112)</f>
        <v>0</v>
      </c>
      <c r="H39" s="196">
        <f>SUMIF('IE Data Entry'!$B$42:$B$112,'IE SUMMARY'!$T39,'IE Data Entry'!J$42:J$112)</f>
        <v>0</v>
      </c>
      <c r="I39" s="197">
        <f>+Proforma!F64*12</f>
        <v>43604</v>
      </c>
      <c r="J39" s="653">
        <f t="shared" si="8"/>
        <v>43604</v>
      </c>
      <c r="K39" s="199"/>
      <c r="L39" s="195"/>
      <c r="M39" s="195"/>
      <c r="N39" s="195"/>
      <c r="O39" s="175"/>
      <c r="P39" s="195"/>
      <c r="Q39" s="195"/>
      <c r="R39" s="195"/>
      <c r="S39" s="195"/>
      <c r="T39" s="176">
        <v>5402</v>
      </c>
    </row>
    <row r="40" spans="1:20" x14ac:dyDescent="0.25">
      <c r="A40" s="565" t="s">
        <v>182</v>
      </c>
      <c r="B40" s="196">
        <f>SUMIF('IE Data Entry'!$B$42:$B$112,'IE SUMMARY'!$T40,'IE Data Entry'!C$42:C$112)</f>
        <v>0</v>
      </c>
      <c r="C40" s="196">
        <f>SUMIF('IE Data Entry'!$B$42:$B$112,'IE SUMMARY'!$T40,'IE Data Entry'!D$42:D$112)</f>
        <v>2589.75</v>
      </c>
      <c r="D40" s="196">
        <f>SUMIF('IE Data Entry'!$B$42:$B$112,'IE SUMMARY'!$T40,'IE Data Entry'!E$42:E$112)</f>
        <v>3334.35</v>
      </c>
      <c r="E40" s="196">
        <f>SUMIF('IE Data Entry'!$B$42:$B$112,'IE SUMMARY'!$T40,'IE Data Entry'!F$42:F$112)</f>
        <v>4108.26</v>
      </c>
      <c r="F40" s="196">
        <f>SUMIF('IE Data Entry'!$B$42:$B$112,'IE SUMMARY'!$T40,'IE Data Entry'!H$42:H$112)</f>
        <v>0</v>
      </c>
      <c r="G40" s="196">
        <f>SUMIF('IE Data Entry'!$B$42:$B$112,'IE SUMMARY'!$T40,'IE Data Entry'!I$42:I$112)</f>
        <v>3159</v>
      </c>
      <c r="H40" s="196">
        <f>SUMIF('IE Data Entry'!$B$42:$B$112,'IE SUMMARY'!$T40,'IE Data Entry'!J$42:J$112)</f>
        <v>2832</v>
      </c>
      <c r="I40" s="197">
        <f>+Proforma!F65*12</f>
        <v>2500</v>
      </c>
      <c r="J40" s="653">
        <f t="shared" si="8"/>
        <v>-797.84000000000015</v>
      </c>
      <c r="K40" s="199"/>
      <c r="L40" s="195"/>
      <c r="M40" s="195"/>
      <c r="N40" s="195"/>
      <c r="O40" s="175"/>
      <c r="P40" s="195"/>
      <c r="Q40" s="195"/>
      <c r="R40" s="195"/>
      <c r="S40" s="195"/>
      <c r="T40" s="176">
        <v>5603</v>
      </c>
    </row>
    <row r="41" spans="1:20" x14ac:dyDescent="0.25">
      <c r="A41" s="565" t="s">
        <v>183</v>
      </c>
      <c r="B41" s="196">
        <f>SUMIF('IE Data Entry'!$B$42:$B$112,'IE SUMMARY'!$T41,'IE Data Entry'!C$42:C$112)</f>
        <v>0</v>
      </c>
      <c r="C41" s="196">
        <f>SUMIF('IE Data Entry'!$B$42:$B$112,'IE SUMMARY'!$T41,'IE Data Entry'!D$42:D$112)</f>
        <v>0</v>
      </c>
      <c r="D41" s="196">
        <f>SUMIF('IE Data Entry'!$B$42:$B$112,'IE SUMMARY'!$T41,'IE Data Entry'!E$42:E$112)</f>
        <v>731.42</v>
      </c>
      <c r="E41" s="196">
        <f>SUMIF('IE Data Entry'!$B$42:$B$112,'IE SUMMARY'!$T41,'IE Data Entry'!F$42:F$112)</f>
        <v>0</v>
      </c>
      <c r="F41" s="196">
        <f>SUMIF('IE Data Entry'!$B$42:$B$112,'IE SUMMARY'!$T41,'IE Data Entry'!H$42:H$112)</f>
        <v>0</v>
      </c>
      <c r="G41" s="196">
        <f>SUMIF('IE Data Entry'!$B$42:$B$112,'IE SUMMARY'!$T41,'IE Data Entry'!I$42:I$112)</f>
        <v>965</v>
      </c>
      <c r="H41" s="196">
        <f>SUMIF('IE Data Entry'!$B$42:$B$112,'IE SUMMARY'!$T41,'IE Data Entry'!J$42:J$112)</f>
        <v>0</v>
      </c>
      <c r="I41" s="197">
        <f>+Proforma!F66*12</f>
        <v>1500</v>
      </c>
      <c r="J41" s="653">
        <f t="shared" si="8"/>
        <v>651.79</v>
      </c>
      <c r="K41" s="199"/>
      <c r="L41" s="195"/>
      <c r="M41" s="195"/>
      <c r="N41" s="195"/>
      <c r="O41" s="175"/>
      <c r="P41" s="195"/>
      <c r="Q41" s="195"/>
      <c r="R41" s="195"/>
      <c r="S41" s="195"/>
      <c r="T41" s="176">
        <v>5020</v>
      </c>
    </row>
    <row r="42" spans="1:20" x14ac:dyDescent="0.25">
      <c r="A42" s="565" t="s">
        <v>509</v>
      </c>
      <c r="B42" s="196">
        <f>SUMIF('IE Data Entry'!$B$42:$B$112,'IE SUMMARY'!$T42,'IE Data Entry'!C$42:C$112)</f>
        <v>0</v>
      </c>
      <c r="C42" s="196">
        <f>SUMIF('IE Data Entry'!$B$42:$B$112,'IE SUMMARY'!$T42,'IE Data Entry'!D$42:D$112)</f>
        <v>70559.070000000007</v>
      </c>
      <c r="D42" s="196">
        <f>SUMIF('IE Data Entry'!$B$42:$B$112,'IE SUMMARY'!$T42,'IE Data Entry'!E$42:E$112)</f>
        <v>40941.480000000003</v>
      </c>
      <c r="E42" s="196">
        <f>SUMIF('IE Data Entry'!$B$42:$B$112,'IE SUMMARY'!$T42,'IE Data Entry'!F$42:F$112)</f>
        <v>39248.32</v>
      </c>
      <c r="F42" s="196">
        <f>SUMIF('IE Data Entry'!$B$42:$B$112,'IE SUMMARY'!$T42,'IE Data Entry'!H$42:H$112)</f>
        <v>0</v>
      </c>
      <c r="G42" s="196">
        <f>SUMIF('IE Data Entry'!$B$42:$B$112,'IE SUMMARY'!$T42,'IE Data Entry'!I$42:I$112)</f>
        <v>44397</v>
      </c>
      <c r="H42" s="196">
        <f>SUMIF('IE Data Entry'!$B$42:$B$112,'IE SUMMARY'!$T42,'IE Data Entry'!J$42:J$112)</f>
        <v>0</v>
      </c>
      <c r="I42" s="197">
        <f>+Proforma!F67*12</f>
        <v>29500</v>
      </c>
      <c r="J42" s="653">
        <f t="shared" si="8"/>
        <v>-19286.467500000006</v>
      </c>
      <c r="K42" s="199"/>
      <c r="L42" s="195"/>
      <c r="M42" s="195"/>
      <c r="N42" s="195"/>
      <c r="O42" s="175"/>
      <c r="P42" s="195"/>
      <c r="Q42" s="195"/>
      <c r="R42" s="195"/>
      <c r="S42" s="195"/>
      <c r="T42" s="176">
        <v>5104</v>
      </c>
    </row>
    <row r="43" spans="1:20" x14ac:dyDescent="0.25">
      <c r="A43" s="565" t="s">
        <v>510</v>
      </c>
      <c r="B43" s="196">
        <f>SUMIF('IE Data Entry'!$B$42:$B$112,'IE SUMMARY'!$T43,'IE Data Entry'!C$42:C$112)</f>
        <v>0</v>
      </c>
      <c r="C43" s="196">
        <f>SUMIF('IE Data Entry'!$B$42:$B$112,'IE SUMMARY'!$T43,'IE Data Entry'!D$42:D$112)</f>
        <v>33292.51</v>
      </c>
      <c r="D43" s="196">
        <f>SUMIF('IE Data Entry'!$B$42:$B$112,'IE SUMMARY'!$T43,'IE Data Entry'!E$42:E$112)</f>
        <v>30488.77</v>
      </c>
      <c r="E43" s="196">
        <f>SUMIF('IE Data Entry'!$B$42:$B$112,'IE SUMMARY'!$T43,'IE Data Entry'!F$42:F$112)</f>
        <v>27173.43</v>
      </c>
      <c r="F43" s="196">
        <f>SUMIF('IE Data Entry'!$B$42:$B$112,'IE SUMMARY'!$T43,'IE Data Entry'!H$42:H$112)</f>
        <v>0</v>
      </c>
      <c r="G43" s="196">
        <f>SUMIF('IE Data Entry'!$B$42:$B$112,'IE SUMMARY'!$T43,'IE Data Entry'!I$42:I$112)</f>
        <v>24204</v>
      </c>
      <c r="H43" s="196">
        <f>SUMIF('IE Data Entry'!$B$42:$B$112,'IE SUMMARY'!$T43,'IE Data Entry'!J$42:J$112)</f>
        <v>71960.769520000002</v>
      </c>
      <c r="I43" s="197">
        <f>+Proforma!F68*12</f>
        <v>12000</v>
      </c>
      <c r="J43" s="653">
        <f t="shared" si="8"/>
        <v>-16789.677499999998</v>
      </c>
      <c r="K43" s="199"/>
      <c r="L43" s="195"/>
      <c r="M43" s="195"/>
      <c r="N43" s="195"/>
      <c r="O43" s="175"/>
      <c r="P43" s="195"/>
      <c r="Q43" s="195"/>
      <c r="R43" s="195"/>
      <c r="S43" s="195"/>
      <c r="T43" s="176">
        <v>5109</v>
      </c>
    </row>
    <row r="44" spans="1:20" x14ac:dyDescent="0.25">
      <c r="A44" s="565" t="s">
        <v>511</v>
      </c>
      <c r="B44" s="196">
        <f>SUMIF('IE Data Entry'!$B$42:$B$112,'IE SUMMARY'!$T44,'IE Data Entry'!C$42:C$112)</f>
        <v>0</v>
      </c>
      <c r="C44" s="196">
        <f>SUMIF('IE Data Entry'!$B$42:$B$112,'IE SUMMARY'!$T44,'IE Data Entry'!D$42:D$112)</f>
        <v>8910</v>
      </c>
      <c r="D44" s="196">
        <f>SUMIF('IE Data Entry'!$B$42:$B$112,'IE SUMMARY'!$T44,'IE Data Entry'!E$42:E$112)</f>
        <v>0</v>
      </c>
      <c r="E44" s="196">
        <f>SUMIF('IE Data Entry'!$B$42:$B$112,'IE SUMMARY'!$T44,'IE Data Entry'!F$42:F$112)</f>
        <v>0</v>
      </c>
      <c r="F44" s="196">
        <f>SUMIF('IE Data Entry'!$B$42:$B$112,'IE SUMMARY'!$T44,'IE Data Entry'!H$42:H$112)</f>
        <v>0</v>
      </c>
      <c r="G44" s="196">
        <f>SUMIF('IE Data Entry'!$B$42:$B$112,'IE SUMMARY'!$T44,'IE Data Entry'!I$42:I$112)</f>
        <v>0</v>
      </c>
      <c r="H44" s="196">
        <f>SUMIF('IE Data Entry'!$B$42:$B$112,'IE SUMMARY'!$T44,'IE Data Entry'!J$42:J$112)</f>
        <v>0</v>
      </c>
      <c r="I44" s="197">
        <f>+Proforma!F69*12</f>
        <v>9000</v>
      </c>
      <c r="J44" s="653">
        <f t="shared" si="8"/>
        <v>90</v>
      </c>
      <c r="K44" s="199"/>
      <c r="L44" s="195"/>
      <c r="M44" s="195"/>
      <c r="N44" s="195"/>
      <c r="O44" s="175"/>
      <c r="P44" s="195"/>
      <c r="Q44" s="195"/>
      <c r="R44" s="195"/>
      <c r="S44" s="195"/>
      <c r="T44" s="176">
        <v>5200</v>
      </c>
    </row>
    <row r="45" spans="1:20" x14ac:dyDescent="0.25">
      <c r="A45" s="198" t="s">
        <v>454</v>
      </c>
      <c r="B45" s="196">
        <f>SUMIF('IE Data Entry'!$B$42:$B$112,'IE SUMMARY'!$T45,'IE Data Entry'!C$42:C$112)</f>
        <v>0</v>
      </c>
      <c r="C45" s="196">
        <f>SUMIF('IE Data Entry'!$B$42:$B$112,'IE SUMMARY'!$T45,'IE Data Entry'!D$42:D$112)</f>
        <v>161422.42000000001</v>
      </c>
      <c r="D45" s="196">
        <f>SUMIF('IE Data Entry'!$B$42:$B$112,'IE SUMMARY'!$T45,'IE Data Entry'!E$42:E$112)</f>
        <v>98731.839999999997</v>
      </c>
      <c r="E45" s="196">
        <f>SUMIF('IE Data Entry'!$B$42:$B$112,'IE SUMMARY'!$T45,'IE Data Entry'!F$42:F$112)</f>
        <v>96926.65</v>
      </c>
      <c r="F45" s="196">
        <f>SUMIF('IE Data Entry'!$B$42:$B$112,'IE SUMMARY'!$T45,'IE Data Entry'!H$42:H$112)</f>
        <v>0</v>
      </c>
      <c r="G45" s="196">
        <f>SUMIF('IE Data Entry'!$B$42:$B$112,'IE SUMMARY'!$T45,'IE Data Entry'!I$42:I$112)</f>
        <v>125292</v>
      </c>
      <c r="H45" s="196">
        <f>SUMIF('IE Data Entry'!$B$42:$B$112,'IE SUMMARY'!$T45,'IE Data Entry'!J$42:J$112)</f>
        <v>35400</v>
      </c>
      <c r="I45" s="197">
        <f>+Proforma!F70*12</f>
        <v>111186.78320000001</v>
      </c>
      <c r="J45" s="653">
        <f t="shared" ref="J45:J55" si="9">IFERROR(I45-(AVERAGEIF(B45:G45,"&gt;0",B45:G45)),I45)</f>
        <v>-9406.4443000000028</v>
      </c>
      <c r="K45" s="199"/>
      <c r="L45" s="195"/>
      <c r="M45" s="195"/>
      <c r="N45" s="195"/>
      <c r="O45" s="175"/>
      <c r="P45" s="195"/>
      <c r="Q45" s="195"/>
      <c r="R45" s="195"/>
      <c r="S45" s="195"/>
      <c r="T45" s="176">
        <v>5301</v>
      </c>
    </row>
    <row r="46" spans="1:20" x14ac:dyDescent="0.25">
      <c r="A46" s="565" t="s">
        <v>186</v>
      </c>
      <c r="B46" s="196">
        <f>SUMIF('IE Data Entry'!$B$42:$B$112,'IE SUMMARY'!$T46,'IE Data Entry'!C$42:C$112)</f>
        <v>0</v>
      </c>
      <c r="C46" s="196">
        <f>SUMIF('IE Data Entry'!$B$42:$B$112,'IE SUMMARY'!$T46,'IE Data Entry'!D$42:D$112)</f>
        <v>17519.2</v>
      </c>
      <c r="D46" s="196">
        <f>SUMIF('IE Data Entry'!$B$42:$B$112,'IE SUMMARY'!$T46,'IE Data Entry'!E$42:E$112)</f>
        <v>14462.8</v>
      </c>
      <c r="E46" s="196">
        <f>SUMIF('IE Data Entry'!$B$42:$B$112,'IE SUMMARY'!$T46,'IE Data Entry'!F$42:F$112)</f>
        <v>19008.8</v>
      </c>
      <c r="F46" s="196">
        <f>SUMIF('IE Data Entry'!$B$42:$B$112,'IE SUMMARY'!$T46,'IE Data Entry'!H$42:H$112)</f>
        <v>0</v>
      </c>
      <c r="G46" s="196">
        <f>SUMIF('IE Data Entry'!$B$42:$B$112,'IE SUMMARY'!$T46,'IE Data Entry'!I$42:I$112)</f>
        <v>20400</v>
      </c>
      <c r="H46" s="196">
        <f>SUMIF('IE Data Entry'!$B$42:$B$112,'IE SUMMARY'!$T46,'IE Data Entry'!J$42:J$112)</f>
        <v>250</v>
      </c>
      <c r="I46" s="197">
        <f>+Proforma!F71*12</f>
        <v>25071</v>
      </c>
      <c r="J46" s="653">
        <f t="shared" si="9"/>
        <v>7223.2999999999993</v>
      </c>
      <c r="K46" s="199"/>
      <c r="L46" s="195"/>
      <c r="M46" s="195"/>
      <c r="N46" s="195"/>
      <c r="O46" s="175"/>
      <c r="P46" s="195"/>
      <c r="Q46" s="195"/>
      <c r="R46" s="195"/>
      <c r="S46" s="195"/>
      <c r="T46" s="176">
        <v>5053</v>
      </c>
    </row>
    <row r="47" spans="1:20" x14ac:dyDescent="0.25">
      <c r="A47" s="565" t="s">
        <v>187</v>
      </c>
      <c r="B47" s="196">
        <f>SUMIF('IE Data Entry'!$B$42:$B$112,'IE SUMMARY'!$T47,'IE Data Entry'!C$42:C$112)</f>
        <v>0</v>
      </c>
      <c r="C47" s="196">
        <f>SUMIF('IE Data Entry'!$B$42:$B$112,'IE SUMMARY'!$T47,'IE Data Entry'!D$42:D$112)</f>
        <v>0</v>
      </c>
      <c r="D47" s="196">
        <f>SUMIF('IE Data Entry'!$B$42:$B$112,'IE SUMMARY'!$T47,'IE Data Entry'!E$42:E$112)</f>
        <v>0</v>
      </c>
      <c r="E47" s="196">
        <f>SUMIF('IE Data Entry'!$B$42:$B$112,'IE SUMMARY'!$T47,'IE Data Entry'!F$42:F$112)</f>
        <v>0</v>
      </c>
      <c r="F47" s="196">
        <f>SUMIF('IE Data Entry'!$B$42:$B$112,'IE SUMMARY'!$T47,'IE Data Entry'!H$42:H$112)</f>
        <v>0</v>
      </c>
      <c r="G47" s="196">
        <f>SUMIF('IE Data Entry'!$B$42:$B$112,'IE SUMMARY'!$T47,'IE Data Entry'!I$42:I$112)</f>
        <v>0</v>
      </c>
      <c r="H47" s="196">
        <f>SUMIF('IE Data Entry'!$B$42:$B$112,'IE SUMMARY'!$T47,'IE Data Entry'!J$42:J$112)</f>
        <v>0</v>
      </c>
      <c r="I47" s="197">
        <f>+Proforma!F72*12</f>
        <v>1095</v>
      </c>
      <c r="J47" s="653">
        <f t="shared" si="9"/>
        <v>1095</v>
      </c>
      <c r="K47" s="199"/>
      <c r="L47" s="195"/>
      <c r="M47" s="195"/>
      <c r="N47" s="195"/>
      <c r="O47" s="175"/>
      <c r="P47" s="195"/>
      <c r="Q47" s="195"/>
      <c r="R47" s="195"/>
      <c r="S47" s="195"/>
      <c r="T47" s="176">
        <v>5604</v>
      </c>
    </row>
    <row r="48" spans="1:20" x14ac:dyDescent="0.25">
      <c r="A48" s="565" t="s">
        <v>188</v>
      </c>
      <c r="B48" s="196">
        <f>SUMIF('IE Data Entry'!$B$42:$B$112,'IE SUMMARY'!$T48,'IE Data Entry'!C$42:C$112)</f>
        <v>0</v>
      </c>
      <c r="C48" s="196">
        <f>SUMIF('IE Data Entry'!$B$42:$B$112,'IE SUMMARY'!$T48,'IE Data Entry'!D$42:D$112)</f>
        <v>15069.78</v>
      </c>
      <c r="D48" s="196">
        <f>SUMIF('IE Data Entry'!$B$42:$B$112,'IE SUMMARY'!$T48,'IE Data Entry'!E$42:E$112)</f>
        <v>8252.16</v>
      </c>
      <c r="E48" s="196">
        <f>SUMIF('IE Data Entry'!$B$42:$B$112,'IE SUMMARY'!$T48,'IE Data Entry'!F$42:F$112)</f>
        <v>9330.61</v>
      </c>
      <c r="F48" s="196">
        <f>SUMIF('IE Data Entry'!$B$42:$B$112,'IE SUMMARY'!$T48,'IE Data Entry'!H$42:H$112)</f>
        <v>0</v>
      </c>
      <c r="G48" s="196">
        <f>SUMIF('IE Data Entry'!$B$42:$B$112,'IE SUMMARY'!$T48,'IE Data Entry'!I$42:I$112)</f>
        <v>0</v>
      </c>
      <c r="H48" s="196">
        <f>SUMIF('IE Data Entry'!$B$42:$B$112,'IE SUMMARY'!$T48,'IE Data Entry'!J$42:J$112)</f>
        <v>0</v>
      </c>
      <c r="I48" s="197">
        <f>+Proforma!F73*12</f>
        <v>2500</v>
      </c>
      <c r="J48" s="653">
        <f t="shared" si="9"/>
        <v>-8384.1833333333343</v>
      </c>
      <c r="K48" s="199"/>
      <c r="L48" s="195"/>
      <c r="M48" s="195"/>
      <c r="N48" s="195"/>
      <c r="O48" s="175"/>
      <c r="P48" s="195"/>
      <c r="Q48" s="195"/>
      <c r="R48" s="195"/>
      <c r="S48" s="195"/>
      <c r="T48" s="176">
        <v>5062</v>
      </c>
    </row>
    <row r="49" spans="1:20" x14ac:dyDescent="0.25">
      <c r="A49" s="565" t="s">
        <v>189</v>
      </c>
      <c r="B49" s="196">
        <f>SUMIF('IE Data Entry'!$B$42:$B$112,'IE SUMMARY'!$T49,'IE Data Entry'!C$42:C$112)</f>
        <v>0</v>
      </c>
      <c r="C49" s="196">
        <f>SUMIF('IE Data Entry'!$B$42:$B$112,'IE SUMMARY'!$T49,'IE Data Entry'!D$42:D$112)</f>
        <v>0</v>
      </c>
      <c r="D49" s="196">
        <f>SUMIF('IE Data Entry'!$B$42:$B$112,'IE SUMMARY'!$T49,'IE Data Entry'!E$42:E$112)</f>
        <v>0</v>
      </c>
      <c r="E49" s="196">
        <f>SUMIF('IE Data Entry'!$B$42:$B$112,'IE SUMMARY'!$T49,'IE Data Entry'!F$42:F$112)</f>
        <v>0</v>
      </c>
      <c r="F49" s="196">
        <f>SUMIF('IE Data Entry'!$B$42:$B$112,'IE SUMMARY'!$T49,'IE Data Entry'!H$42:H$112)</f>
        <v>0</v>
      </c>
      <c r="G49" s="196">
        <f>SUMIF('IE Data Entry'!$B$42:$B$112,'IE SUMMARY'!$T49,'IE Data Entry'!I$42:I$112)</f>
        <v>5800</v>
      </c>
      <c r="H49" s="196">
        <f>SUMIF('IE Data Entry'!$B$42:$B$112,'IE SUMMARY'!$T49,'IE Data Entry'!J$42:J$112)</f>
        <v>0</v>
      </c>
      <c r="I49" s="197">
        <f>+Proforma!F74*12</f>
        <v>1700</v>
      </c>
      <c r="J49" s="653">
        <f t="shared" si="9"/>
        <v>-4100</v>
      </c>
      <c r="K49" s="199"/>
      <c r="L49" s="195"/>
      <c r="M49" s="195"/>
      <c r="N49" s="195"/>
      <c r="O49" s="175"/>
      <c r="P49" s="195"/>
      <c r="Q49" s="195"/>
      <c r="R49" s="195"/>
      <c r="S49" s="195"/>
      <c r="T49" s="176">
        <v>5302</v>
      </c>
    </row>
    <row r="50" spans="1:20" x14ac:dyDescent="0.25">
      <c r="A50" s="565" t="s">
        <v>190</v>
      </c>
      <c r="B50" s="196">
        <f>SUMIF('IE Data Entry'!$B$42:$B$112,'IE SUMMARY'!$T50,'IE Data Entry'!C$42:C$112)</f>
        <v>0</v>
      </c>
      <c r="C50" s="196">
        <f>SUMIF('IE Data Entry'!$B$42:$B$112,'IE SUMMARY'!$T50,'IE Data Entry'!D$42:D$112)</f>
        <v>0</v>
      </c>
      <c r="D50" s="196">
        <f>SUMIF('IE Data Entry'!$B$42:$B$112,'IE SUMMARY'!$T50,'IE Data Entry'!E$42:E$112)</f>
        <v>0</v>
      </c>
      <c r="E50" s="196">
        <f>SUMIF('IE Data Entry'!$B$42:$B$112,'IE SUMMARY'!$T50,'IE Data Entry'!F$42:F$112)</f>
        <v>0</v>
      </c>
      <c r="F50" s="196">
        <f>SUMIF('IE Data Entry'!$B$42:$B$112,'IE SUMMARY'!$T50,'IE Data Entry'!H$42:H$112)</f>
        <v>0</v>
      </c>
      <c r="G50" s="196">
        <f>SUMIF('IE Data Entry'!$B$42:$B$112,'IE SUMMARY'!$T50,'IE Data Entry'!I$42:I$112)</f>
        <v>0</v>
      </c>
      <c r="H50" s="196">
        <f>SUMIF('IE Data Entry'!$B$42:$B$112,'IE SUMMARY'!$T50,'IE Data Entry'!J$42:J$112)</f>
        <v>0</v>
      </c>
      <c r="I50" s="197">
        <f>+Proforma!F75*12</f>
        <v>0</v>
      </c>
      <c r="J50" s="653">
        <f t="shared" si="9"/>
        <v>0</v>
      </c>
      <c r="K50" s="199"/>
      <c r="L50" s="195"/>
      <c r="M50" s="195"/>
      <c r="N50" s="195"/>
      <c r="O50" s="175"/>
      <c r="P50" s="195"/>
      <c r="Q50" s="195"/>
      <c r="R50" s="195"/>
      <c r="S50" s="195"/>
      <c r="T50" s="176">
        <v>5001</v>
      </c>
    </row>
    <row r="51" spans="1:20" x14ac:dyDescent="0.25">
      <c r="A51" s="565" t="s">
        <v>191</v>
      </c>
      <c r="B51" s="196">
        <f>SUMIF('IE Data Entry'!$B$42:$B$112,'IE SUMMARY'!$T51,'IE Data Entry'!C$42:C$112)</f>
        <v>0</v>
      </c>
      <c r="C51" s="196">
        <f>SUMIF('IE Data Entry'!$B$42:$B$112,'IE SUMMARY'!$T51,'IE Data Entry'!D$42:D$112)</f>
        <v>0</v>
      </c>
      <c r="D51" s="196">
        <f>SUMIF('IE Data Entry'!$B$42:$B$112,'IE SUMMARY'!$T51,'IE Data Entry'!E$42:E$112)</f>
        <v>0</v>
      </c>
      <c r="E51" s="196">
        <f>SUMIF('IE Data Entry'!$B$42:$B$112,'IE SUMMARY'!$T51,'IE Data Entry'!F$42:F$112)</f>
        <v>0</v>
      </c>
      <c r="F51" s="196">
        <f>SUMIF('IE Data Entry'!$B$42:$B$112,'IE SUMMARY'!$T51,'IE Data Entry'!H$42:H$112)</f>
        <v>0</v>
      </c>
      <c r="G51" s="196">
        <f>SUMIF('IE Data Entry'!$B$42:$B$112,'IE SUMMARY'!$T51,'IE Data Entry'!I$42:I$112)</f>
        <v>3008</v>
      </c>
      <c r="H51" s="196">
        <f>SUMIF('IE Data Entry'!$B$42:$B$112,'IE SUMMARY'!$T51,'IE Data Entry'!J$42:J$112)</f>
        <v>0</v>
      </c>
      <c r="I51" s="197">
        <f>+Proforma!F76*12</f>
        <v>2450</v>
      </c>
      <c r="J51" s="653">
        <f t="shared" si="9"/>
        <v>-558</v>
      </c>
      <c r="K51" s="199"/>
      <c r="L51" s="195"/>
      <c r="M51" s="195"/>
      <c r="N51" s="195"/>
      <c r="O51" s="175"/>
      <c r="P51" s="195"/>
      <c r="Q51" s="195"/>
      <c r="R51" s="195"/>
      <c r="S51" s="195"/>
      <c r="T51" s="176">
        <v>5061</v>
      </c>
    </row>
    <row r="52" spans="1:20" x14ac:dyDescent="0.25">
      <c r="A52" s="565" t="s">
        <v>192</v>
      </c>
      <c r="B52" s="196">
        <f>SUMIF('IE Data Entry'!$B$42:$B$112,'IE SUMMARY'!$T52,'IE Data Entry'!C$42:C$112)</f>
        <v>0</v>
      </c>
      <c r="C52" s="196">
        <f>SUMIF('IE Data Entry'!$B$42:$B$112,'IE SUMMARY'!$T52,'IE Data Entry'!D$42:D$112)</f>
        <v>7048.64</v>
      </c>
      <c r="D52" s="196">
        <f>SUMIF('IE Data Entry'!$B$42:$B$112,'IE SUMMARY'!$T52,'IE Data Entry'!E$42:E$112)</f>
        <v>5184.2700000000004</v>
      </c>
      <c r="E52" s="196">
        <f>SUMIF('IE Data Entry'!$B$42:$B$112,'IE SUMMARY'!$T52,'IE Data Entry'!F$42:F$112)</f>
        <v>6891.47</v>
      </c>
      <c r="F52" s="196">
        <f>SUMIF('IE Data Entry'!$B$42:$B$112,'IE SUMMARY'!$T52,'IE Data Entry'!H$42:H$112)</f>
        <v>0</v>
      </c>
      <c r="G52" s="196">
        <f>SUMIF('IE Data Entry'!$B$42:$B$112,'IE SUMMARY'!$T52,'IE Data Entry'!I$42:I$112)</f>
        <v>4256</v>
      </c>
      <c r="H52" s="196">
        <f>SUMIF('IE Data Entry'!$B$42:$B$112,'IE SUMMARY'!$T52,'IE Data Entry'!J$42:J$112)</f>
        <v>802.40000000000009</v>
      </c>
      <c r="I52" s="197">
        <f ca="1">+Proforma!F77*12</f>
        <v>5287.9554000000007</v>
      </c>
      <c r="J52" s="653">
        <f t="shared" ca="1" si="9"/>
        <v>-557.13959999999952</v>
      </c>
      <c r="K52" s="199"/>
      <c r="L52" s="195"/>
      <c r="M52" s="195"/>
      <c r="N52" s="195"/>
      <c r="O52" s="175"/>
      <c r="P52" s="195"/>
      <c r="Q52" s="195"/>
      <c r="R52" s="195"/>
      <c r="S52" s="195"/>
      <c r="T52" s="176">
        <v>5304</v>
      </c>
    </row>
    <row r="53" spans="1:20" x14ac:dyDescent="0.25">
      <c r="A53" s="565" t="s">
        <v>193</v>
      </c>
      <c r="B53" s="196">
        <f>SUMIF('IE Data Entry'!$B$42:$B$112,'IE SUMMARY'!$T53,'IE Data Entry'!C$42:C$112)</f>
        <v>0</v>
      </c>
      <c r="C53" s="196">
        <f>SUMIF('IE Data Entry'!$B$42:$B$112,'IE SUMMARY'!$T53,'IE Data Entry'!D$42:D$112)</f>
        <v>751.57</v>
      </c>
      <c r="D53" s="196">
        <f>SUMIF('IE Data Entry'!$B$42:$B$112,'IE SUMMARY'!$T53,'IE Data Entry'!E$42:E$112)</f>
        <v>935.16</v>
      </c>
      <c r="E53" s="196">
        <f>SUMIF('IE Data Entry'!$B$42:$B$112,'IE SUMMARY'!$T53,'IE Data Entry'!F$42:F$112)</f>
        <v>823.14</v>
      </c>
      <c r="F53" s="196">
        <f>SUMIF('IE Data Entry'!$B$42:$B$112,'IE SUMMARY'!$T53,'IE Data Entry'!H$42:H$112)</f>
        <v>0</v>
      </c>
      <c r="G53" s="196">
        <f>SUMIF('IE Data Entry'!$B$42:$B$112,'IE SUMMARY'!$T53,'IE Data Entry'!I$42:I$112)</f>
        <v>1001</v>
      </c>
      <c r="H53" s="196">
        <f>SUMIF('IE Data Entry'!$B$42:$B$112,'IE SUMMARY'!$T53,'IE Data Entry'!J$42:J$112)</f>
        <v>47200</v>
      </c>
      <c r="I53" s="197">
        <f>+Proforma!F78*12</f>
        <v>500</v>
      </c>
      <c r="J53" s="653">
        <f t="shared" si="9"/>
        <v>-377.71749999999997</v>
      </c>
      <c r="K53" s="199"/>
      <c r="L53" s="195"/>
      <c r="M53" s="195"/>
      <c r="N53" s="195"/>
      <c r="O53" s="175"/>
      <c r="P53" s="195"/>
      <c r="Q53" s="195"/>
      <c r="R53" s="195"/>
      <c r="S53" s="195"/>
      <c r="T53" s="176">
        <v>5064</v>
      </c>
    </row>
    <row r="54" spans="1:20" x14ac:dyDescent="0.25">
      <c r="A54" s="565" t="s">
        <v>194</v>
      </c>
      <c r="B54" s="196">
        <f>SUMIF('IE Data Entry'!$B$42:$B$112,'IE SUMMARY'!$T54,'IE Data Entry'!C$42:C$112)</f>
        <v>0</v>
      </c>
      <c r="C54" s="196">
        <f>SUMIF('IE Data Entry'!$B$42:$B$112,'IE SUMMARY'!$T54,'IE Data Entry'!D$42:D$112)</f>
        <v>5501.25</v>
      </c>
      <c r="D54" s="196">
        <f>SUMIF('IE Data Entry'!$B$42:$B$112,'IE SUMMARY'!$T54,'IE Data Entry'!E$42:E$112)</f>
        <v>3310.31</v>
      </c>
      <c r="E54" s="196">
        <f>SUMIF('IE Data Entry'!$B$42:$B$112,'IE SUMMARY'!$T54,'IE Data Entry'!F$42:F$112)</f>
        <v>2583.1999999999998</v>
      </c>
      <c r="F54" s="196">
        <f>SUMIF('IE Data Entry'!$B$42:$B$112,'IE SUMMARY'!$T54,'IE Data Entry'!H$42:H$112)</f>
        <v>0</v>
      </c>
      <c r="G54" s="196">
        <f>SUMIF('IE Data Entry'!$B$42:$B$112,'IE SUMMARY'!$T54,'IE Data Entry'!I$42:I$112)</f>
        <v>3629</v>
      </c>
      <c r="H54" s="196">
        <f>SUMIF('IE Data Entry'!$B$42:$B$112,'IE SUMMARY'!$T54,'IE Data Entry'!J$42:J$112)</f>
        <v>2860</v>
      </c>
      <c r="I54" s="197">
        <f>+Proforma!F79*12</f>
        <v>2500</v>
      </c>
      <c r="J54" s="653">
        <f t="shared" si="9"/>
        <v>-1255.9399999999996</v>
      </c>
      <c r="K54" s="199"/>
      <c r="L54" s="172">
        <f>IF(ISERROR((+(G56-E56)/E56)),"",(+(G56-E56)/E56))</f>
        <v>4.6308590887633491E-2</v>
      </c>
      <c r="M54" s="180"/>
      <c r="N54" s="199"/>
      <c r="P54" s="199"/>
      <c r="Q54" s="199"/>
      <c r="R54" s="199"/>
      <c r="S54" s="199"/>
      <c r="T54" s="176">
        <v>5601</v>
      </c>
    </row>
    <row r="55" spans="1:20" x14ac:dyDescent="0.25">
      <c r="A55" s="565" t="s">
        <v>512</v>
      </c>
      <c r="B55" s="196">
        <f>SUMIF('IE Data Entry'!$B$42:$B$112,'IE SUMMARY'!$T55,'IE Data Entry'!C$42:C$112)</f>
        <v>0</v>
      </c>
      <c r="C55" s="196">
        <f>SUMIF('IE Data Entry'!$B$42:$B$112,'IE SUMMARY'!$T55,'IE Data Entry'!D$42:D$112)</f>
        <v>0</v>
      </c>
      <c r="D55" s="196">
        <f>SUMIF('IE Data Entry'!$B$42:$B$112,'IE SUMMARY'!$T55,'IE Data Entry'!E$42:E$112)</f>
        <v>0</v>
      </c>
      <c r="E55" s="196">
        <f>SUMIF('IE Data Entry'!$B$42:$B$112,'IE SUMMARY'!$T55,'IE Data Entry'!F$42:F$112)</f>
        <v>0</v>
      </c>
      <c r="F55" s="196">
        <f>SUMIF('IE Data Entry'!$B$42:$B$112,'IE SUMMARY'!$T55,'IE Data Entry'!H$42:H$112)</f>
        <v>0</v>
      </c>
      <c r="G55" s="196">
        <f>SUMIF('IE Data Entry'!$B$42:$B$112,'IE SUMMARY'!$T55,'IE Data Entry'!I$42:I$112)</f>
        <v>87298</v>
      </c>
      <c r="H55" s="196">
        <f>SUMIF('IE Data Entry'!$B$42:$B$112,'IE SUMMARY'!$T55,'IE Data Entry'!J$42:J$112)</f>
        <v>0</v>
      </c>
      <c r="I55" s="197">
        <f>+Proforma!F80*12</f>
        <v>57568.615616000003</v>
      </c>
      <c r="J55" s="653">
        <f t="shared" si="9"/>
        <v>-29729.384383999997</v>
      </c>
      <c r="K55" s="199"/>
      <c r="L55" s="182" t="str">
        <f>IF(ISERROR((+(G56-F56)/F56)),"",(+(G56-F56)/F56))</f>
        <v/>
      </c>
      <c r="M55" s="180"/>
      <c r="N55" s="199"/>
      <c r="P55" s="199"/>
      <c r="Q55" s="199"/>
      <c r="R55" s="199"/>
      <c r="S55" s="199"/>
      <c r="T55" s="176">
        <v>5000</v>
      </c>
    </row>
    <row r="56" spans="1:20" x14ac:dyDescent="0.25">
      <c r="A56" s="200" t="s">
        <v>513</v>
      </c>
      <c r="B56" s="644">
        <f t="shared" ref="B56:I56" si="10">SUM(B32:B55)</f>
        <v>0</v>
      </c>
      <c r="C56" s="644">
        <f t="shared" si="10"/>
        <v>756693.02</v>
      </c>
      <c r="D56" s="644">
        <f t="shared" si="10"/>
        <v>694033.54000000015</v>
      </c>
      <c r="E56" s="644">
        <f t="shared" si="10"/>
        <v>678934.5</v>
      </c>
      <c r="F56" s="644">
        <f t="shared" si="10"/>
        <v>0</v>
      </c>
      <c r="G56" s="644">
        <f t="shared" si="10"/>
        <v>710375</v>
      </c>
      <c r="H56" s="644">
        <f t="shared" si="10"/>
        <v>279735.16952</v>
      </c>
      <c r="I56" s="644">
        <f t="shared" ca="1" si="10"/>
        <v>783623.20421600004</v>
      </c>
      <c r="J56" s="655">
        <f t="shared" ca="1" si="8"/>
        <v>73614.189216000028</v>
      </c>
      <c r="K56" s="489"/>
      <c r="L56" s="182">
        <f>IF(ISERROR((+(G56-D56)/D56)),"",(+(G56-D56)/D56))</f>
        <v>2.3545634408388739E-2</v>
      </c>
      <c r="M56" s="180"/>
      <c r="N56" s="201"/>
      <c r="Q56" s="199"/>
      <c r="R56" s="199"/>
      <c r="S56" s="199"/>
    </row>
    <row r="57" spans="1:20" x14ac:dyDescent="0.25">
      <c r="A57" s="202" t="s">
        <v>501</v>
      </c>
      <c r="B57" s="180"/>
      <c r="C57" s="182" t="str">
        <f>IF(ISERROR((+(C56-B56)/B56)),"",(+(C56-B56)/B56))</f>
        <v/>
      </c>
      <c r="D57" s="182">
        <f>IF(ISERROR((+(D56-C56)/C56)),"",(+(D56-C56)/C56))</f>
        <v>-8.2807001444257886E-2</v>
      </c>
      <c r="E57" s="182">
        <f>IF(ISERROR((+(E56-D56)/D56)),"",(+(E56-D56)/D56))</f>
        <v>-2.1755490375868793E-2</v>
      </c>
      <c r="F57" s="182">
        <f>IF(ISERROR((+(F56-D56)/D56)),"",(+(F56-D56)/D56))</f>
        <v>-1</v>
      </c>
      <c r="G57" s="203"/>
      <c r="H57" s="203"/>
      <c r="J57" s="504"/>
      <c r="N57" s="203"/>
      <c r="O57" s="203"/>
      <c r="Q57" s="204"/>
      <c r="R57" s="204"/>
      <c r="S57" s="204"/>
    </row>
    <row r="58" spans="1:20" x14ac:dyDescent="0.25">
      <c r="A58" s="205" t="s">
        <v>514</v>
      </c>
      <c r="B58" s="206" t="str">
        <f>IF(ISERROR((+B56/B26)),"",(+B56/B26))</f>
        <v/>
      </c>
      <c r="C58" s="206">
        <f>IF(ISERROR((+C56/C26)),"",(+C56/C26))</f>
        <v>0.66715229547824384</v>
      </c>
      <c r="D58" s="206">
        <f>IF(ISERROR((+D56/D26)),"",(+D56/D26))</f>
        <v>0.54819069479417792</v>
      </c>
      <c r="E58" s="206">
        <f>IF(ISERROR((+E56/E26)),"",(+E56/E26))</f>
        <v>0.53016160947292634</v>
      </c>
      <c r="F58" s="206" t="str">
        <f>IF(ISERROR((+F56/F26)),"",(+F56/F26))</f>
        <v/>
      </c>
      <c r="G58" s="207"/>
      <c r="H58" s="207"/>
      <c r="I58" s="206">
        <f ca="1">IF(ISERROR((+I56/I26)),"",(+I56/I26))</f>
        <v>0.54447945001353015</v>
      </c>
      <c r="J58" s="504"/>
      <c r="K58" s="206"/>
      <c r="L58" s="180"/>
      <c r="M58" s="203"/>
      <c r="N58" s="203"/>
      <c r="O58" s="203"/>
      <c r="P58" s="204"/>
      <c r="Q58" s="204"/>
      <c r="R58" s="204"/>
      <c r="S58" s="204"/>
    </row>
    <row r="59" spans="1:20" x14ac:dyDescent="0.25">
      <c r="A59" s="202"/>
      <c r="B59" s="161"/>
      <c r="C59" s="161"/>
      <c r="D59" s="161"/>
      <c r="E59" s="161"/>
      <c r="F59" s="869" t="str">
        <f>Current_Year&amp;" Annualized"</f>
        <v>2025 Annualized</v>
      </c>
      <c r="G59" s="869" t="s">
        <v>491</v>
      </c>
      <c r="H59" s="647"/>
      <c r="I59" s="182"/>
      <c r="J59" s="494" t="s">
        <v>494</v>
      </c>
      <c r="K59" s="182"/>
      <c r="L59" s="180"/>
      <c r="M59" s="203"/>
      <c r="N59" s="203"/>
      <c r="O59" s="203"/>
      <c r="P59" s="204"/>
      <c r="Q59" s="204"/>
      <c r="R59" s="204"/>
      <c r="S59" s="204"/>
    </row>
    <row r="60" spans="1:20" ht="15.75" thickBot="1" x14ac:dyDescent="0.3">
      <c r="B60" s="162">
        <f>+B31</f>
        <v>2022</v>
      </c>
      <c r="C60" s="162">
        <f>+C31</f>
        <v>2023</v>
      </c>
      <c r="D60" s="162">
        <f>+D31</f>
        <v>2024</v>
      </c>
      <c r="E60" s="162" t="str">
        <f>+E31</f>
        <v>Trailing 12</v>
      </c>
      <c r="F60" s="870"/>
      <c r="G60" s="870"/>
      <c r="H60" s="648" t="s">
        <v>492</v>
      </c>
      <c r="I60" s="342" t="str">
        <f>+I31</f>
        <v>BVG Yr 1 Projection</v>
      </c>
      <c r="J60" s="495" t="s">
        <v>507</v>
      </c>
      <c r="K60" s="490"/>
      <c r="L60" s="172">
        <f>IF(ISERROR((+(G62-E62)/E62)),"",(+(G62-E62)/E62))</f>
        <v>-1</v>
      </c>
      <c r="M60" s="180"/>
    </row>
    <row r="61" spans="1:20" ht="15.75" thickBot="1" x14ac:dyDescent="0.3">
      <c r="A61" s="187" t="s">
        <v>515</v>
      </c>
      <c r="B61" s="615">
        <f t="shared" ref="B61:I61" si="11">+B26-B56</f>
        <v>0</v>
      </c>
      <c r="C61" s="615">
        <f t="shared" si="11"/>
        <v>377520.30000000005</v>
      </c>
      <c r="D61" s="615">
        <f t="shared" si="11"/>
        <v>572010.45999999985</v>
      </c>
      <c r="E61" s="615">
        <f t="shared" si="11"/>
        <v>601683.5</v>
      </c>
      <c r="F61" s="615">
        <f t="shared" si="11"/>
        <v>0</v>
      </c>
      <c r="G61" s="615">
        <f t="shared" si="11"/>
        <v>819725</v>
      </c>
      <c r="H61" s="615">
        <f t="shared" si="11"/>
        <v>-279735.16952</v>
      </c>
      <c r="I61" s="341">
        <f t="shared" ca="1" si="11"/>
        <v>655592.18618399987</v>
      </c>
      <c r="J61" s="499">
        <f t="shared" ca="1" si="8"/>
        <v>62857.371183999931</v>
      </c>
      <c r="K61" s="199"/>
      <c r="L61" s="182" t="str">
        <f>IF(ISERROR((+(G61-F61)/F61)),"",(+(G61-F61)/F61))</f>
        <v/>
      </c>
      <c r="M61" s="180"/>
    </row>
    <row r="62" spans="1:20" ht="15.75" thickTop="1" x14ac:dyDescent="0.25">
      <c r="A62" s="202" t="s">
        <v>501</v>
      </c>
      <c r="B62" s="180"/>
      <c r="C62" s="182" t="str">
        <f>IF(ISERROR((+(C61-B61)/B61)),"",(+(C61-B61)/B61))</f>
        <v/>
      </c>
      <c r="D62" s="182">
        <f>IF(ISERROR((+(D61-C61)/C61)),"",(+(D61-C61)/C61))</f>
        <v>0.51517801824166742</v>
      </c>
      <c r="E62" s="182">
        <f>IF(ISERROR((+(E61-D61)/D61)),"",(+(E61-D61)/D61))</f>
        <v>5.1874995432776107E-2</v>
      </c>
      <c r="F62" s="182">
        <f>IF(ISERROR((+(F61-D61)/D61)),"",(+(F61-D61)/D61))</f>
        <v>-1</v>
      </c>
      <c r="G62" s="203"/>
      <c r="H62" s="203"/>
      <c r="L62" s="182">
        <f>IF(ISERROR((+(G61-D61)/D61)),"",(+(G61-D61)/D61))</f>
        <v>0.43305945838822635</v>
      </c>
      <c r="M62" s="180"/>
    </row>
    <row r="64" spans="1:20" x14ac:dyDescent="0.25">
      <c r="A64" s="865" t="s">
        <v>516</v>
      </c>
      <c r="B64" s="865"/>
      <c r="C64" s="865"/>
      <c r="D64" s="865"/>
      <c r="E64" s="865"/>
      <c r="F64" s="865"/>
      <c r="G64" s="865"/>
      <c r="H64" s="865"/>
      <c r="I64" s="865"/>
      <c r="J64" s="491"/>
      <c r="K64" s="491"/>
    </row>
    <row r="65" spans="1:11" x14ac:dyDescent="0.25">
      <c r="A65" s="218" t="s">
        <v>517</v>
      </c>
      <c r="B65" s="218">
        <f>+B60</f>
        <v>2022</v>
      </c>
      <c r="C65" s="218">
        <f t="shared" ref="C65:I65" si="12">+C60</f>
        <v>2023</v>
      </c>
      <c r="D65" s="218">
        <f t="shared" si="12"/>
        <v>2024</v>
      </c>
      <c r="E65" s="218" t="str">
        <f t="shared" si="12"/>
        <v>Trailing 12</v>
      </c>
      <c r="F65" s="218" t="str">
        <f>+F59</f>
        <v>2025 Annualized</v>
      </c>
      <c r="G65" s="218" t="str">
        <f>+G59</f>
        <v>Broker Projection</v>
      </c>
      <c r="H65" s="218" t="s">
        <v>492</v>
      </c>
      <c r="I65" s="218" t="str">
        <f t="shared" si="12"/>
        <v>BVG Yr 1 Projection</v>
      </c>
      <c r="J65" s="160"/>
      <c r="K65" s="160"/>
    </row>
    <row r="66" spans="1:11" x14ac:dyDescent="0.25">
      <c r="A66" s="741" t="s">
        <v>518</v>
      </c>
      <c r="B66" s="199">
        <f t="shared" ref="B66:I66" si="13">SUM(B15:B19)</f>
        <v>0</v>
      </c>
      <c r="C66" s="199">
        <f t="shared" si="13"/>
        <v>0</v>
      </c>
      <c r="D66" s="199">
        <f t="shared" si="13"/>
        <v>0</v>
      </c>
      <c r="E66" s="199">
        <f t="shared" si="13"/>
        <v>0</v>
      </c>
      <c r="F66" s="199">
        <f t="shared" si="13"/>
        <v>0</v>
      </c>
      <c r="G66" s="199">
        <f t="shared" si="13"/>
        <v>332060</v>
      </c>
      <c r="H66" s="199">
        <f t="shared" si="13"/>
        <v>0</v>
      </c>
      <c r="I66" s="199">
        <f t="shared" si="13"/>
        <v>382273.39039999997</v>
      </c>
      <c r="J66" s="492"/>
      <c r="K66" s="216"/>
    </row>
    <row r="67" spans="1:11" x14ac:dyDescent="0.25">
      <c r="A67" s="741" t="s">
        <v>519</v>
      </c>
      <c r="B67" s="199">
        <f t="shared" ref="B67:I67" si="14">SUM(B35:B39)</f>
        <v>0</v>
      </c>
      <c r="C67" s="199">
        <f t="shared" si="14"/>
        <v>234695.26</v>
      </c>
      <c r="D67" s="199">
        <f t="shared" si="14"/>
        <v>277990.37</v>
      </c>
      <c r="E67" s="199">
        <f t="shared" si="14"/>
        <v>281148.08</v>
      </c>
      <c r="F67" s="199">
        <f t="shared" si="14"/>
        <v>0</v>
      </c>
      <c r="G67" s="199">
        <f t="shared" si="14"/>
        <v>288261</v>
      </c>
      <c r="H67" s="199">
        <f t="shared" si="14"/>
        <v>112530</v>
      </c>
      <c r="I67" s="199">
        <f t="shared" si="14"/>
        <v>361343.85</v>
      </c>
      <c r="J67" s="492"/>
      <c r="K67" s="216"/>
    </row>
    <row r="68" spans="1:11" x14ac:dyDescent="0.25">
      <c r="A68" s="741" t="s">
        <v>520</v>
      </c>
      <c r="B68" s="742">
        <f>+B66-B67</f>
        <v>0</v>
      </c>
      <c r="C68" s="742">
        <f t="shared" ref="C68:I68" si="15">+C66-C67</f>
        <v>-234695.26</v>
      </c>
      <c r="D68" s="742">
        <f t="shared" si="15"/>
        <v>-277990.37</v>
      </c>
      <c r="E68" s="742">
        <f t="shared" si="15"/>
        <v>-281148.08</v>
      </c>
      <c r="F68" s="742">
        <f t="shared" si="15"/>
        <v>0</v>
      </c>
      <c r="G68" s="742">
        <f t="shared" si="15"/>
        <v>43799</v>
      </c>
      <c r="H68" s="742">
        <f t="shared" ref="H68" si="16">+H66-H67</f>
        <v>-112530</v>
      </c>
      <c r="I68" s="742">
        <f t="shared" si="15"/>
        <v>20929.540399999998</v>
      </c>
      <c r="J68" s="492"/>
      <c r="K68" s="216"/>
    </row>
    <row r="69" spans="1:11" x14ac:dyDescent="0.25">
      <c r="A69" s="741" t="s">
        <v>521</v>
      </c>
      <c r="B69" s="217" t="str">
        <f>IF(ISERROR((+B66/B67)),"",(+B66/B67))</f>
        <v/>
      </c>
      <c r="C69" s="217"/>
      <c r="D69" s="217">
        <f t="shared" ref="D69:I69" si="17">IF(ISERROR((+D66/D67)),"",(+D66/D67))</f>
        <v>0</v>
      </c>
      <c r="E69" s="217">
        <f t="shared" si="17"/>
        <v>0</v>
      </c>
      <c r="F69" s="217" t="str">
        <f t="shared" si="17"/>
        <v/>
      </c>
      <c r="G69" s="217">
        <f t="shared" si="17"/>
        <v>1.1519421635254161</v>
      </c>
      <c r="H69" s="217">
        <f t="shared" ref="H69" si="18">IF(ISERROR((+H66/H67)),"",(+H66/H67))</f>
        <v>0</v>
      </c>
      <c r="I69" s="217">
        <f t="shared" si="17"/>
        <v>1.0579213964759604</v>
      </c>
      <c r="J69" s="492"/>
      <c r="K69" s="217"/>
    </row>
    <row r="70" spans="1:11" x14ac:dyDescent="0.25">
      <c r="B70" s="199"/>
      <c r="C70" s="199"/>
      <c r="D70" s="199"/>
      <c r="E70" s="199"/>
      <c r="F70" s="199"/>
      <c r="G70" s="199"/>
      <c r="H70" s="199"/>
      <c r="I70" s="199"/>
      <c r="J70" s="492"/>
    </row>
    <row r="71" spans="1:11" x14ac:dyDescent="0.25">
      <c r="A71" s="160" t="s">
        <v>522</v>
      </c>
      <c r="B71" s="652"/>
      <c r="C71" s="199"/>
      <c r="D71" s="199"/>
      <c r="E71" s="199"/>
      <c r="F71" s="199"/>
      <c r="G71" s="199"/>
      <c r="H71" s="199"/>
      <c r="I71" s="199"/>
      <c r="J71" s="492"/>
    </row>
    <row r="72" spans="1:11" x14ac:dyDescent="0.25">
      <c r="A72" s="741" t="s">
        <v>523</v>
      </c>
      <c r="B72" s="199">
        <f t="shared" ref="B72:I72" si="19">B15</f>
        <v>0</v>
      </c>
      <c r="C72" s="199">
        <f t="shared" si="19"/>
        <v>0</v>
      </c>
      <c r="D72" s="199">
        <f t="shared" si="19"/>
        <v>0</v>
      </c>
      <c r="E72" s="199">
        <f t="shared" si="19"/>
        <v>0</v>
      </c>
      <c r="F72" s="199">
        <f t="shared" si="19"/>
        <v>0</v>
      </c>
      <c r="G72" s="199">
        <f t="shared" si="19"/>
        <v>211671</v>
      </c>
      <c r="H72" s="199">
        <f t="shared" si="19"/>
        <v>0</v>
      </c>
      <c r="I72" s="199">
        <f t="shared" si="19"/>
        <v>218327.967</v>
      </c>
      <c r="J72" s="492"/>
      <c r="K72" s="216"/>
    </row>
    <row r="73" spans="1:11" x14ac:dyDescent="0.25">
      <c r="A73" s="741" t="s">
        <v>524</v>
      </c>
      <c r="B73" s="199">
        <f t="shared" ref="B73:I73" si="20">B35</f>
        <v>0</v>
      </c>
      <c r="C73" s="199">
        <f t="shared" si="20"/>
        <v>234623.6</v>
      </c>
      <c r="D73" s="199">
        <f t="shared" si="20"/>
        <v>277990.37</v>
      </c>
      <c r="E73" s="199">
        <f t="shared" si="20"/>
        <v>281148.08</v>
      </c>
      <c r="F73" s="199">
        <f t="shared" si="20"/>
        <v>0</v>
      </c>
      <c r="G73" s="199">
        <f t="shared" si="20"/>
        <v>288261</v>
      </c>
      <c r="H73" s="199">
        <f t="shared" si="20"/>
        <v>112530</v>
      </c>
      <c r="I73" s="199">
        <f t="shared" si="20"/>
        <v>242586.63</v>
      </c>
      <c r="J73" s="492"/>
      <c r="K73" s="216"/>
    </row>
    <row r="74" spans="1:11" x14ac:dyDescent="0.25">
      <c r="A74" s="741" t="s">
        <v>525</v>
      </c>
      <c r="B74" s="742">
        <f>+B72-B73</f>
        <v>0</v>
      </c>
      <c r="C74" s="742">
        <f t="shared" ref="C74:I74" si="21">+C72-C73</f>
        <v>-234623.6</v>
      </c>
      <c r="D74" s="742">
        <f t="shared" si="21"/>
        <v>-277990.37</v>
      </c>
      <c r="E74" s="742">
        <f t="shared" si="21"/>
        <v>-281148.08</v>
      </c>
      <c r="F74" s="742">
        <f t="shared" si="21"/>
        <v>0</v>
      </c>
      <c r="G74" s="742">
        <f t="shared" si="21"/>
        <v>-76590</v>
      </c>
      <c r="H74" s="742">
        <f t="shared" ref="H74" si="22">+H72-H73</f>
        <v>-112530</v>
      </c>
      <c r="I74" s="742">
        <f t="shared" si="21"/>
        <v>-24258.663</v>
      </c>
      <c r="J74" s="492"/>
      <c r="K74" s="216"/>
    </row>
    <row r="75" spans="1:11" x14ac:dyDescent="0.25">
      <c r="A75" s="741" t="s">
        <v>526</v>
      </c>
      <c r="B75" s="669" t="str">
        <f>IF(ISERROR((+B72/B73)),"",(+B72/B73))</f>
        <v/>
      </c>
      <c r="C75" s="669"/>
      <c r="D75" s="669">
        <f t="shared" ref="D75:I75" si="23">IF(ISERROR((+D72/D73)),"",(+D72/D73))</f>
        <v>0</v>
      </c>
      <c r="E75" s="669">
        <f t="shared" si="23"/>
        <v>0</v>
      </c>
      <c r="F75" s="669" t="str">
        <f t="shared" si="23"/>
        <v/>
      </c>
      <c r="G75" s="669">
        <f t="shared" si="23"/>
        <v>0.73430328764557118</v>
      </c>
      <c r="H75" s="669">
        <f t="shared" ref="H75" si="24">IF(ISERROR((+H72/H73)),"",(+H72/H73))</f>
        <v>0</v>
      </c>
      <c r="I75" s="669">
        <f t="shared" si="23"/>
        <v>0.9</v>
      </c>
      <c r="J75" s="492"/>
      <c r="K75" s="217"/>
    </row>
    <row r="76" spans="1:11" x14ac:dyDescent="0.25">
      <c r="B76" s="199"/>
      <c r="C76" s="199"/>
      <c r="D76" s="199"/>
      <c r="E76" s="199"/>
      <c r="F76" s="199"/>
      <c r="G76" s="199"/>
      <c r="H76" s="199"/>
      <c r="I76" s="199"/>
      <c r="J76" s="492"/>
    </row>
    <row r="77" spans="1:11" x14ac:dyDescent="0.25">
      <c r="A77" s="160" t="s">
        <v>527</v>
      </c>
      <c r="B77" s="652"/>
      <c r="C77" s="199"/>
      <c r="D77" s="199"/>
      <c r="E77" s="199"/>
      <c r="F77" s="199"/>
      <c r="G77" s="199"/>
      <c r="H77" s="199"/>
      <c r="I77" s="199"/>
      <c r="J77" s="492"/>
    </row>
    <row r="78" spans="1:11" x14ac:dyDescent="0.25">
      <c r="A78" s="741" t="s">
        <v>528</v>
      </c>
      <c r="B78" s="199">
        <f t="shared" ref="B78:I78" si="25">B16</f>
        <v>0</v>
      </c>
      <c r="C78" s="199">
        <f t="shared" si="25"/>
        <v>0</v>
      </c>
      <c r="D78" s="199">
        <f t="shared" si="25"/>
        <v>0</v>
      </c>
      <c r="E78" s="199">
        <f t="shared" si="25"/>
        <v>0</v>
      </c>
      <c r="F78" s="199">
        <f t="shared" si="25"/>
        <v>0</v>
      </c>
      <c r="G78" s="199">
        <f t="shared" si="25"/>
        <v>0</v>
      </c>
      <c r="H78" s="199">
        <f t="shared" si="25"/>
        <v>0</v>
      </c>
      <c r="I78" s="199">
        <f t="shared" si="25"/>
        <v>0</v>
      </c>
      <c r="J78" s="492"/>
      <c r="K78" s="216"/>
    </row>
    <row r="79" spans="1:11" x14ac:dyDescent="0.25">
      <c r="A79" s="741" t="s">
        <v>529</v>
      </c>
      <c r="B79" s="199">
        <f t="shared" ref="B79:I79" si="26">B36</f>
        <v>0</v>
      </c>
      <c r="C79" s="199">
        <f t="shared" si="26"/>
        <v>0</v>
      </c>
      <c r="D79" s="199">
        <f t="shared" si="26"/>
        <v>0</v>
      </c>
      <c r="E79" s="199">
        <f t="shared" si="26"/>
        <v>0</v>
      </c>
      <c r="F79" s="199">
        <f t="shared" si="26"/>
        <v>0</v>
      </c>
      <c r="G79" s="199">
        <f t="shared" si="26"/>
        <v>0</v>
      </c>
      <c r="H79" s="199">
        <f t="shared" si="26"/>
        <v>0</v>
      </c>
      <c r="I79" s="199">
        <f t="shared" si="26"/>
        <v>2700</v>
      </c>
      <c r="J79" s="492"/>
      <c r="K79" s="216"/>
    </row>
    <row r="80" spans="1:11" x14ac:dyDescent="0.25">
      <c r="A80" s="741" t="s">
        <v>527</v>
      </c>
      <c r="B80" s="742">
        <f>+B78-B79</f>
        <v>0</v>
      </c>
      <c r="C80" s="742">
        <f t="shared" ref="C80:I80" si="27">+C78-C79</f>
        <v>0</v>
      </c>
      <c r="D80" s="742">
        <f t="shared" si="27"/>
        <v>0</v>
      </c>
      <c r="E80" s="742">
        <f t="shared" si="27"/>
        <v>0</v>
      </c>
      <c r="F80" s="742">
        <f t="shared" si="27"/>
        <v>0</v>
      </c>
      <c r="G80" s="742">
        <f t="shared" si="27"/>
        <v>0</v>
      </c>
      <c r="H80" s="742">
        <f t="shared" ref="H80" si="28">+H78-H79</f>
        <v>0</v>
      </c>
      <c r="I80" s="742">
        <f t="shared" si="27"/>
        <v>-2700</v>
      </c>
      <c r="J80" s="492"/>
      <c r="K80" s="216"/>
    </row>
    <row r="81" spans="1:11" x14ac:dyDescent="0.25">
      <c r="A81" s="741" t="s">
        <v>530</v>
      </c>
      <c r="B81" s="669" t="str">
        <f>IF(ISERROR((+B78/B79)),"",(+B78/B79))</f>
        <v/>
      </c>
      <c r="C81" s="669" t="str">
        <f t="shared" ref="C81:I81" si="29">IF(ISERROR((+C78/C79)),"",(+C78/C79))</f>
        <v/>
      </c>
      <c r="D81" s="669" t="str">
        <f t="shared" si="29"/>
        <v/>
      </c>
      <c r="E81" s="669" t="str">
        <f t="shared" si="29"/>
        <v/>
      </c>
      <c r="F81" s="669" t="str">
        <f t="shared" si="29"/>
        <v/>
      </c>
      <c r="G81" s="669" t="str">
        <f t="shared" si="29"/>
        <v/>
      </c>
      <c r="H81" s="669" t="str">
        <f t="shared" ref="H81" si="30">IF(ISERROR((+H78/H79)),"",(+H78/H79))</f>
        <v/>
      </c>
      <c r="I81" s="669">
        <f t="shared" si="29"/>
        <v>0</v>
      </c>
      <c r="J81" s="492"/>
      <c r="K81" s="217"/>
    </row>
    <row r="82" spans="1:11" x14ac:dyDescent="0.25">
      <c r="B82" s="199"/>
      <c r="C82" s="199"/>
      <c r="D82" s="199"/>
      <c r="E82" s="199"/>
      <c r="F82" s="199"/>
      <c r="G82" s="199"/>
      <c r="H82" s="199"/>
      <c r="I82" s="199"/>
      <c r="J82" s="492"/>
    </row>
    <row r="83" spans="1:11" x14ac:dyDescent="0.25">
      <c r="A83" s="160" t="s">
        <v>531</v>
      </c>
      <c r="B83" s="652"/>
      <c r="C83" s="199"/>
      <c r="D83" s="199"/>
      <c r="E83" s="199"/>
      <c r="F83" s="199"/>
      <c r="G83" s="199"/>
      <c r="H83" s="199"/>
      <c r="I83" s="199"/>
      <c r="J83" s="492"/>
    </row>
    <row r="84" spans="1:11" x14ac:dyDescent="0.25">
      <c r="A84" s="741" t="s">
        <v>532</v>
      </c>
      <c r="B84" s="199">
        <f t="shared" ref="B84:I84" si="31">B17</f>
        <v>0</v>
      </c>
      <c r="C84" s="199">
        <f t="shared" si="31"/>
        <v>0</v>
      </c>
      <c r="D84" s="199">
        <f t="shared" si="31"/>
        <v>0</v>
      </c>
      <c r="E84" s="199">
        <f t="shared" si="31"/>
        <v>0</v>
      </c>
      <c r="F84" s="199">
        <f t="shared" si="31"/>
        <v>0</v>
      </c>
      <c r="G84" s="199">
        <f t="shared" si="31"/>
        <v>31282</v>
      </c>
      <c r="H84" s="199">
        <f t="shared" si="31"/>
        <v>0</v>
      </c>
      <c r="I84" s="199">
        <f t="shared" si="31"/>
        <v>35941.623400000004</v>
      </c>
      <c r="J84" s="492"/>
      <c r="K84" s="216"/>
    </row>
    <row r="85" spans="1:11" x14ac:dyDescent="0.25">
      <c r="A85" s="741" t="s">
        <v>533</v>
      </c>
      <c r="B85" s="199">
        <f t="shared" ref="B85:I85" si="32">B37</f>
        <v>0</v>
      </c>
      <c r="C85" s="199">
        <f t="shared" si="32"/>
        <v>71.66</v>
      </c>
      <c r="D85" s="199">
        <f t="shared" si="32"/>
        <v>0</v>
      </c>
      <c r="E85" s="199">
        <f t="shared" si="32"/>
        <v>0</v>
      </c>
      <c r="F85" s="199">
        <f t="shared" si="32"/>
        <v>0</v>
      </c>
      <c r="G85" s="199">
        <f t="shared" si="32"/>
        <v>0</v>
      </c>
      <c r="H85" s="199">
        <f t="shared" si="32"/>
        <v>0</v>
      </c>
      <c r="I85" s="199">
        <f t="shared" si="32"/>
        <v>37053.22</v>
      </c>
      <c r="J85" s="492"/>
      <c r="K85" s="216"/>
    </row>
    <row r="86" spans="1:11" x14ac:dyDescent="0.25">
      <c r="A86" s="741" t="s">
        <v>531</v>
      </c>
      <c r="B86" s="742">
        <f>+B84-B85</f>
        <v>0</v>
      </c>
      <c r="C86" s="742">
        <f t="shared" ref="C86:I86" si="33">+C84-C85</f>
        <v>-71.66</v>
      </c>
      <c r="D86" s="742">
        <f t="shared" si="33"/>
        <v>0</v>
      </c>
      <c r="E86" s="742">
        <f t="shared" si="33"/>
        <v>0</v>
      </c>
      <c r="F86" s="742">
        <f t="shared" si="33"/>
        <v>0</v>
      </c>
      <c r="G86" s="742">
        <f t="shared" si="33"/>
        <v>31282</v>
      </c>
      <c r="H86" s="742">
        <f t="shared" ref="H86" si="34">+H84-H85</f>
        <v>0</v>
      </c>
      <c r="I86" s="742">
        <f t="shared" si="33"/>
        <v>-1111.5965999999971</v>
      </c>
      <c r="J86" s="492"/>
      <c r="K86" s="216"/>
    </row>
    <row r="87" spans="1:11" x14ac:dyDescent="0.25">
      <c r="A87" s="741" t="s">
        <v>534</v>
      </c>
      <c r="B87" s="669" t="str">
        <f>IF(ISERROR((+B84/B85)),"",(+B84/B85))</f>
        <v/>
      </c>
      <c r="C87" s="669">
        <f t="shared" ref="C87:I87" si="35">IF(ISERROR((+C84/C85)),"",(+C84/C85))</f>
        <v>0</v>
      </c>
      <c r="D87" s="669" t="str">
        <f t="shared" si="35"/>
        <v/>
      </c>
      <c r="E87" s="669" t="str">
        <f t="shared" si="35"/>
        <v/>
      </c>
      <c r="F87" s="669" t="str">
        <f t="shared" si="35"/>
        <v/>
      </c>
      <c r="G87" s="669" t="str">
        <f t="shared" si="35"/>
        <v/>
      </c>
      <c r="H87" s="669" t="str">
        <f t="shared" ref="H87" si="36">IF(ISERROR((+H84/H85)),"",(+H84/H85))</f>
        <v/>
      </c>
      <c r="I87" s="669">
        <f t="shared" si="35"/>
        <v>0.97000000000000008</v>
      </c>
      <c r="J87" s="492"/>
      <c r="K87" s="217"/>
    </row>
    <row r="88" spans="1:11" x14ac:dyDescent="0.25">
      <c r="B88" s="199"/>
      <c r="C88" s="199"/>
      <c r="D88" s="199"/>
      <c r="E88" s="199"/>
      <c r="F88" s="199"/>
      <c r="G88" s="199"/>
      <c r="H88" s="199"/>
      <c r="I88" s="199"/>
      <c r="J88" s="492"/>
    </row>
    <row r="89" spans="1:11" x14ac:dyDescent="0.25">
      <c r="A89" s="160" t="s">
        <v>535</v>
      </c>
      <c r="B89" s="652"/>
      <c r="C89" s="199"/>
      <c r="D89" s="199"/>
      <c r="E89" s="199"/>
      <c r="F89" s="199"/>
      <c r="G89" s="199"/>
      <c r="H89" s="199"/>
      <c r="I89" s="199"/>
      <c r="J89" s="492"/>
    </row>
    <row r="90" spans="1:11" x14ac:dyDescent="0.25">
      <c r="A90" s="741" t="s">
        <v>536</v>
      </c>
      <c r="B90" s="199">
        <f t="shared" ref="B90:I90" si="37">B18</f>
        <v>0</v>
      </c>
      <c r="C90" s="199">
        <f t="shared" si="37"/>
        <v>0</v>
      </c>
      <c r="D90" s="199">
        <f t="shared" si="37"/>
        <v>0</v>
      </c>
      <c r="E90" s="199">
        <f t="shared" si="37"/>
        <v>0</v>
      </c>
      <c r="F90" s="199">
        <f t="shared" si="37"/>
        <v>0</v>
      </c>
      <c r="G90" s="199">
        <f t="shared" si="37"/>
        <v>89107</v>
      </c>
      <c r="H90" s="199">
        <f t="shared" si="37"/>
        <v>0</v>
      </c>
      <c r="I90" s="199">
        <f t="shared" si="37"/>
        <v>86580</v>
      </c>
      <c r="J90" s="492"/>
      <c r="K90" s="216"/>
    </row>
    <row r="91" spans="1:11" x14ac:dyDescent="0.25">
      <c r="A91" s="741" t="s">
        <v>537</v>
      </c>
      <c r="B91" s="199">
        <f t="shared" ref="B91:I91" si="38">B38</f>
        <v>0</v>
      </c>
      <c r="C91" s="199">
        <f t="shared" si="38"/>
        <v>0</v>
      </c>
      <c r="D91" s="199">
        <f t="shared" si="38"/>
        <v>0</v>
      </c>
      <c r="E91" s="199">
        <f t="shared" si="38"/>
        <v>0</v>
      </c>
      <c r="F91" s="199">
        <f t="shared" si="38"/>
        <v>0</v>
      </c>
      <c r="G91" s="199">
        <f t="shared" si="38"/>
        <v>0</v>
      </c>
      <c r="H91" s="199">
        <f t="shared" si="38"/>
        <v>0</v>
      </c>
      <c r="I91" s="199">
        <f t="shared" si="38"/>
        <v>35400</v>
      </c>
      <c r="J91" s="492"/>
      <c r="K91" s="216"/>
    </row>
    <row r="92" spans="1:11" x14ac:dyDescent="0.25">
      <c r="A92" s="741" t="s">
        <v>535</v>
      </c>
      <c r="B92" s="742">
        <f>+B90-B91</f>
        <v>0</v>
      </c>
      <c r="C92" s="742">
        <f t="shared" ref="C92" si="39">+C90-C91</f>
        <v>0</v>
      </c>
      <c r="D92" s="742">
        <f t="shared" ref="D92" si="40">+D90-D91</f>
        <v>0</v>
      </c>
      <c r="E92" s="742">
        <f t="shared" ref="E92" si="41">+E90-E91</f>
        <v>0</v>
      </c>
      <c r="F92" s="742">
        <f t="shared" ref="F92" si="42">+F90-F91</f>
        <v>0</v>
      </c>
      <c r="G92" s="742">
        <f t="shared" ref="G92:H92" si="43">+G90-G91</f>
        <v>89107</v>
      </c>
      <c r="H92" s="742">
        <f t="shared" si="43"/>
        <v>0</v>
      </c>
      <c r="I92" s="742">
        <f t="shared" ref="I92" si="44">+I90-I91</f>
        <v>51180</v>
      </c>
      <c r="J92" s="492"/>
      <c r="K92" s="216"/>
    </row>
    <row r="93" spans="1:11" x14ac:dyDescent="0.25">
      <c r="A93" s="741" t="s">
        <v>538</v>
      </c>
      <c r="B93" s="669" t="str">
        <f>IF(ISERROR((+B90/B91)),"",(+B90/B91))</f>
        <v/>
      </c>
      <c r="C93" s="669" t="str">
        <f t="shared" ref="C93:I93" si="45">IF(ISERROR((+C90/C91)),"",(+C90/C91))</f>
        <v/>
      </c>
      <c r="D93" s="669" t="str">
        <f t="shared" si="45"/>
        <v/>
      </c>
      <c r="E93" s="669" t="str">
        <f t="shared" si="45"/>
        <v/>
      </c>
      <c r="F93" s="669" t="str">
        <f t="shared" si="45"/>
        <v/>
      </c>
      <c r="G93" s="669" t="str">
        <f t="shared" si="45"/>
        <v/>
      </c>
      <c r="H93" s="669" t="str">
        <f t="shared" ref="H93" si="46">IF(ISERROR((+H90/H91)),"",(+H90/H91))</f>
        <v/>
      </c>
      <c r="I93" s="669">
        <f t="shared" si="45"/>
        <v>2.4457627118644067</v>
      </c>
      <c r="J93" s="492"/>
      <c r="K93" s="217"/>
    </row>
    <row r="94" spans="1:11" x14ac:dyDescent="0.25">
      <c r="B94" s="199"/>
      <c r="C94" s="199"/>
      <c r="D94" s="199"/>
      <c r="E94" s="199"/>
      <c r="F94" s="199"/>
      <c r="G94" s="199"/>
      <c r="H94" s="199"/>
      <c r="I94" s="199"/>
      <c r="J94" s="492"/>
    </row>
    <row r="95" spans="1:11" x14ac:dyDescent="0.25">
      <c r="A95" s="160" t="s">
        <v>539</v>
      </c>
      <c r="B95" s="652"/>
      <c r="C95" s="199"/>
      <c r="D95" s="199"/>
      <c r="E95" s="199"/>
      <c r="F95" s="199"/>
      <c r="G95" s="199"/>
      <c r="H95" s="199"/>
      <c r="I95" s="199"/>
      <c r="J95" s="492"/>
    </row>
    <row r="96" spans="1:11" x14ac:dyDescent="0.25">
      <c r="A96" s="741" t="s">
        <v>540</v>
      </c>
      <c r="B96" s="199">
        <f t="shared" ref="B96:I96" si="47">B19</f>
        <v>0</v>
      </c>
      <c r="C96" s="199">
        <f t="shared" si="47"/>
        <v>0</v>
      </c>
      <c r="D96" s="199">
        <f t="shared" si="47"/>
        <v>0</v>
      </c>
      <c r="E96" s="199">
        <f t="shared" si="47"/>
        <v>0</v>
      </c>
      <c r="F96" s="199">
        <f t="shared" si="47"/>
        <v>0</v>
      </c>
      <c r="G96" s="199">
        <f t="shared" si="47"/>
        <v>0</v>
      </c>
      <c r="H96" s="199">
        <f t="shared" si="47"/>
        <v>0</v>
      </c>
      <c r="I96" s="199">
        <f t="shared" si="47"/>
        <v>41423.799999999996</v>
      </c>
      <c r="J96" s="492"/>
      <c r="K96" s="216"/>
    </row>
    <row r="97" spans="1:11" x14ac:dyDescent="0.25">
      <c r="A97" s="741" t="s">
        <v>541</v>
      </c>
      <c r="B97" s="199">
        <f t="shared" ref="B97:I97" si="48">B39</f>
        <v>0</v>
      </c>
      <c r="C97" s="199">
        <f t="shared" si="48"/>
        <v>0</v>
      </c>
      <c r="D97" s="199">
        <f t="shared" si="48"/>
        <v>0</v>
      </c>
      <c r="E97" s="199">
        <f t="shared" si="48"/>
        <v>0</v>
      </c>
      <c r="F97" s="199">
        <f t="shared" si="48"/>
        <v>0</v>
      </c>
      <c r="G97" s="199">
        <f t="shared" si="48"/>
        <v>0</v>
      </c>
      <c r="H97" s="199">
        <f t="shared" si="48"/>
        <v>0</v>
      </c>
      <c r="I97" s="199">
        <f t="shared" si="48"/>
        <v>43604</v>
      </c>
      <c r="J97" s="492"/>
      <c r="K97" s="216"/>
    </row>
    <row r="98" spans="1:11" x14ac:dyDescent="0.25">
      <c r="A98" s="741" t="s">
        <v>539</v>
      </c>
      <c r="B98" s="742">
        <f>+B96-B97</f>
        <v>0</v>
      </c>
      <c r="C98" s="742">
        <f t="shared" ref="C98" si="49">+C96-C97</f>
        <v>0</v>
      </c>
      <c r="D98" s="742">
        <f t="shared" ref="D98" si="50">+D96-D97</f>
        <v>0</v>
      </c>
      <c r="E98" s="742">
        <f t="shared" ref="E98" si="51">+E96-E97</f>
        <v>0</v>
      </c>
      <c r="F98" s="742">
        <f t="shared" ref="F98" si="52">+F96-F97</f>
        <v>0</v>
      </c>
      <c r="G98" s="742">
        <f t="shared" ref="G98:H98" si="53">+G96-G97</f>
        <v>0</v>
      </c>
      <c r="H98" s="742">
        <f t="shared" si="53"/>
        <v>0</v>
      </c>
      <c r="I98" s="742">
        <f t="shared" ref="I98" si="54">+I96-I97</f>
        <v>-2180.2000000000044</v>
      </c>
      <c r="J98" s="492"/>
      <c r="K98" s="216"/>
    </row>
    <row r="99" spans="1:11" x14ac:dyDescent="0.25">
      <c r="A99" s="741" t="s">
        <v>542</v>
      </c>
      <c r="B99" s="669" t="str">
        <f>IF(ISERROR((+B96/B97)),"",(+B96/B97))</f>
        <v/>
      </c>
      <c r="C99" s="669" t="str">
        <f t="shared" ref="C99:I99" si="55">IF(ISERROR((+C96/C97)),"",(+C96/C97))</f>
        <v/>
      </c>
      <c r="D99" s="669" t="str">
        <f t="shared" si="55"/>
        <v/>
      </c>
      <c r="E99" s="669" t="str">
        <f t="shared" si="55"/>
        <v/>
      </c>
      <c r="F99" s="669" t="str">
        <f t="shared" si="55"/>
        <v/>
      </c>
      <c r="G99" s="669" t="str">
        <f t="shared" si="55"/>
        <v/>
      </c>
      <c r="H99" s="669" t="str">
        <f t="shared" ref="H99" si="56">IF(ISERROR((+H96/H97)),"",(+H96/H97))</f>
        <v/>
      </c>
      <c r="I99" s="669">
        <f t="shared" si="55"/>
        <v>0.94999999999999984</v>
      </c>
      <c r="J99" s="492"/>
      <c r="K99" s="217"/>
    </row>
    <row r="100" spans="1:11" x14ac:dyDescent="0.25">
      <c r="B100" s="199"/>
      <c r="C100" s="199"/>
      <c r="D100" s="199"/>
      <c r="E100" s="199"/>
      <c r="F100" s="199"/>
      <c r="G100" s="199"/>
      <c r="H100" s="199"/>
      <c r="I100" s="199"/>
      <c r="J100" s="492"/>
    </row>
    <row r="101" spans="1:11" x14ac:dyDescent="0.25">
      <c r="A101" s="160" t="s">
        <v>543</v>
      </c>
      <c r="B101" s="652"/>
      <c r="C101" s="199"/>
      <c r="D101" s="199"/>
      <c r="E101" s="199"/>
      <c r="F101" s="199"/>
      <c r="G101" s="199"/>
      <c r="H101" s="199"/>
      <c r="I101" s="199"/>
      <c r="J101" s="492"/>
    </row>
    <row r="102" spans="1:11" x14ac:dyDescent="0.25">
      <c r="A102" s="741" t="s">
        <v>544</v>
      </c>
      <c r="B102" s="199">
        <f t="shared" ref="B102:I102" si="57">SUM(B18:B19)</f>
        <v>0</v>
      </c>
      <c r="C102" s="199">
        <f t="shared" si="57"/>
        <v>0</v>
      </c>
      <c r="D102" s="199">
        <f t="shared" si="57"/>
        <v>0</v>
      </c>
      <c r="E102" s="199">
        <f t="shared" si="57"/>
        <v>0</v>
      </c>
      <c r="F102" s="199">
        <f t="shared" si="57"/>
        <v>0</v>
      </c>
      <c r="G102" s="199">
        <f t="shared" si="57"/>
        <v>89107</v>
      </c>
      <c r="H102" s="199">
        <f t="shared" si="57"/>
        <v>0</v>
      </c>
      <c r="I102" s="199">
        <f t="shared" si="57"/>
        <v>128003.79999999999</v>
      </c>
      <c r="J102" s="492"/>
      <c r="K102" s="216"/>
    </row>
    <row r="103" spans="1:11" x14ac:dyDescent="0.25">
      <c r="A103" s="741" t="s">
        <v>545</v>
      </c>
      <c r="B103" s="199">
        <f t="shared" ref="B103:I103" si="58">SUM(B38:B39)</f>
        <v>0</v>
      </c>
      <c r="C103" s="199">
        <f t="shared" si="58"/>
        <v>0</v>
      </c>
      <c r="D103" s="199">
        <f t="shared" si="58"/>
        <v>0</v>
      </c>
      <c r="E103" s="199">
        <f t="shared" si="58"/>
        <v>0</v>
      </c>
      <c r="F103" s="199">
        <f t="shared" si="58"/>
        <v>0</v>
      </c>
      <c r="G103" s="199">
        <f t="shared" si="58"/>
        <v>0</v>
      </c>
      <c r="H103" s="199">
        <f t="shared" si="58"/>
        <v>0</v>
      </c>
      <c r="I103" s="199">
        <f t="shared" si="58"/>
        <v>79004</v>
      </c>
      <c r="J103" s="492"/>
      <c r="K103" s="216"/>
    </row>
    <row r="104" spans="1:11" x14ac:dyDescent="0.25">
      <c r="A104" s="741" t="s">
        <v>543</v>
      </c>
      <c r="B104" s="742">
        <f>+B102-B103</f>
        <v>0</v>
      </c>
      <c r="C104" s="742">
        <f t="shared" ref="C104" si="59">+C102-C103</f>
        <v>0</v>
      </c>
      <c r="D104" s="742">
        <f t="shared" ref="D104" si="60">+D102-D103</f>
        <v>0</v>
      </c>
      <c r="E104" s="742">
        <f t="shared" ref="E104" si="61">+E102-E103</f>
        <v>0</v>
      </c>
      <c r="F104" s="742">
        <f t="shared" ref="F104" si="62">+F102-F103</f>
        <v>0</v>
      </c>
      <c r="G104" s="742">
        <f t="shared" ref="G104:H104" si="63">+G102-G103</f>
        <v>89107</v>
      </c>
      <c r="H104" s="742">
        <f t="shared" si="63"/>
        <v>0</v>
      </c>
      <c r="I104" s="742">
        <f t="shared" ref="I104" si="64">+I102-I103</f>
        <v>48999.799999999988</v>
      </c>
      <c r="J104" s="492"/>
      <c r="K104" s="216"/>
    </row>
    <row r="105" spans="1:11" x14ac:dyDescent="0.25">
      <c r="A105" s="741" t="s">
        <v>546</v>
      </c>
      <c r="B105" s="669" t="str">
        <f>IF(ISERROR((+B102/B103)),"",(+B102/B103))</f>
        <v/>
      </c>
      <c r="C105" s="669"/>
      <c r="D105" s="669" t="str">
        <f t="shared" ref="D105:I105" si="65">IF(ISERROR((+D102/D103)),"",(+D102/D103))</f>
        <v/>
      </c>
      <c r="E105" s="669" t="str">
        <f t="shared" si="65"/>
        <v/>
      </c>
      <c r="F105" s="669" t="str">
        <f t="shared" si="65"/>
        <v/>
      </c>
      <c r="G105" s="669" t="str">
        <f t="shared" si="65"/>
        <v/>
      </c>
      <c r="H105" s="669"/>
      <c r="I105" s="669">
        <f t="shared" si="65"/>
        <v>1.620219229406106</v>
      </c>
      <c r="J105" s="217"/>
      <c r="K105" s="217"/>
    </row>
    <row r="110" spans="1:11" x14ac:dyDescent="0.25">
      <c r="A110" s="174" t="s">
        <v>547</v>
      </c>
      <c r="B110" s="174">
        <f>+B60</f>
        <v>2022</v>
      </c>
      <c r="C110" s="174">
        <f t="shared" ref="C110:E110" si="66">+C60</f>
        <v>2023</v>
      </c>
      <c r="D110" s="174">
        <f t="shared" si="66"/>
        <v>2024</v>
      </c>
      <c r="E110" s="174" t="str">
        <f t="shared" si="66"/>
        <v>Trailing 12</v>
      </c>
      <c r="F110" s="174" t="str">
        <f>LEFT(F31,4)&amp;" Ann."</f>
        <v>2025 Ann.</v>
      </c>
      <c r="G110" s="174" t="s">
        <v>416</v>
      </c>
      <c r="H110" s="174" t="s">
        <v>411</v>
      </c>
      <c r="I110" s="174" t="s">
        <v>493</v>
      </c>
      <c r="J110" s="174"/>
      <c r="K110" s="174"/>
    </row>
  </sheetData>
  <sheetProtection algorithmName="SHA-512" hashValue="EgRr3flyvnFiPPPGIV2wpe1i9XG8+ydx+xaQeyoDGLccUhq9D534G4u61g308ldaDDLyBQX/GghYgERB1K7obQ==" saltValue="DNCuhmkrpEv8+aJd0m9aiA==" spinCount="100000" sheet="1" objects="1" scenarios="1"/>
  <mergeCells count="9">
    <mergeCell ref="F59:F60"/>
    <mergeCell ref="G59:G60"/>
    <mergeCell ref="A64:I64"/>
    <mergeCell ref="A1:G1"/>
    <mergeCell ref="A3:G3"/>
    <mergeCell ref="F4:F5"/>
    <mergeCell ref="G4:G5"/>
    <mergeCell ref="A29:G29"/>
    <mergeCell ref="H4: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765e0a5-7ba2-402d-9946-2e0ed7c63ed3">URSRN5MXTWVJ-1845219586-596943</_dlc_DocId>
    <_dlc_DocIdUrl xmlns="0765e0a5-7ba2-402d-9946-2e0ed7c63ed3">
      <Url>https://netorg4686179.sharepoint.com/_layouts/15/DocIdRedir.aspx?ID=URSRN5MXTWVJ-1845219586-596943</Url>
      <Description>URSRN5MXTWVJ-1845219586-596943</Description>
    </_dlc_DocIdUrl>
    <TaxCatchAll xmlns="0765e0a5-7ba2-402d-9946-2e0ed7c63ed3" xsi:nil="true"/>
    <lcf76f155ced4ddcb4097134ff3c332f xmlns="6e23940f-583b-478a-a4f1-8d38fb5b28cc">
      <Terms xmlns="http://schemas.microsoft.com/office/infopath/2007/PartnerControls"/>
    </lcf76f155ced4ddcb4097134ff3c332f>
    <LotNumber xmlns="6e23940f-583b-478a-a4f1-8d38fb5b28cc"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1317AC504AE0142992D80EE5044DF72" ma:contentTypeVersion="20" ma:contentTypeDescription="Create a new document." ma:contentTypeScope="" ma:versionID="4db5e129ab31c285a89695e92eebe5c5">
  <xsd:schema xmlns:xsd="http://www.w3.org/2001/XMLSchema" xmlns:xs="http://www.w3.org/2001/XMLSchema" xmlns:p="http://schemas.microsoft.com/office/2006/metadata/properties" xmlns:ns2="0765e0a5-7ba2-402d-9946-2e0ed7c63ed3" xmlns:ns3="6e23940f-583b-478a-a4f1-8d38fb5b28cc" targetNamespace="http://schemas.microsoft.com/office/2006/metadata/properties" ma:root="true" ma:fieldsID="8ab809647096a3a550d3b962d30810b0" ns2:_="" ns3:_="">
    <xsd:import namespace="0765e0a5-7ba2-402d-9946-2e0ed7c63ed3"/>
    <xsd:import namespace="6e23940f-583b-478a-a4f1-8d38fb5b28c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2:SharedWithUsers" minOccurs="0"/>
                <xsd:element ref="ns2:SharedWithDetails" minOccurs="0"/>
                <xsd:element ref="ns3:MediaLengthInSeconds" minOccurs="0"/>
                <xsd:element ref="ns3:lcf76f155ced4ddcb4097134ff3c332f" minOccurs="0"/>
                <xsd:element ref="ns2:TaxCatchAll" minOccurs="0"/>
                <xsd:element ref="ns3:LotNumbe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5e0a5-7ba2-402d-9946-2e0ed7c63e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0bbe2277-244b-4676-a645-2c737af1fdef}" ma:internalName="TaxCatchAll" ma:showField="CatchAllData" ma:web="0765e0a5-7ba2-402d-9946-2e0ed7c63ed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23940f-583b-478a-a4f1-8d38fb5b28c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3fb32de-e536-4b53-ad92-a645299bf04f" ma:termSetId="09814cd3-568e-fe90-9814-8d621ff8fb84" ma:anchorId="fba54fb3-c3e1-fe81-a776-ca4b69148c4d" ma:open="true" ma:isKeyword="false">
      <xsd:complexType>
        <xsd:sequence>
          <xsd:element ref="pc:Terms" minOccurs="0" maxOccurs="1"/>
        </xsd:sequence>
      </xsd:complexType>
    </xsd:element>
    <xsd:element name="LotNumber" ma:index="27" nillable="true" ma:displayName="Number Order" ma:format="Dropdown" ma:internalName="LotNumber" ma:percentage="FALSE">
      <xsd:simpleType>
        <xsd:restriction base="dms:Number">
          <xsd:maxInclusive value="999"/>
          <xsd:minInclusive value="0"/>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A34812-8725-4855-807D-D659D4C9EB7D}">
  <ds:schemaRefs>
    <ds:schemaRef ds:uri="http://purl.org/dc/dcmitype/"/>
    <ds:schemaRef ds:uri="http://purl.org/dc/terms/"/>
    <ds:schemaRef ds:uri="6e23940f-583b-478a-a4f1-8d38fb5b28cc"/>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0765e0a5-7ba2-402d-9946-2e0ed7c63ed3"/>
  </ds:schemaRefs>
</ds:datastoreItem>
</file>

<file path=customXml/itemProps2.xml><?xml version="1.0" encoding="utf-8"?>
<ds:datastoreItem xmlns:ds="http://schemas.openxmlformats.org/officeDocument/2006/customXml" ds:itemID="{A8472779-7EEF-4CD4-9B21-6D99EAECB1B0}">
  <ds:schemaRefs>
    <ds:schemaRef ds:uri="http://schemas.microsoft.com/sharepoint/events"/>
  </ds:schemaRefs>
</ds:datastoreItem>
</file>

<file path=customXml/itemProps3.xml><?xml version="1.0" encoding="utf-8"?>
<ds:datastoreItem xmlns:ds="http://schemas.openxmlformats.org/officeDocument/2006/customXml" ds:itemID="{1FEE7931-965C-4716-AA0A-D6F74EF988F2}">
  <ds:schemaRefs>
    <ds:schemaRef ds:uri="http://schemas.microsoft.com/sharepoint/v3/contenttype/forms"/>
  </ds:schemaRefs>
</ds:datastoreItem>
</file>

<file path=customXml/itemProps4.xml><?xml version="1.0" encoding="utf-8"?>
<ds:datastoreItem xmlns:ds="http://schemas.openxmlformats.org/officeDocument/2006/customXml" ds:itemID="{E9CB84BD-B857-42B2-8E49-3F1D87332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5e0a5-7ba2-402d-9946-2e0ed7c63ed3"/>
    <ds:schemaRef ds:uri="6e23940f-583b-478a-a4f1-8d38fb5b2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37</vt:i4>
      </vt:variant>
    </vt:vector>
  </HeadingPairs>
  <TitlesOfParts>
    <vt:vector size="42" baseType="lpstr">
      <vt:lpstr>Executive Summary</vt:lpstr>
      <vt:lpstr>Financial Summary</vt:lpstr>
      <vt:lpstr>Park Images</vt:lpstr>
      <vt:lpstr>Proforma</vt:lpstr>
      <vt:lpstr>Notes</vt:lpstr>
      <vt:lpstr>AcquisitionFee</vt:lpstr>
      <vt:lpstr>AssetMgmtFee</vt:lpstr>
      <vt:lpstr>BVG_Internal</vt:lpstr>
      <vt:lpstr>BVGPromote</vt:lpstr>
      <vt:lpstr>ChartOfAccounts</vt:lpstr>
      <vt:lpstr>CommAssets</vt:lpstr>
      <vt:lpstr>Cost_of_Sale</vt:lpstr>
      <vt:lpstr>WaterFall!CU?</vt:lpstr>
      <vt:lpstr>Current_Year</vt:lpstr>
      <vt:lpstr>DispositionFee</vt:lpstr>
      <vt:lpstr>WaterFall!Equity_Share_LP</vt:lpstr>
      <vt:lpstr>WaterFall!Equity_Share_Sponsor</vt:lpstr>
      <vt:lpstr>FirstRefiYear</vt:lpstr>
      <vt:lpstr>GlobalInflation</vt:lpstr>
      <vt:lpstr>GoingInCapToHide</vt:lpstr>
      <vt:lpstr>Income_Account_Codes</vt:lpstr>
      <vt:lpstr>InitialLoan</vt:lpstr>
      <vt:lpstr>InvestorPref</vt:lpstr>
      <vt:lpstr>InvestorPromote</vt:lpstr>
      <vt:lpstr>MgmtFee</vt:lpstr>
      <vt:lpstr>MgmtFeeLimit</vt:lpstr>
      <vt:lpstr>MoveCount</vt:lpstr>
      <vt:lpstr>NewTaxes</vt:lpstr>
      <vt:lpstr>NoHighlightRange</vt:lpstr>
      <vt:lpstr>NoOfSpaces</vt:lpstr>
      <vt:lpstr>OccPadsNum</vt:lpstr>
      <vt:lpstr>OtherFTE</vt:lpstr>
      <vt:lpstr>Park_Name</vt:lpstr>
      <vt:lpstr>WaterFall!Preferred_Return</vt:lpstr>
      <vt:lpstr>Proforma!Print_Titles</vt:lpstr>
      <vt:lpstr>WaterFall!Promote_Structure</vt:lpstr>
      <vt:lpstr>Purchase_Price</vt:lpstr>
      <vt:lpstr>RefiCap</vt:lpstr>
      <vt:lpstr>RefinanceFee</vt:lpstr>
      <vt:lpstr>ResAssets</vt:lpstr>
      <vt:lpstr>SewerInflation</vt:lpstr>
      <vt:lpstr>WaterFall!Total_Equity</vt:lpstr>
    </vt:vector>
  </TitlesOfParts>
  <Manager/>
  <Company>Woodcrest Homes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 BoaVida Group</dc:creator>
  <cp:keywords/>
  <dc:description/>
  <cp:lastModifiedBy>Alan Stevenson</cp:lastModifiedBy>
  <cp:revision/>
  <cp:lastPrinted>2025-09-10T22:19:19Z</cp:lastPrinted>
  <dcterms:created xsi:type="dcterms:W3CDTF">2002-10-16T22:59:56Z</dcterms:created>
  <dcterms:modified xsi:type="dcterms:W3CDTF">2025-10-16T05:17:50Z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0x010100A1317AC504AE0142992D80EE5044DF72</vt:lpwstr>
  </property>
  <property fmtid="{D5CDD505-2E9C-101B-9397-08002B2CF9AE}" pid="3" name="_dlc_DocIdItemGuid">
    <vt:lpwstr>64adcd2c-cee0-4bab-88c6-124cf2687f73</vt:lpwstr>
  </property>
  <property fmtid="{D5CDD505-2E9C-101B-9397-08002B2CF9AE}" pid="4" name="MediaServiceImageTags">
    <vt:lpwstr/>
  </property>
</Properties>
</file>