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chartsheets/sheet1.xml" ContentType="application/vnd.openxmlformats-officedocument.spreadsheetml.chart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5.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824"/>
  <workbookPr showInkAnnotation="0" updateLinks="never" codeName="ThisWorkbook"/>
  <mc:AlternateContent xmlns:mc="http://schemas.openxmlformats.org/markup-compatibility/2006">
    <mc:Choice Requires="x15">
      <x15ac:absPath xmlns:x15ac="http://schemas.microsoft.com/office/spreadsheetml/2010/11/ac" url="/Users/rachelzirin/Downloads/"/>
    </mc:Choice>
  </mc:AlternateContent>
  <xr:revisionPtr revIDLastSave="0" documentId="13_ncr:1_{571763FD-CD2B-6349-A001-7EC9A7E09001}" xr6:coauthVersionLast="47" xr6:coauthVersionMax="47" xr10:uidLastSave="{00000000-0000-0000-0000-000000000000}"/>
  <bookViews>
    <workbookView xWindow="5040" yWindow="4060" windowWidth="29040" windowHeight="15720" xr2:uid="{047DD966-0158-484F-9EE6-B569EC8A0788}"/>
  </bookViews>
  <sheets>
    <sheet name="Executive Summary" sheetId="8" r:id="rId1"/>
    <sheet name="Financial Summary" sheetId="7" r:id="rId2"/>
    <sheet name="Park Images" sheetId="5" r:id="rId3"/>
    <sheet name="Proforma" sheetId="1" r:id="rId4"/>
    <sheet name="Notes" sheetId="2" r:id="rId5"/>
    <sheet name="Comps-Market-Park" sheetId="4" state="hidden" r:id="rId6"/>
    <sheet name="IE Data Entry" sheetId="11" state="hidden" r:id="rId7"/>
    <sheet name="IE SUMMARY" sheetId="12" state="hidden" r:id="rId8"/>
    <sheet name="Chart1" sheetId="13" state="hidden" r:id="rId9"/>
    <sheet name="Expense Compare Chart" sheetId="14" state="hidden" r:id="rId10"/>
    <sheet name="BVG Chart Of Accounts" sheetId="15" state="hidden" r:id="rId11"/>
    <sheet name="WaterFall" sheetId="19" state="hidden" r:id="rId12"/>
  </sheets>
  <definedNames>
    <definedName name="_Fill" localSheetId="11" hidden="1">#REF!</definedName>
    <definedName name="_Fill" hidden="1">#REF!</definedName>
    <definedName name="_Order1" hidden="1">0</definedName>
    <definedName name="_Table2_Out" localSheetId="11" hidden="1">#REF!</definedName>
    <definedName name="_Table2_Out" hidden="1">#REF!</definedName>
    <definedName name="AcquisitionFee">Proforma!$N$6</definedName>
    <definedName name="AssetMgmtFee">Proforma!$N$7</definedName>
    <definedName name="BVG_Internal">Proforma!$153:$391</definedName>
    <definedName name="BVGPromote">Proforma!$K$21</definedName>
    <definedName name="ChartOfAccounts">'BVG Chart Of Accounts'!$A$18:$B$41</definedName>
    <definedName name="CommAssets">Notes!$D$73</definedName>
    <definedName name="Cost_of_Sale">Proforma!$I$157</definedName>
    <definedName name="CU?" localSheetId="11">WaterFall!$A$5</definedName>
    <definedName name="Current_Year">'IE Data Entry'!$B$3</definedName>
    <definedName name="DispositionFee">Proforma!$N$9</definedName>
    <definedName name="Equity_Share_LP" localSheetId="11">WaterFall!$C$9</definedName>
    <definedName name="Equity_Share_Sponsor" localSheetId="11">WaterFall!$C$8</definedName>
    <definedName name="FirstRefiYear">Proforma!$D$97</definedName>
    <definedName name="GlobalInflation">Proforma!$J$4</definedName>
    <definedName name="GoingInCapToHide">Proforma!$C$7:$D$7</definedName>
    <definedName name="Hilton" localSheetId="11" hidden="1">{#N/A,#N/A,FALSE,"ExecSum";#N/A,#N/A,FALSE,"Summary";#N/A,#N/A,FALSE,"Budget";#N/A,#N/A,FALSE,"CashFlow"}</definedName>
    <definedName name="Hilton" hidden="1">{#N/A,#N/A,FALSE,"ExecSum";#N/A,#N/A,FALSE,"Summary";#N/A,#N/A,FALSE,"Budget";#N/A,#N/A,FALSE,"CashFlow"}</definedName>
    <definedName name="Income_Account_Codes">'BVG Chart Of Accounts'!$A$2:$B$13</definedName>
    <definedName name="InitialLoan">Proforma!$F$92</definedName>
    <definedName name="IntroPrintArea" localSheetId="11" hidden="1">#REF!</definedName>
    <definedName name="IntroPrintArea" hidden="1">#REF!</definedName>
    <definedName name="InvestorPref">Proforma!$K$22</definedName>
    <definedName name="InvestorPromote">Proforma!$K$20</definedName>
    <definedName name="IQ_ADDIN" hidden="1">"AUTO"</definedName>
    <definedName name="IQ_CH" hidden="1">110000</definedName>
    <definedName name="IQ_CQ" hidden="1">5000</definedName>
    <definedName name="IQ_CY" hidden="1">10000</definedName>
    <definedName name="IQ_DAILY" hidden="1">500000</definedName>
    <definedName name="IQ_DNTM" hidden="1">700000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42145.5554861111</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Maintenance___Capital_Reserve">#REF!</definedName>
    <definedName name="MgmtFee">Proforma!$J$5</definedName>
    <definedName name="MgmtFeeLimit">Proforma!$J$6</definedName>
    <definedName name="MoveCount">'IE Data Entry'!$P$2</definedName>
    <definedName name="NewTaxes">Notes!$D$54</definedName>
    <definedName name="NoHighlightRange">Proforma!$E$29:$AJ$85</definedName>
    <definedName name="NoOfSpaces">Proforma!$D$15</definedName>
    <definedName name="OccPadsNum">Proforma!$E$15</definedName>
    <definedName name="OtherFTE">Notes!$K$51</definedName>
    <definedName name="Park_Name">Proforma!$U$1</definedName>
    <definedName name="Preferred_Return" localSheetId="11">WaterFall!$E$14</definedName>
    <definedName name="_xlnm.Print_Titles" localSheetId="3">Proforma!$33:$34</definedName>
    <definedName name="Promote_Structure" localSheetId="11">WaterFall!$B$13:$I$17</definedName>
    <definedName name="Purchase_Price">Proforma!$D$4</definedName>
    <definedName name="RefiCap">Proforma!$E$102</definedName>
    <definedName name="RefinanceFee">Proforma!$N$8</definedName>
    <definedName name="ResAssets">Notes!$D$79</definedName>
    <definedName name="SewerInflation">Proforma!$E$47</definedName>
    <definedName name="Total_Equity" localSheetId="11">WaterFall!$D$10</definedName>
    <definedName name="wrn.bankrep." localSheetId="11" hidden="1">{#N/A,#N/A,FALSE,"ExecSum";#N/A,#N/A,FALSE,"Summary";#N/A,#N/A,FALSE,"Budget";#N/A,#N/A,FALSE,"CashFlow"}</definedName>
    <definedName name="wrn.bankrep." hidden="1">{#N/A,#N/A,FALSE,"ExecSum";#N/A,#N/A,FALSE,"Summary";#N/A,#N/A,FALSE,"Budget";#N/A,#N/A,FALSE,"CashFlow"}</definedName>
  </definedNames>
  <calcPr calcId="191028" calcMode="autoNoTable"/>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27" i="2" l="1"/>
  <c r="G29" i="1"/>
  <c r="H29" i="1" s="1"/>
  <c r="M13" i="1"/>
  <c r="G28" i="1" l="1"/>
  <c r="I29" i="1" l="1"/>
  <c r="G336" i="1" l="1"/>
  <c r="H336" i="1"/>
  <c r="I336" i="1"/>
  <c r="J336" i="1"/>
  <c r="K336" i="1"/>
  <c r="L336" i="1"/>
  <c r="G283" i="1"/>
  <c r="H283" i="1"/>
  <c r="I283" i="1"/>
  <c r="J283" i="1"/>
  <c r="G230" i="1"/>
  <c r="H230" i="1"/>
  <c r="C8" i="2" l="1"/>
  <c r="G337" i="1" l="1"/>
  <c r="H337" i="1"/>
  <c r="I337" i="1"/>
  <c r="J337" i="1"/>
  <c r="K337" i="1"/>
  <c r="L337" i="1"/>
  <c r="M337" i="1"/>
  <c r="N337" i="1"/>
  <c r="O337" i="1"/>
  <c r="G338" i="1"/>
  <c r="H338" i="1"/>
  <c r="I338" i="1"/>
  <c r="J338" i="1"/>
  <c r="K338" i="1"/>
  <c r="L338" i="1"/>
  <c r="M338" i="1"/>
  <c r="N338" i="1"/>
  <c r="O338" i="1"/>
  <c r="G341" i="1"/>
  <c r="H341" i="1"/>
  <c r="I341" i="1"/>
  <c r="J341" i="1"/>
  <c r="K341" i="1"/>
  <c r="L341" i="1"/>
  <c r="M341" i="1"/>
  <c r="N341" i="1"/>
  <c r="O341" i="1"/>
  <c r="F338" i="1"/>
  <c r="F341" i="1"/>
  <c r="C338" i="1"/>
  <c r="C339" i="1"/>
  <c r="G284" i="1"/>
  <c r="H284" i="1"/>
  <c r="I284" i="1"/>
  <c r="J284" i="1"/>
  <c r="G285" i="1"/>
  <c r="H285" i="1"/>
  <c r="I285" i="1"/>
  <c r="J285" i="1"/>
  <c r="G288" i="1"/>
  <c r="H288" i="1"/>
  <c r="I288" i="1"/>
  <c r="J288" i="1"/>
  <c r="F285" i="1"/>
  <c r="F288" i="1"/>
  <c r="C287" i="1"/>
  <c r="C340" i="1" s="1"/>
  <c r="G231" i="1"/>
  <c r="H231" i="1"/>
  <c r="G232" i="1"/>
  <c r="H232" i="1"/>
  <c r="G235" i="1"/>
  <c r="H235" i="1"/>
  <c r="F235" i="1"/>
  <c r="F232" i="1"/>
  <c r="C235" i="1"/>
  <c r="C288" i="1" s="1"/>
  <c r="C341" i="1" s="1"/>
  <c r="C234" i="1"/>
  <c r="C233" i="1"/>
  <c r="C286" i="1" s="1"/>
  <c r="C232" i="1"/>
  <c r="C285" i="1" s="1"/>
  <c r="Q2" i="11"/>
  <c r="F64" i="1"/>
  <c r="Q3" i="11"/>
  <c r="S2" i="4"/>
  <c r="P11" i="4" s="1"/>
  <c r="P3" i="4"/>
  <c r="Q4" i="4" s="1"/>
  <c r="N4" i="4"/>
  <c r="M11" i="4"/>
  <c r="N11" i="4" s="1"/>
  <c r="M7" i="4"/>
  <c r="U19" i="1"/>
  <c r="S20" i="1"/>
  <c r="P7" i="4" l="1"/>
  <c r="R11" i="4"/>
  <c r="S11" i="4" s="1"/>
  <c r="T22" i="1"/>
  <c r="P22" i="1" s="1"/>
  <c r="P19" i="1" l="1"/>
  <c r="P23" i="1" s="1"/>
  <c r="O22" i="1"/>
  <c r="O21" i="1"/>
  <c r="O20" i="1"/>
  <c r="B45" i="12"/>
  <c r="C45" i="12"/>
  <c r="D45" i="12"/>
  <c r="E45" i="12"/>
  <c r="G45" i="12"/>
  <c r="B46" i="12"/>
  <c r="C46" i="12"/>
  <c r="D46" i="12"/>
  <c r="E46" i="12"/>
  <c r="G46" i="12"/>
  <c r="B47" i="12"/>
  <c r="C47" i="12"/>
  <c r="D47" i="12"/>
  <c r="E47" i="12"/>
  <c r="G47" i="12"/>
  <c r="H47" i="12"/>
  <c r="B48" i="12"/>
  <c r="C48" i="12"/>
  <c r="D48" i="12"/>
  <c r="E48" i="12"/>
  <c r="G48" i="12"/>
  <c r="H48" i="12"/>
  <c r="B49" i="12"/>
  <c r="C49" i="12"/>
  <c r="D49" i="12"/>
  <c r="E49" i="12"/>
  <c r="G49" i="12"/>
  <c r="H49" i="12"/>
  <c r="B50" i="12"/>
  <c r="C50" i="12"/>
  <c r="D50" i="12"/>
  <c r="E50" i="12"/>
  <c r="G50" i="12"/>
  <c r="H50" i="12"/>
  <c r="B51" i="12"/>
  <c r="C51" i="12"/>
  <c r="D51" i="12"/>
  <c r="E51" i="12"/>
  <c r="G51" i="12"/>
  <c r="H51" i="12"/>
  <c r="B52" i="12"/>
  <c r="C52" i="12"/>
  <c r="D52" i="12"/>
  <c r="E52" i="12"/>
  <c r="G52" i="12"/>
  <c r="H52" i="12"/>
  <c r="B53" i="12"/>
  <c r="C53" i="12"/>
  <c r="D53" i="12"/>
  <c r="E53" i="12"/>
  <c r="G53" i="12"/>
  <c r="H53" i="12"/>
  <c r="B54" i="12"/>
  <c r="C54" i="12"/>
  <c r="D54" i="12"/>
  <c r="E54" i="12"/>
  <c r="G54" i="12"/>
  <c r="B55" i="12"/>
  <c r="C55" i="12"/>
  <c r="D55" i="12"/>
  <c r="E55" i="12"/>
  <c r="G55" i="12"/>
  <c r="H35" i="12"/>
  <c r="H36" i="12"/>
  <c r="H79" i="12" s="1"/>
  <c r="H37" i="12"/>
  <c r="H85" i="12" s="1"/>
  <c r="H38" i="12"/>
  <c r="H39" i="12"/>
  <c r="H97" i="12" s="1"/>
  <c r="H40" i="12"/>
  <c r="H41" i="12"/>
  <c r="H15" i="12"/>
  <c r="H16" i="12"/>
  <c r="H78" i="12" s="1"/>
  <c r="H17" i="12"/>
  <c r="H84" i="12" s="1"/>
  <c r="H18" i="12"/>
  <c r="H90" i="12" s="1"/>
  <c r="H19" i="12"/>
  <c r="H96" i="12" s="1"/>
  <c r="H20" i="12"/>
  <c r="H24" i="12"/>
  <c r="H7" i="12"/>
  <c r="H8" i="12"/>
  <c r="H9" i="12"/>
  <c r="H10" i="12"/>
  <c r="J43" i="11"/>
  <c r="H45" i="12" s="1"/>
  <c r="D23" i="2"/>
  <c r="C23" i="2" s="1"/>
  <c r="C24" i="2"/>
  <c r="C22" i="2"/>
  <c r="C21" i="2"/>
  <c r="F75" i="1"/>
  <c r="I51" i="12" s="1"/>
  <c r="O19" i="1"/>
  <c r="E109" i="1"/>
  <c r="M22" i="1" l="1"/>
  <c r="O25" i="1"/>
  <c r="O23" i="1"/>
  <c r="H102" i="12"/>
  <c r="H21" i="12"/>
  <c r="H72" i="12"/>
  <c r="H66" i="12"/>
  <c r="H11" i="12"/>
  <c r="H67" i="12"/>
  <c r="H103" i="12"/>
  <c r="H80" i="12"/>
  <c r="H81" i="12"/>
  <c r="H98" i="12"/>
  <c r="H99" i="12"/>
  <c r="H91" i="12"/>
  <c r="H93" i="12" s="1"/>
  <c r="H87" i="12"/>
  <c r="H73" i="12"/>
  <c r="H86" i="12"/>
  <c r="G29" i="11"/>
  <c r="H29" i="11"/>
  <c r="H9" i="11"/>
  <c r="Q4" i="11" s="1"/>
  <c r="G9" i="11"/>
  <c r="D15" i="1"/>
  <c r="E66" i="1" s="1"/>
  <c r="L11" i="4"/>
  <c r="O11" i="4" s="1"/>
  <c r="Q11" i="4" l="1"/>
  <c r="T11" i="4"/>
  <c r="H68" i="12"/>
  <c r="H69" i="12"/>
  <c r="H75" i="12"/>
  <c r="H104" i="12"/>
  <c r="H26" i="12"/>
  <c r="H92" i="12"/>
  <c r="J44" i="11"/>
  <c r="H46" i="12" s="1"/>
  <c r="H74" i="12"/>
  <c r="E4" i="1"/>
  <c r="D10" i="1" s="1"/>
  <c r="J30" i="11"/>
  <c r="J52" i="11"/>
  <c r="H54" i="12" s="1"/>
  <c r="J42" i="11"/>
  <c r="H44" i="12" s="1"/>
  <c r="J41" i="11"/>
  <c r="H43" i="12" s="1"/>
  <c r="J40" i="11"/>
  <c r="H42" i="12" s="1"/>
  <c r="J32" i="11" l="1"/>
  <c r="H34" i="12" s="1"/>
  <c r="J31" i="11"/>
  <c r="H33" i="12" s="1"/>
  <c r="H32" i="12"/>
  <c r="T1" i="1"/>
  <c r="D1" i="1" s="1"/>
  <c r="AI113" i="1"/>
  <c r="AJ113" i="1"/>
  <c r="P25" i="1"/>
  <c r="G27" i="1"/>
  <c r="H27" i="1" s="1"/>
  <c r="I27" i="1" s="1"/>
  <c r="J27" i="1" s="1"/>
  <c r="K27" i="1" s="1"/>
  <c r="L27" i="1" s="1"/>
  <c r="M27" i="1" s="1"/>
  <c r="N27" i="1" s="1"/>
  <c r="O27" i="1" s="1"/>
  <c r="P27" i="1" s="1"/>
  <c r="Q27" i="1" s="1"/>
  <c r="R27" i="1" s="1"/>
  <c r="S27" i="1" s="1"/>
  <c r="T27" i="1" s="1"/>
  <c r="U27" i="1" s="1"/>
  <c r="V27" i="1" s="1"/>
  <c r="W27" i="1" s="1"/>
  <c r="X27" i="1" s="1"/>
  <c r="Y27" i="1" s="1"/>
  <c r="Z27" i="1" s="1"/>
  <c r="AA27" i="1" s="1"/>
  <c r="AB27" i="1" s="1"/>
  <c r="AC27" i="1" s="1"/>
  <c r="AD27" i="1" s="1"/>
  <c r="AE27" i="1" s="1"/>
  <c r="AF27" i="1" s="1"/>
  <c r="AG27" i="1" s="1"/>
  <c r="AH27" i="1" s="1"/>
  <c r="AI27" i="1" s="1"/>
  <c r="AJ27" i="1" s="1"/>
  <c r="D32" i="12"/>
  <c r="G7" i="19"/>
  <c r="G5" i="19"/>
  <c r="B106" i="19"/>
  <c r="B99" i="19"/>
  <c r="B93" i="19"/>
  <c r="B84" i="19"/>
  <c r="B78" i="19"/>
  <c r="F74" i="19"/>
  <c r="F81" i="19" s="1"/>
  <c r="B69" i="19"/>
  <c r="B67" i="19"/>
  <c r="F62" i="19"/>
  <c r="B59" i="19"/>
  <c r="F53" i="19"/>
  <c r="F38" i="19"/>
  <c r="G37" i="19"/>
  <c r="H37" i="19" s="1"/>
  <c r="I37" i="19" s="1"/>
  <c r="F31" i="19"/>
  <c r="E16" i="19"/>
  <c r="C88" i="19" s="1"/>
  <c r="E15" i="19"/>
  <c r="C73" i="19" s="1"/>
  <c r="B80" i="19" s="1"/>
  <c r="H14" i="19"/>
  <c r="I14" i="19" s="1"/>
  <c r="E14" i="19"/>
  <c r="C52" i="19" s="1"/>
  <c r="B13" i="19"/>
  <c r="C9" i="19"/>
  <c r="H17" i="19" s="1"/>
  <c r="I17" i="19" s="1"/>
  <c r="C44" i="19"/>
  <c r="D44" i="19" s="1"/>
  <c r="E15" i="1"/>
  <c r="G65" i="12"/>
  <c r="I60" i="12"/>
  <c r="I65" i="12" s="1"/>
  <c r="D25" i="11"/>
  <c r="E25" i="11"/>
  <c r="F25" i="11"/>
  <c r="G25" i="11"/>
  <c r="I25" i="11"/>
  <c r="C25" i="11"/>
  <c r="F101" i="11"/>
  <c r="C79" i="1"/>
  <c r="C30" i="1"/>
  <c r="C31" i="1"/>
  <c r="C29" i="1"/>
  <c r="D36" i="1"/>
  <c r="D35" i="1"/>
  <c r="D34" i="1"/>
  <c r="C100" i="1"/>
  <c r="F17" i="1"/>
  <c r="E51" i="1"/>
  <c r="D161" i="1" s="1"/>
  <c r="E161" i="1" s="1"/>
  <c r="E35" i="1"/>
  <c r="E36" i="1"/>
  <c r="E34" i="1"/>
  <c r="C66" i="1"/>
  <c r="F45" i="1"/>
  <c r="F47" i="1"/>
  <c r="I18" i="12" s="1"/>
  <c r="F48" i="1"/>
  <c r="B48" i="1" s="1"/>
  <c r="F49" i="1"/>
  <c r="F44" i="1"/>
  <c r="G334" i="1"/>
  <c r="H334" i="1"/>
  <c r="I334" i="1"/>
  <c r="J334" i="1"/>
  <c r="K334" i="1"/>
  <c r="L334" i="1"/>
  <c r="M334" i="1"/>
  <c r="N334" i="1"/>
  <c r="O334" i="1"/>
  <c r="M336" i="1"/>
  <c r="N336" i="1"/>
  <c r="O336" i="1"/>
  <c r="G343" i="1"/>
  <c r="H343" i="1"/>
  <c r="I343" i="1"/>
  <c r="J343" i="1"/>
  <c r="K343" i="1"/>
  <c r="L343" i="1"/>
  <c r="M343" i="1"/>
  <c r="N343" i="1"/>
  <c r="F334" i="1"/>
  <c r="F336" i="1"/>
  <c r="F343" i="1"/>
  <c r="C302" i="1"/>
  <c r="C355" i="1" s="1"/>
  <c r="C312" i="1"/>
  <c r="C313" i="1"/>
  <c r="G281" i="1"/>
  <c r="H281" i="1"/>
  <c r="I281" i="1"/>
  <c r="J281" i="1"/>
  <c r="G290" i="1"/>
  <c r="H290" i="1"/>
  <c r="I290" i="1"/>
  <c r="F281" i="1"/>
  <c r="F283" i="1"/>
  <c r="F290" i="1"/>
  <c r="C276" i="1"/>
  <c r="C329" i="1" s="1"/>
  <c r="C291" i="1"/>
  <c r="C344" i="1" s="1"/>
  <c r="C244" i="1"/>
  <c r="C297" i="1" s="1"/>
  <c r="C350" i="1" s="1"/>
  <c r="C245" i="1"/>
  <c r="C298" i="1" s="1"/>
  <c r="C351" i="1" s="1"/>
  <c r="C246" i="1"/>
  <c r="C299" i="1" s="1"/>
  <c r="C352" i="1" s="1"/>
  <c r="C247" i="1"/>
  <c r="C300" i="1" s="1"/>
  <c r="C353" i="1" s="1"/>
  <c r="C248" i="1"/>
  <c r="C301" i="1" s="1"/>
  <c r="C354" i="1" s="1"/>
  <c r="C250" i="1"/>
  <c r="C303" i="1" s="1"/>
  <c r="C356" i="1" s="1"/>
  <c r="C251" i="1"/>
  <c r="C304" i="1" s="1"/>
  <c r="C357" i="1" s="1"/>
  <c r="C252" i="1"/>
  <c r="C305" i="1" s="1"/>
  <c r="C358" i="1" s="1"/>
  <c r="C253" i="1"/>
  <c r="C306" i="1" s="1"/>
  <c r="C359" i="1" s="1"/>
  <c r="C254" i="1"/>
  <c r="C307" i="1" s="1"/>
  <c r="C360" i="1" s="1"/>
  <c r="C255" i="1"/>
  <c r="C308" i="1" s="1"/>
  <c r="C361" i="1" s="1"/>
  <c r="C256" i="1"/>
  <c r="C309" i="1" s="1"/>
  <c r="C362" i="1" s="1"/>
  <c r="C243" i="1"/>
  <c r="C296" i="1" s="1"/>
  <c r="C349" i="1" s="1"/>
  <c r="F224" i="1"/>
  <c r="G224" i="1"/>
  <c r="H224" i="1"/>
  <c r="F228" i="1"/>
  <c r="G228" i="1"/>
  <c r="H228" i="1"/>
  <c r="F230" i="1"/>
  <c r="F237" i="1"/>
  <c r="G237" i="1"/>
  <c r="C216" i="1"/>
  <c r="C269" i="1" s="1"/>
  <c r="C322" i="1" s="1"/>
  <c r="C217" i="1"/>
  <c r="C270" i="1" s="1"/>
  <c r="C323" i="1" s="1"/>
  <c r="C218" i="1"/>
  <c r="C271" i="1" s="1"/>
  <c r="C324" i="1" s="1"/>
  <c r="C219" i="1"/>
  <c r="C272" i="1" s="1"/>
  <c r="C325" i="1" s="1"/>
  <c r="C220" i="1"/>
  <c r="C273" i="1" s="1"/>
  <c r="C326" i="1" s="1"/>
  <c r="C221" i="1"/>
  <c r="C274" i="1" s="1"/>
  <c r="C327" i="1" s="1"/>
  <c r="C278" i="1"/>
  <c r="C331" i="1" s="1"/>
  <c r="C227" i="1"/>
  <c r="C280" i="1" s="1"/>
  <c r="C333" i="1" s="1"/>
  <c r="C228" i="1"/>
  <c r="C281" i="1" s="1"/>
  <c r="C334" i="1" s="1"/>
  <c r="C229" i="1"/>
  <c r="C282" i="1" s="1"/>
  <c r="C335" i="1" s="1"/>
  <c r="C230" i="1"/>
  <c r="C283" i="1" s="1"/>
  <c r="C336" i="1" s="1"/>
  <c r="C231" i="1"/>
  <c r="C284" i="1" s="1"/>
  <c r="C337" i="1" s="1"/>
  <c r="C236" i="1"/>
  <c r="C289" i="1" s="1"/>
  <c r="C342" i="1" s="1"/>
  <c r="C237" i="1"/>
  <c r="C290" i="1" s="1"/>
  <c r="C343" i="1" s="1"/>
  <c r="C239" i="1"/>
  <c r="C292" i="1" s="1"/>
  <c r="C345" i="1" s="1"/>
  <c r="C215" i="1"/>
  <c r="C268" i="1" s="1"/>
  <c r="C321" i="1" s="1"/>
  <c r="C28" i="2"/>
  <c r="I48" i="2"/>
  <c r="G51" i="2"/>
  <c r="J51" i="2" s="1"/>
  <c r="I50" i="2"/>
  <c r="I49" i="2"/>
  <c r="G45" i="2"/>
  <c r="K45" i="2" s="1"/>
  <c r="I44" i="2"/>
  <c r="I43" i="2"/>
  <c r="I42" i="2"/>
  <c r="I37" i="2"/>
  <c r="I38" i="2"/>
  <c r="G39" i="2"/>
  <c r="I36" i="2"/>
  <c r="F14" i="1"/>
  <c r="G14" i="1" s="1"/>
  <c r="F13" i="1"/>
  <c r="G13" i="1" s="1"/>
  <c r="C159" i="1"/>
  <c r="D35" i="2"/>
  <c r="D41" i="2" s="1"/>
  <c r="D53" i="2"/>
  <c r="D52" i="2"/>
  <c r="B50" i="2"/>
  <c r="D63" i="2"/>
  <c r="D67" i="2" s="1"/>
  <c r="D55" i="1"/>
  <c r="F92" i="1"/>
  <c r="F323" i="1"/>
  <c r="D77" i="2"/>
  <c r="D76" i="2"/>
  <c r="D75" i="2"/>
  <c r="D73" i="2"/>
  <c r="G90" i="1"/>
  <c r="G43" i="12"/>
  <c r="G42" i="12"/>
  <c r="G38" i="12"/>
  <c r="G91" i="12" s="1"/>
  <c r="G36" i="12"/>
  <c r="G79" i="12" s="1"/>
  <c r="G35" i="12"/>
  <c r="G73" i="12" s="1"/>
  <c r="E42" i="12"/>
  <c r="E40" i="12"/>
  <c r="E37" i="12"/>
  <c r="E85" i="12" s="1"/>
  <c r="E34" i="12"/>
  <c r="F59" i="12"/>
  <c r="F65" i="12" s="1"/>
  <c r="G44" i="12"/>
  <c r="E44" i="12"/>
  <c r="D44" i="12"/>
  <c r="C44" i="12"/>
  <c r="B44" i="12"/>
  <c r="E43" i="12"/>
  <c r="D43" i="12"/>
  <c r="C43" i="12"/>
  <c r="B43" i="12"/>
  <c r="D42" i="12"/>
  <c r="C42" i="12"/>
  <c r="B42" i="12"/>
  <c r="G41" i="12"/>
  <c r="E41" i="12"/>
  <c r="D41" i="12"/>
  <c r="C41" i="12"/>
  <c r="B41" i="12"/>
  <c r="G40" i="12"/>
  <c r="D40" i="12"/>
  <c r="C40" i="12"/>
  <c r="B40" i="12"/>
  <c r="G39" i="12"/>
  <c r="E39" i="12"/>
  <c r="E97" i="12" s="1"/>
  <c r="D39" i="12"/>
  <c r="C39" i="12"/>
  <c r="C97" i="12" s="1"/>
  <c r="B39" i="12"/>
  <c r="B97" i="12" s="1"/>
  <c r="E38" i="12"/>
  <c r="D38" i="12"/>
  <c r="C38" i="12"/>
  <c r="B38" i="12"/>
  <c r="G37" i="12"/>
  <c r="G85" i="12" s="1"/>
  <c r="D37" i="12"/>
  <c r="D85" i="12" s="1"/>
  <c r="C37" i="12"/>
  <c r="C85" i="12" s="1"/>
  <c r="B37" i="12"/>
  <c r="B85" i="12" s="1"/>
  <c r="E36" i="12"/>
  <c r="E79" i="12" s="1"/>
  <c r="D36" i="12"/>
  <c r="C36" i="12"/>
  <c r="C79" i="12" s="1"/>
  <c r="B36" i="12"/>
  <c r="B79" i="12" s="1"/>
  <c r="E35" i="12"/>
  <c r="E73" i="12" s="1"/>
  <c r="D35" i="12"/>
  <c r="C35" i="12"/>
  <c r="C73" i="12" s="1"/>
  <c r="B35" i="12"/>
  <c r="B73" i="12" s="1"/>
  <c r="G34" i="12"/>
  <c r="D34" i="12"/>
  <c r="C34" i="12"/>
  <c r="B34" i="12"/>
  <c r="G33" i="12"/>
  <c r="E33" i="12"/>
  <c r="D33" i="12"/>
  <c r="C33" i="12"/>
  <c r="B33" i="12"/>
  <c r="E32" i="12"/>
  <c r="C32" i="12"/>
  <c r="B32" i="12"/>
  <c r="F31" i="12"/>
  <c r="F110" i="12" s="1"/>
  <c r="G24" i="12"/>
  <c r="E24" i="12"/>
  <c r="D24" i="12"/>
  <c r="C24" i="12"/>
  <c r="B24" i="12"/>
  <c r="G20" i="12"/>
  <c r="E20" i="12"/>
  <c r="D20" i="12"/>
  <c r="C20" i="12"/>
  <c r="B20" i="12"/>
  <c r="G19" i="12"/>
  <c r="G96" i="12" s="1"/>
  <c r="E19" i="12"/>
  <c r="E96" i="12" s="1"/>
  <c r="D19" i="12"/>
  <c r="D96" i="12" s="1"/>
  <c r="C19" i="12"/>
  <c r="C96" i="12" s="1"/>
  <c r="B19" i="12"/>
  <c r="G18" i="12"/>
  <c r="G90" i="12" s="1"/>
  <c r="E18" i="12"/>
  <c r="E90" i="12" s="1"/>
  <c r="D18" i="12"/>
  <c r="C18" i="12"/>
  <c r="C90" i="12" s="1"/>
  <c r="B18" i="12"/>
  <c r="G17" i="12"/>
  <c r="G84" i="12" s="1"/>
  <c r="E17" i="12"/>
  <c r="E84" i="12" s="1"/>
  <c r="D17" i="12"/>
  <c r="D84" i="12" s="1"/>
  <c r="C17" i="12"/>
  <c r="C84" i="12" s="1"/>
  <c r="B17" i="12"/>
  <c r="G16" i="12"/>
  <c r="G78" i="12" s="1"/>
  <c r="E16" i="12"/>
  <c r="D16" i="12"/>
  <c r="D78" i="12" s="1"/>
  <c r="C16" i="12"/>
  <c r="B16" i="12"/>
  <c r="G15" i="12"/>
  <c r="G72" i="12" s="1"/>
  <c r="E15" i="12"/>
  <c r="E72" i="12" s="1"/>
  <c r="D15" i="12"/>
  <c r="D72" i="12" s="1"/>
  <c r="C15" i="12"/>
  <c r="C72" i="12" s="1"/>
  <c r="B15" i="12"/>
  <c r="G10" i="12"/>
  <c r="E10" i="12"/>
  <c r="D10" i="12"/>
  <c r="C10" i="12"/>
  <c r="B10" i="12"/>
  <c r="G9" i="12"/>
  <c r="E9" i="12"/>
  <c r="D9" i="12"/>
  <c r="C9" i="12"/>
  <c r="B9" i="12"/>
  <c r="G8" i="12"/>
  <c r="E8" i="12"/>
  <c r="D8" i="12"/>
  <c r="C8" i="12"/>
  <c r="B8" i="12"/>
  <c r="G7" i="12"/>
  <c r="E7" i="12"/>
  <c r="D7" i="12"/>
  <c r="C7" i="12"/>
  <c r="B7" i="12"/>
  <c r="F4" i="12"/>
  <c r="A1" i="12"/>
  <c r="E101" i="11"/>
  <c r="D101" i="11"/>
  <c r="C101" i="11"/>
  <c r="L100" i="11"/>
  <c r="L99" i="11"/>
  <c r="L98" i="11"/>
  <c r="L97" i="11"/>
  <c r="L96" i="11"/>
  <c r="L95" i="11"/>
  <c r="L94" i="11"/>
  <c r="L93" i="11"/>
  <c r="L92" i="11"/>
  <c r="L91" i="11"/>
  <c r="L90" i="11"/>
  <c r="L89" i="11"/>
  <c r="L88" i="11"/>
  <c r="L87" i="11"/>
  <c r="L86" i="11"/>
  <c r="L85" i="11"/>
  <c r="L84" i="11"/>
  <c r="L83" i="11"/>
  <c r="L82" i="11"/>
  <c r="L81" i="11"/>
  <c r="L80" i="11"/>
  <c r="L79" i="11"/>
  <c r="L78" i="11"/>
  <c r="L77" i="11"/>
  <c r="L76" i="11"/>
  <c r="L75" i="11"/>
  <c r="L74" i="11"/>
  <c r="L73" i="11"/>
  <c r="L72" i="11"/>
  <c r="L71" i="11"/>
  <c r="L70" i="11"/>
  <c r="L69" i="11"/>
  <c r="L68" i="11"/>
  <c r="L67" i="11"/>
  <c r="L66" i="11"/>
  <c r="L65" i="11"/>
  <c r="L64" i="11"/>
  <c r="L63" i="11"/>
  <c r="L62" i="11"/>
  <c r="L61" i="11"/>
  <c r="L60" i="11"/>
  <c r="L59" i="11"/>
  <c r="L58" i="11"/>
  <c r="L57" i="11"/>
  <c r="L56" i="11"/>
  <c r="L55" i="11"/>
  <c r="L54" i="11"/>
  <c r="L53" i="11"/>
  <c r="L52" i="11"/>
  <c r="L51" i="11"/>
  <c r="L50" i="11"/>
  <c r="L49" i="11"/>
  <c r="L48" i="11"/>
  <c r="L47" i="11"/>
  <c r="L46" i="11"/>
  <c r="L45" i="11"/>
  <c r="L44" i="11"/>
  <c r="L43" i="11"/>
  <c r="L42" i="11"/>
  <c r="L41" i="11"/>
  <c r="L40" i="11"/>
  <c r="L39" i="11"/>
  <c r="L38" i="11"/>
  <c r="L37" i="11"/>
  <c r="L36" i="11"/>
  <c r="L35" i="11"/>
  <c r="L34" i="11"/>
  <c r="L33" i="11"/>
  <c r="L32" i="11"/>
  <c r="L31" i="11"/>
  <c r="L30" i="11"/>
  <c r="F29" i="11"/>
  <c r="E31" i="12" s="1"/>
  <c r="L24" i="11"/>
  <c r="L23" i="11"/>
  <c r="L22" i="11"/>
  <c r="L21" i="11"/>
  <c r="L20" i="11"/>
  <c r="L19" i="11"/>
  <c r="L18" i="11"/>
  <c r="L17" i="11"/>
  <c r="L16" i="11"/>
  <c r="L15" i="11"/>
  <c r="L14" i="11"/>
  <c r="L13" i="11"/>
  <c r="L12" i="11"/>
  <c r="L11" i="11"/>
  <c r="L10" i="11"/>
  <c r="H5" i="11"/>
  <c r="H51" i="11" s="1"/>
  <c r="F53" i="12" s="1"/>
  <c r="A5" i="11"/>
  <c r="B4" i="11"/>
  <c r="B91" i="12"/>
  <c r="G101" i="11"/>
  <c r="C47" i="2"/>
  <c r="C49" i="2"/>
  <c r="C44" i="2"/>
  <c r="C45" i="2"/>
  <c r="C37" i="2"/>
  <c r="C40" i="2"/>
  <c r="C41" i="2"/>
  <c r="C39" i="2"/>
  <c r="C46" i="2"/>
  <c r="C36" i="2"/>
  <c r="C42" i="2"/>
  <c r="C38" i="2"/>
  <c r="C43" i="2"/>
  <c r="C48" i="2"/>
  <c r="G32" i="12"/>
  <c r="I101" i="11"/>
  <c r="E71" i="1"/>
  <c r="F30" i="1"/>
  <c r="G30" i="1" s="1"/>
  <c r="F31" i="1"/>
  <c r="G31" i="1" s="1"/>
  <c r="H31" i="1" s="1"/>
  <c r="F12" i="1"/>
  <c r="E37" i="1" s="1"/>
  <c r="F37" i="1" s="1"/>
  <c r="F72" i="1"/>
  <c r="I48" i="12" s="1"/>
  <c r="B5" i="7"/>
  <c r="B9" i="8" s="1"/>
  <c r="A1" i="5"/>
  <c r="D50" i="1"/>
  <c r="D160" i="1" s="1"/>
  <c r="E160" i="1" s="1"/>
  <c r="F65" i="1"/>
  <c r="I41" i="12" s="1"/>
  <c r="F73" i="1"/>
  <c r="I49" i="12" s="1"/>
  <c r="F74" i="1"/>
  <c r="I50" i="12" s="1"/>
  <c r="F78" i="1"/>
  <c r="I54" i="12" s="1"/>
  <c r="K21" i="1"/>
  <c r="E38" i="8" s="1"/>
  <c r="D9" i="1"/>
  <c r="E34" i="8" s="1"/>
  <c r="F12" i="7"/>
  <c r="J12" i="7"/>
  <c r="I12" i="7"/>
  <c r="H12" i="7"/>
  <c r="G12" i="7"/>
  <c r="E12" i="7"/>
  <c r="A2" i="7"/>
  <c r="D34" i="8"/>
  <c r="G9" i="8"/>
  <c r="B6" i="8"/>
  <c r="F337" i="1"/>
  <c r="F231" i="1"/>
  <c r="F284" i="1"/>
  <c r="H45" i="2" l="1"/>
  <c r="F63" i="19"/>
  <c r="G37" i="1"/>
  <c r="G46" i="1" s="1"/>
  <c r="F46" i="1"/>
  <c r="H37" i="1"/>
  <c r="G35" i="1"/>
  <c r="G39" i="1" s="1"/>
  <c r="C35" i="1"/>
  <c r="C39" i="1" s="1"/>
  <c r="A8" i="12"/>
  <c r="A11" i="11"/>
  <c r="C36" i="1"/>
  <c r="C40" i="1" s="1"/>
  <c r="A9" i="12"/>
  <c r="A12" i="11"/>
  <c r="C34" i="1"/>
  <c r="C38" i="1" s="1"/>
  <c r="A7" i="12"/>
  <c r="A10" i="11"/>
  <c r="G74" i="1"/>
  <c r="H74" i="1" s="1"/>
  <c r="I74" i="1" s="1"/>
  <c r="J74" i="1" s="1"/>
  <c r="K74" i="1" s="1"/>
  <c r="L74" i="1" s="1"/>
  <c r="M74" i="1" s="1"/>
  <c r="N74" i="1" s="1"/>
  <c r="O74" i="1" s="1"/>
  <c r="P74" i="1" s="1"/>
  <c r="Q74" i="1" s="1"/>
  <c r="R74" i="1" s="1"/>
  <c r="S74" i="1" s="1"/>
  <c r="T74" i="1" s="1"/>
  <c r="U74" i="1" s="1"/>
  <c r="V74" i="1" s="1"/>
  <c r="W74" i="1" s="1"/>
  <c r="X74" i="1" s="1"/>
  <c r="Y74" i="1" s="1"/>
  <c r="Z74" i="1" s="1"/>
  <c r="AA74" i="1" s="1"/>
  <c r="AB74" i="1" s="1"/>
  <c r="AC74" i="1" s="1"/>
  <c r="AD74" i="1" s="1"/>
  <c r="AE74" i="1" s="1"/>
  <c r="AF74" i="1" s="1"/>
  <c r="AG74" i="1" s="1"/>
  <c r="AH74" i="1" s="1"/>
  <c r="AI74" i="1" s="1"/>
  <c r="AJ74" i="1" s="1"/>
  <c r="G44" i="1"/>
  <c r="H44" i="1" s="1"/>
  <c r="I44" i="1" s="1"/>
  <c r="J44" i="1" s="1"/>
  <c r="K44" i="1" s="1"/>
  <c r="L44" i="1" s="1"/>
  <c r="M44" i="1" s="1"/>
  <c r="N44" i="1" s="1"/>
  <c r="O44" i="1" s="1"/>
  <c r="P44" i="1" s="1"/>
  <c r="Q44" i="1" s="1"/>
  <c r="R44" i="1" s="1"/>
  <c r="S44" i="1" s="1"/>
  <c r="T44" i="1" s="1"/>
  <c r="U44" i="1" s="1"/>
  <c r="V44" i="1" s="1"/>
  <c r="W44" i="1" s="1"/>
  <c r="X44" i="1" s="1"/>
  <c r="Y44" i="1" s="1"/>
  <c r="Z44" i="1" s="1"/>
  <c r="AA44" i="1" s="1"/>
  <c r="AB44" i="1" s="1"/>
  <c r="AC44" i="1" s="1"/>
  <c r="AD44" i="1" s="1"/>
  <c r="AE44" i="1" s="1"/>
  <c r="AF44" i="1" s="1"/>
  <c r="AG44" i="1" s="1"/>
  <c r="AH44" i="1" s="1"/>
  <c r="AI44" i="1" s="1"/>
  <c r="AJ44" i="1" s="1"/>
  <c r="F44" i="19"/>
  <c r="F55" i="19"/>
  <c r="G78" i="1"/>
  <c r="H78" i="1" s="1"/>
  <c r="I78" i="1" s="1"/>
  <c r="J78" i="1" s="1"/>
  <c r="K78" i="1" s="1"/>
  <c r="L78" i="1" s="1"/>
  <c r="M78" i="1" s="1"/>
  <c r="N78" i="1" s="1"/>
  <c r="O78" i="1" s="1"/>
  <c r="P78" i="1" s="1"/>
  <c r="Q78" i="1" s="1"/>
  <c r="R78" i="1" s="1"/>
  <c r="S78" i="1" s="1"/>
  <c r="T78" i="1" s="1"/>
  <c r="U78" i="1" s="1"/>
  <c r="V78" i="1" s="1"/>
  <c r="W78" i="1" s="1"/>
  <c r="X78" i="1" s="1"/>
  <c r="Y78" i="1" s="1"/>
  <c r="Z78" i="1" s="1"/>
  <c r="AA78" i="1" s="1"/>
  <c r="AB78" i="1" s="1"/>
  <c r="AC78" i="1" s="1"/>
  <c r="AD78" i="1" s="1"/>
  <c r="AE78" i="1" s="1"/>
  <c r="AF78" i="1" s="1"/>
  <c r="AG78" i="1" s="1"/>
  <c r="AH78" i="1" s="1"/>
  <c r="AI78" i="1" s="1"/>
  <c r="AJ78" i="1" s="1"/>
  <c r="G72" i="1"/>
  <c r="H72" i="1" s="1"/>
  <c r="I72" i="1" s="1"/>
  <c r="J72" i="1" s="1"/>
  <c r="K72" i="1" s="1"/>
  <c r="L72" i="1" s="1"/>
  <c r="M72" i="1" s="1"/>
  <c r="N72" i="1" s="1"/>
  <c r="O72" i="1" s="1"/>
  <c r="P72" i="1" s="1"/>
  <c r="Q72" i="1" s="1"/>
  <c r="R72" i="1" s="1"/>
  <c r="S72" i="1" s="1"/>
  <c r="T72" i="1" s="1"/>
  <c r="U72" i="1" s="1"/>
  <c r="V72" i="1" s="1"/>
  <c r="W72" i="1" s="1"/>
  <c r="X72" i="1" s="1"/>
  <c r="Y72" i="1" s="1"/>
  <c r="Z72" i="1" s="1"/>
  <c r="AA72" i="1" s="1"/>
  <c r="AB72" i="1" s="1"/>
  <c r="AC72" i="1" s="1"/>
  <c r="AD72" i="1" s="1"/>
  <c r="AE72" i="1" s="1"/>
  <c r="AF72" i="1" s="1"/>
  <c r="AG72" i="1" s="1"/>
  <c r="AH72" i="1" s="1"/>
  <c r="AI72" i="1" s="1"/>
  <c r="AJ72" i="1" s="1"/>
  <c r="J14" i="19"/>
  <c r="J45" i="2"/>
  <c r="H15" i="19"/>
  <c r="I15" i="19" s="1"/>
  <c r="J15" i="19" s="1"/>
  <c r="E103" i="12"/>
  <c r="B47" i="1"/>
  <c r="G38" i="19"/>
  <c r="H38" i="19" s="1"/>
  <c r="I38" i="19" s="1"/>
  <c r="J37" i="19"/>
  <c r="B95" i="19"/>
  <c r="C103" i="19"/>
  <c r="H21" i="11"/>
  <c r="H77" i="11"/>
  <c r="H60" i="11"/>
  <c r="H74" i="11"/>
  <c r="B71" i="1"/>
  <c r="H71" i="11"/>
  <c r="H43" i="11"/>
  <c r="F45" i="12" s="1"/>
  <c r="H13" i="11"/>
  <c r="F10" i="12" s="1"/>
  <c r="H70" i="11"/>
  <c r="H42" i="11"/>
  <c r="F44" i="12" s="1"/>
  <c r="H12" i="11"/>
  <c r="F9" i="12" s="1"/>
  <c r="H69" i="11"/>
  <c r="H37" i="11"/>
  <c r="F39" i="12" s="1"/>
  <c r="F97" i="12" s="1"/>
  <c r="H84" i="11"/>
  <c r="H10" i="11"/>
  <c r="F75" i="19"/>
  <c r="H16" i="19"/>
  <c r="I16" i="19" s="1"/>
  <c r="J17" i="19" s="1"/>
  <c r="H79" i="11"/>
  <c r="H78" i="11"/>
  <c r="H20" i="11"/>
  <c r="F24" i="12" s="1"/>
  <c r="H41" i="11"/>
  <c r="F43" i="12" s="1"/>
  <c r="H22" i="11"/>
  <c r="H75" i="11"/>
  <c r="H46" i="11"/>
  <c r="F48" i="12" s="1"/>
  <c r="J48" i="12" s="1"/>
  <c r="H14" i="11"/>
  <c r="F15" i="12" s="1"/>
  <c r="H67" i="11"/>
  <c r="H39" i="11"/>
  <c r="F41" i="12" s="1"/>
  <c r="J41" i="12" s="1"/>
  <c r="H98" i="11"/>
  <c r="H66" i="11"/>
  <c r="H97" i="11"/>
  <c r="H65" i="11"/>
  <c r="H33" i="11"/>
  <c r="F35" i="12" s="1"/>
  <c r="F73" i="12" s="1"/>
  <c r="H80" i="11"/>
  <c r="H52" i="11"/>
  <c r="F54" i="12" s="1"/>
  <c r="F322" i="1"/>
  <c r="C4" i="2"/>
  <c r="C10" i="2" s="1"/>
  <c r="C30" i="2" s="1"/>
  <c r="A5" i="19"/>
  <c r="H38" i="11"/>
  <c r="F40" i="12" s="1"/>
  <c r="G93" i="1"/>
  <c r="H96" i="11"/>
  <c r="H95" i="11"/>
  <c r="H62" i="11"/>
  <c r="H91" i="11"/>
  <c r="H59" i="11"/>
  <c r="H35" i="11"/>
  <c r="F37" i="12" s="1"/>
  <c r="F85" i="12" s="1"/>
  <c r="H90" i="11"/>
  <c r="H58" i="11"/>
  <c r="H34" i="11"/>
  <c r="F36" i="12" s="1"/>
  <c r="F79" i="12" s="1"/>
  <c r="H89" i="11"/>
  <c r="H53" i="11"/>
  <c r="F55" i="12" s="1"/>
  <c r="H19" i="11"/>
  <c r="F20" i="12" s="1"/>
  <c r="H72" i="11"/>
  <c r="H47" i="11"/>
  <c r="F49" i="12" s="1"/>
  <c r="J49" i="12" s="1"/>
  <c r="H73" i="11"/>
  <c r="H56" i="11"/>
  <c r="H93" i="11"/>
  <c r="H76" i="11"/>
  <c r="H87" i="11"/>
  <c r="H55" i="11"/>
  <c r="H86" i="11"/>
  <c r="H54" i="11"/>
  <c r="H30" i="11"/>
  <c r="F32" i="12" s="1"/>
  <c r="H85" i="11"/>
  <c r="H15" i="11"/>
  <c r="F16" i="12" s="1"/>
  <c r="H68" i="11"/>
  <c r="H36" i="11"/>
  <c r="F38" i="12" s="1"/>
  <c r="F91" i="12" s="1"/>
  <c r="D79" i="2"/>
  <c r="D80" i="2" s="1"/>
  <c r="D83" i="2" s="1"/>
  <c r="F140" i="1" s="1"/>
  <c r="I51" i="2"/>
  <c r="H17" i="11"/>
  <c r="F18" i="12" s="1"/>
  <c r="J18" i="12" s="1"/>
  <c r="H16" i="11"/>
  <c r="F17" i="12" s="1"/>
  <c r="H92" i="11"/>
  <c r="H63" i="11"/>
  <c r="H94" i="11"/>
  <c r="H61" i="11"/>
  <c r="H23" i="11"/>
  <c r="H44" i="11"/>
  <c r="F46" i="12" s="1"/>
  <c r="H83" i="11"/>
  <c r="H31" i="11"/>
  <c r="F33" i="12" s="1"/>
  <c r="H82" i="11"/>
  <c r="H50" i="11"/>
  <c r="F52" i="12" s="1"/>
  <c r="H24" i="11"/>
  <c r="H81" i="11"/>
  <c r="H45" i="11"/>
  <c r="F47" i="12" s="1"/>
  <c r="H100" i="11"/>
  <c r="H64" i="11"/>
  <c r="H32" i="11"/>
  <c r="F34" i="12" s="1"/>
  <c r="H99" i="11"/>
  <c r="G47" i="1"/>
  <c r="H47" i="1" s="1"/>
  <c r="I47" i="1" s="1"/>
  <c r="J47" i="1" s="1"/>
  <c r="K47" i="1" s="1"/>
  <c r="L47" i="1" s="1"/>
  <c r="M47" i="1" s="1"/>
  <c r="N47" i="1" s="1"/>
  <c r="O47" i="1" s="1"/>
  <c r="P47" i="1" s="1"/>
  <c r="Q47" i="1" s="1"/>
  <c r="R47" i="1" s="1"/>
  <c r="S47" i="1" s="1"/>
  <c r="T47" i="1" s="1"/>
  <c r="U47" i="1" s="1"/>
  <c r="V47" i="1" s="1"/>
  <c r="W47" i="1" s="1"/>
  <c r="X47" i="1" s="1"/>
  <c r="Y47" i="1" s="1"/>
  <c r="Z47" i="1" s="1"/>
  <c r="AA47" i="1" s="1"/>
  <c r="AB47" i="1" s="1"/>
  <c r="AC47" i="1" s="1"/>
  <c r="AD47" i="1" s="1"/>
  <c r="AE47" i="1" s="1"/>
  <c r="AF47" i="1" s="1"/>
  <c r="AG47" i="1" s="1"/>
  <c r="AH47" i="1" s="1"/>
  <c r="AI47" i="1" s="1"/>
  <c r="AJ47" i="1" s="1"/>
  <c r="E60" i="12"/>
  <c r="E110" i="12" s="1"/>
  <c r="E5" i="12"/>
  <c r="H49" i="11"/>
  <c r="F51" i="12" s="1"/>
  <c r="H88" i="11"/>
  <c r="H40" i="11"/>
  <c r="F42" i="12" s="1"/>
  <c r="H18" i="11"/>
  <c r="F19" i="12" s="1"/>
  <c r="F7" i="12"/>
  <c r="H57" i="11"/>
  <c r="H11" i="11"/>
  <c r="F8" i="12" s="1"/>
  <c r="H48" i="11"/>
  <c r="F50" i="12" s="1"/>
  <c r="J50" i="12" s="1"/>
  <c r="F106" i="1"/>
  <c r="I90" i="12"/>
  <c r="AI140" i="1"/>
  <c r="AI142" i="1" s="1"/>
  <c r="AJ140" i="1"/>
  <c r="AJ142" i="1" s="1"/>
  <c r="AH140" i="1"/>
  <c r="AH142" i="1" s="1"/>
  <c r="K51" i="2"/>
  <c r="C50" i="2"/>
  <c r="C54" i="2" s="1"/>
  <c r="C55" i="2" s="1"/>
  <c r="H51" i="2"/>
  <c r="H30" i="1"/>
  <c r="H35" i="1" s="1"/>
  <c r="H39" i="1" s="1"/>
  <c r="F71" i="1"/>
  <c r="I47" i="12" s="1"/>
  <c r="I19" i="12"/>
  <c r="I102" i="12" s="1"/>
  <c r="G48" i="1"/>
  <c r="H48" i="1" s="1"/>
  <c r="I48" i="1" s="1"/>
  <c r="J48" i="1" s="1"/>
  <c r="K48" i="1" s="1"/>
  <c r="L48" i="1" s="1"/>
  <c r="M48" i="1" s="1"/>
  <c r="N48" i="1" s="1"/>
  <c r="O48" i="1" s="1"/>
  <c r="P48" i="1" s="1"/>
  <c r="Q48" i="1" s="1"/>
  <c r="R48" i="1" s="1"/>
  <c r="S48" i="1" s="1"/>
  <c r="T48" i="1" s="1"/>
  <c r="U48" i="1" s="1"/>
  <c r="V48" i="1" s="1"/>
  <c r="W48" i="1" s="1"/>
  <c r="X48" i="1" s="1"/>
  <c r="Y48" i="1" s="1"/>
  <c r="Z48" i="1" s="1"/>
  <c r="AA48" i="1" s="1"/>
  <c r="AB48" i="1" s="1"/>
  <c r="AC48" i="1" s="1"/>
  <c r="AD48" i="1" s="1"/>
  <c r="AE48" i="1" s="1"/>
  <c r="AF48" i="1" s="1"/>
  <c r="AG48" i="1" s="1"/>
  <c r="AH48" i="1" s="1"/>
  <c r="AI48" i="1" s="1"/>
  <c r="AJ48" i="1" s="1"/>
  <c r="F36" i="1"/>
  <c r="F40" i="1" s="1"/>
  <c r="B11" i="7"/>
  <c r="B10" i="7" s="1"/>
  <c r="B12" i="7" s="1"/>
  <c r="C10" i="7" s="1"/>
  <c r="F91" i="1"/>
  <c r="F111" i="1" s="1"/>
  <c r="F340" i="1" s="1"/>
  <c r="I15" i="12"/>
  <c r="B44" i="1"/>
  <c r="R43" i="1"/>
  <c r="G36" i="1"/>
  <c r="G40" i="1" s="1"/>
  <c r="G12" i="1"/>
  <c r="G73" i="1"/>
  <c r="H73" i="1" s="1"/>
  <c r="I73" i="1" s="1"/>
  <c r="J73" i="1" s="1"/>
  <c r="K73" i="1" s="1"/>
  <c r="L73" i="1" s="1"/>
  <c r="M73" i="1" s="1"/>
  <c r="N73" i="1" s="1"/>
  <c r="O73" i="1" s="1"/>
  <c r="P73" i="1" s="1"/>
  <c r="Q73" i="1" s="1"/>
  <c r="R73" i="1" s="1"/>
  <c r="S73" i="1" s="1"/>
  <c r="T73" i="1" s="1"/>
  <c r="U73" i="1" s="1"/>
  <c r="V73" i="1" s="1"/>
  <c r="W73" i="1" s="1"/>
  <c r="X73" i="1" s="1"/>
  <c r="Y73" i="1" s="1"/>
  <c r="Z73" i="1" s="1"/>
  <c r="AA73" i="1" s="1"/>
  <c r="AB73" i="1" s="1"/>
  <c r="AC73" i="1" s="1"/>
  <c r="AD73" i="1" s="1"/>
  <c r="AE73" i="1" s="1"/>
  <c r="AF73" i="1" s="1"/>
  <c r="AG73" i="1" s="1"/>
  <c r="AH73" i="1" s="1"/>
  <c r="AI73" i="1" s="1"/>
  <c r="AJ73" i="1" s="1"/>
  <c r="G65" i="1"/>
  <c r="H65" i="1" s="1"/>
  <c r="I65" i="1" s="1"/>
  <c r="J65" i="1" s="1"/>
  <c r="K65" i="1" s="1"/>
  <c r="L65" i="1" s="1"/>
  <c r="M65" i="1" s="1"/>
  <c r="N65" i="1" s="1"/>
  <c r="O65" i="1" s="1"/>
  <c r="P65" i="1" s="1"/>
  <c r="Q65" i="1" s="1"/>
  <c r="R65" i="1" s="1"/>
  <c r="S65" i="1" s="1"/>
  <c r="T65" i="1" s="1"/>
  <c r="U65" i="1" s="1"/>
  <c r="V65" i="1" s="1"/>
  <c r="W65" i="1" s="1"/>
  <c r="X65" i="1" s="1"/>
  <c r="Y65" i="1" s="1"/>
  <c r="Z65" i="1" s="1"/>
  <c r="AA65" i="1" s="1"/>
  <c r="AB65" i="1" s="1"/>
  <c r="AC65" i="1" s="1"/>
  <c r="AD65" i="1" s="1"/>
  <c r="AE65" i="1" s="1"/>
  <c r="AF65" i="1" s="1"/>
  <c r="AG65" i="1" s="1"/>
  <c r="AH65" i="1" s="1"/>
  <c r="AI65" i="1" s="1"/>
  <c r="AJ65" i="1" s="1"/>
  <c r="G75" i="1"/>
  <c r="H75" i="1" s="1"/>
  <c r="I75" i="1" s="1"/>
  <c r="J75" i="1" s="1"/>
  <c r="K75" i="1" s="1"/>
  <c r="L75" i="1" s="1"/>
  <c r="M75" i="1" s="1"/>
  <c r="N75" i="1" s="1"/>
  <c r="O75" i="1" s="1"/>
  <c r="P75" i="1" s="1"/>
  <c r="Q75" i="1" s="1"/>
  <c r="R75" i="1" s="1"/>
  <c r="S75" i="1" s="1"/>
  <c r="T75" i="1" s="1"/>
  <c r="U75" i="1" s="1"/>
  <c r="V75" i="1" s="1"/>
  <c r="W75" i="1" s="1"/>
  <c r="X75" i="1" s="1"/>
  <c r="Y75" i="1" s="1"/>
  <c r="Z75" i="1" s="1"/>
  <c r="AA75" i="1" s="1"/>
  <c r="AB75" i="1" s="1"/>
  <c r="AC75" i="1" s="1"/>
  <c r="AD75" i="1" s="1"/>
  <c r="AE75" i="1" s="1"/>
  <c r="AF75" i="1" s="1"/>
  <c r="AG75" i="1" s="1"/>
  <c r="AH75" i="1" s="1"/>
  <c r="AI75" i="1" s="1"/>
  <c r="AJ75" i="1" s="1"/>
  <c r="F35" i="1"/>
  <c r="F217" i="1"/>
  <c r="E29" i="11"/>
  <c r="D31" i="12" s="1"/>
  <c r="D5" i="12" s="1"/>
  <c r="E9" i="11"/>
  <c r="P2" i="11" s="1"/>
  <c r="C4" i="11"/>
  <c r="E91" i="12"/>
  <c r="E92" i="12" s="1"/>
  <c r="B72" i="12"/>
  <c r="B74" i="12" s="1"/>
  <c r="B84" i="12"/>
  <c r="B86" i="12" s="1"/>
  <c r="B96" i="12"/>
  <c r="B99" i="12" s="1"/>
  <c r="B78" i="12"/>
  <c r="B80" i="12" s="1"/>
  <c r="D86" i="12"/>
  <c r="G103" i="12"/>
  <c r="B102" i="12"/>
  <c r="G97" i="12"/>
  <c r="G99" i="12" s="1"/>
  <c r="E75" i="12"/>
  <c r="E67" i="12"/>
  <c r="B11" i="12"/>
  <c r="B103" i="12"/>
  <c r="C66" i="12"/>
  <c r="G56" i="12"/>
  <c r="C78" i="12"/>
  <c r="C81" i="12" s="1"/>
  <c r="D79" i="12"/>
  <c r="D81" i="12" s="1"/>
  <c r="D103" i="12"/>
  <c r="C11" i="12"/>
  <c r="E56" i="12"/>
  <c r="D67" i="12"/>
  <c r="C67" i="12"/>
  <c r="D97" i="12"/>
  <c r="D99" i="12" s="1"/>
  <c r="E86" i="12"/>
  <c r="D91" i="12"/>
  <c r="G87" i="12"/>
  <c r="B56" i="12"/>
  <c r="E11" i="12"/>
  <c r="B67" i="12"/>
  <c r="G86" i="12"/>
  <c r="B90" i="12"/>
  <c r="G74" i="12"/>
  <c r="G75" i="12"/>
  <c r="D56" i="12"/>
  <c r="G67" i="12"/>
  <c r="C91" i="12"/>
  <c r="C92" i="12" s="1"/>
  <c r="C21" i="12"/>
  <c r="C56" i="12"/>
  <c r="C103" i="12"/>
  <c r="G66" i="12"/>
  <c r="D73" i="12"/>
  <c r="D75" i="12" s="1"/>
  <c r="G11" i="12"/>
  <c r="D102" i="12"/>
  <c r="D87" i="12"/>
  <c r="G21" i="12"/>
  <c r="E87" i="12"/>
  <c r="G93" i="12"/>
  <c r="B21" i="12"/>
  <c r="G102" i="12"/>
  <c r="G64" i="1"/>
  <c r="H64" i="1" s="1"/>
  <c r="I64" i="1" s="1"/>
  <c r="J64" i="1" s="1"/>
  <c r="K64" i="1" s="1"/>
  <c r="L64" i="1" s="1"/>
  <c r="M64" i="1" s="1"/>
  <c r="N64" i="1" s="1"/>
  <c r="O64" i="1" s="1"/>
  <c r="P64" i="1" s="1"/>
  <c r="Q64" i="1" s="1"/>
  <c r="R64" i="1" s="1"/>
  <c r="S64" i="1" s="1"/>
  <c r="T64" i="1" s="1"/>
  <c r="U64" i="1" s="1"/>
  <c r="V64" i="1" s="1"/>
  <c r="W64" i="1" s="1"/>
  <c r="X64" i="1" s="1"/>
  <c r="Y64" i="1" s="1"/>
  <c r="Z64" i="1" s="1"/>
  <c r="AA64" i="1" s="1"/>
  <c r="AB64" i="1" s="1"/>
  <c r="AC64" i="1" s="1"/>
  <c r="AD64" i="1" s="1"/>
  <c r="AE64" i="1" s="1"/>
  <c r="AF64" i="1" s="1"/>
  <c r="AG64" i="1" s="1"/>
  <c r="AH64" i="1" s="1"/>
  <c r="AI64" i="1" s="1"/>
  <c r="AJ64" i="1" s="1"/>
  <c r="I40" i="12"/>
  <c r="U1" i="1"/>
  <c r="J16" i="19"/>
  <c r="F270" i="1"/>
  <c r="O43" i="1"/>
  <c r="S43" i="1"/>
  <c r="P43" i="1"/>
  <c r="N43" i="1"/>
  <c r="D41" i="1"/>
  <c r="D52" i="1" s="1"/>
  <c r="D53" i="1" s="1"/>
  <c r="F269" i="1"/>
  <c r="I39" i="2"/>
  <c r="I45" i="2"/>
  <c r="D44" i="2"/>
  <c r="K39" i="2"/>
  <c r="J39" i="2"/>
  <c r="G53" i="2"/>
  <c r="H39" i="2"/>
  <c r="I20" i="12"/>
  <c r="B49" i="1"/>
  <c r="G49" i="1"/>
  <c r="H49" i="1" s="1"/>
  <c r="I49" i="1" s="1"/>
  <c r="J49" i="1" s="1"/>
  <c r="K49" i="1" s="1"/>
  <c r="L49" i="1" s="1"/>
  <c r="M49" i="1" s="1"/>
  <c r="N49" i="1" s="1"/>
  <c r="O49" i="1" s="1"/>
  <c r="P49" i="1" s="1"/>
  <c r="Q49" i="1" s="1"/>
  <c r="R49" i="1" s="1"/>
  <c r="S49" i="1" s="1"/>
  <c r="T49" i="1" s="1"/>
  <c r="U49" i="1" s="1"/>
  <c r="V49" i="1" s="1"/>
  <c r="W49" i="1" s="1"/>
  <c r="X49" i="1" s="1"/>
  <c r="Y49" i="1" s="1"/>
  <c r="Z49" i="1" s="1"/>
  <c r="AA49" i="1" s="1"/>
  <c r="AB49" i="1" s="1"/>
  <c r="AC49" i="1" s="1"/>
  <c r="AD49" i="1" s="1"/>
  <c r="AE49" i="1" s="1"/>
  <c r="AF49" i="1" s="1"/>
  <c r="AG49" i="1" s="1"/>
  <c r="AH49" i="1" s="1"/>
  <c r="AI49" i="1" s="1"/>
  <c r="AJ49" i="1" s="1"/>
  <c r="G45" i="1"/>
  <c r="I16" i="12"/>
  <c r="B45" i="1"/>
  <c r="B73" i="1"/>
  <c r="B74" i="1"/>
  <c r="E77" i="1"/>
  <c r="B75" i="1"/>
  <c r="B78" i="1"/>
  <c r="B65" i="1"/>
  <c r="B72" i="1"/>
  <c r="B17" i="7"/>
  <c r="B18" i="7" s="1"/>
  <c r="C9" i="8"/>
  <c r="D9" i="8" s="1"/>
  <c r="B64" i="1"/>
  <c r="F15" i="1"/>
  <c r="G15" i="1" s="1"/>
  <c r="F9" i="8" s="1"/>
  <c r="I31" i="1"/>
  <c r="H36" i="1"/>
  <c r="H40" i="1" s="1"/>
  <c r="H90" i="1"/>
  <c r="H94" i="1" s="1"/>
  <c r="D42" i="2"/>
  <c r="D46" i="2"/>
  <c r="D43" i="2"/>
  <c r="D49" i="2"/>
  <c r="D36" i="2"/>
  <c r="D48" i="2"/>
  <c r="D39" i="2"/>
  <c r="D47" i="2"/>
  <c r="D40" i="2"/>
  <c r="D45" i="2"/>
  <c r="D38" i="2"/>
  <c r="D37" i="2"/>
  <c r="F216" i="1"/>
  <c r="F96" i="1"/>
  <c r="F94" i="1" s="1"/>
  <c r="F218" i="1" s="1"/>
  <c r="I24" i="12"/>
  <c r="B51" i="1"/>
  <c r="F34" i="1"/>
  <c r="I7" i="12" s="1"/>
  <c r="D11" i="12"/>
  <c r="G81" i="12"/>
  <c r="G80" i="12"/>
  <c r="E21" i="12"/>
  <c r="D90" i="12"/>
  <c r="E78" i="12"/>
  <c r="C99" i="12"/>
  <c r="C98" i="12"/>
  <c r="C86" i="12"/>
  <c r="C87" i="12"/>
  <c r="E99" i="12"/>
  <c r="E98" i="12"/>
  <c r="B66" i="12"/>
  <c r="E74" i="12"/>
  <c r="G92" i="12"/>
  <c r="D66" i="12"/>
  <c r="E66" i="12"/>
  <c r="C102" i="12"/>
  <c r="C74" i="12"/>
  <c r="D21" i="12"/>
  <c r="E102" i="12"/>
  <c r="J53" i="2" l="1"/>
  <c r="E65" i="12"/>
  <c r="I37" i="1"/>
  <c r="H46" i="1"/>
  <c r="D5" i="1"/>
  <c r="B6" i="7" s="1"/>
  <c r="F193" i="1"/>
  <c r="G106" i="1"/>
  <c r="H106" i="1" s="1"/>
  <c r="I106" i="1" s="1"/>
  <c r="F234" i="1"/>
  <c r="F287" i="1"/>
  <c r="J20" i="12"/>
  <c r="J47" i="12"/>
  <c r="J7" i="12"/>
  <c r="J24" i="12"/>
  <c r="F96" i="12"/>
  <c r="J19" i="12"/>
  <c r="F72" i="12"/>
  <c r="F75" i="12" s="1"/>
  <c r="J15" i="12"/>
  <c r="F84" i="12"/>
  <c r="F78" i="12"/>
  <c r="J16" i="12"/>
  <c r="D71" i="1"/>
  <c r="D72" i="1"/>
  <c r="D66" i="1"/>
  <c r="D65" i="1"/>
  <c r="D75" i="1"/>
  <c r="D67" i="1"/>
  <c r="E67" i="1" s="1"/>
  <c r="B67" i="1" s="1"/>
  <c r="D77" i="1"/>
  <c r="D69" i="1"/>
  <c r="D58" i="1"/>
  <c r="D64" i="1"/>
  <c r="D56" i="1"/>
  <c r="E56" i="1" s="1"/>
  <c r="D78" i="1"/>
  <c r="D57" i="1"/>
  <c r="D73" i="1"/>
  <c r="D70" i="1"/>
  <c r="E70" i="1" s="1"/>
  <c r="G323" i="1"/>
  <c r="F113" i="1"/>
  <c r="F271" i="1"/>
  <c r="F87" i="12"/>
  <c r="F67" i="12"/>
  <c r="F103" i="12"/>
  <c r="F99" i="12"/>
  <c r="E93" i="12"/>
  <c r="C80" i="12"/>
  <c r="F102" i="12"/>
  <c r="F104" i="12" s="1"/>
  <c r="F90" i="12"/>
  <c r="F92" i="12" s="1"/>
  <c r="F86" i="12"/>
  <c r="F66" i="12"/>
  <c r="F68" i="12" s="1"/>
  <c r="J40" i="12"/>
  <c r="G270" i="1"/>
  <c r="F324" i="1"/>
  <c r="G217" i="1"/>
  <c r="E9" i="7"/>
  <c r="I30" i="1"/>
  <c r="J30" i="1" s="1"/>
  <c r="F282" i="1"/>
  <c r="F229" i="1"/>
  <c r="D60" i="12"/>
  <c r="D110" i="12" s="1"/>
  <c r="F335" i="1"/>
  <c r="I53" i="2"/>
  <c r="I55" i="2" s="1"/>
  <c r="H25" i="11"/>
  <c r="J38" i="19"/>
  <c r="K37" i="19"/>
  <c r="D74" i="1"/>
  <c r="G105" i="12"/>
  <c r="B75" i="12"/>
  <c r="B81" i="12"/>
  <c r="G69" i="12"/>
  <c r="B98" i="12"/>
  <c r="F56" i="12"/>
  <c r="L55" i="12" s="1"/>
  <c r="F11" i="12"/>
  <c r="F98" i="12"/>
  <c r="F21" i="12"/>
  <c r="C68" i="12"/>
  <c r="H101" i="11"/>
  <c r="D105" i="12"/>
  <c r="D104" i="12"/>
  <c r="L54" i="12"/>
  <c r="I96" i="12"/>
  <c r="I72" i="12"/>
  <c r="L140" i="1"/>
  <c r="L142" i="1" s="1"/>
  <c r="T140" i="1"/>
  <c r="T142" i="1" s="1"/>
  <c r="AB140" i="1"/>
  <c r="AB142" i="1" s="1"/>
  <c r="M140" i="1"/>
  <c r="M142" i="1" s="1"/>
  <c r="U140" i="1"/>
  <c r="U142" i="1" s="1"/>
  <c r="AC140" i="1"/>
  <c r="AC142" i="1" s="1"/>
  <c r="W140" i="1"/>
  <c r="W142" i="1" s="1"/>
  <c r="P140" i="1"/>
  <c r="P142" i="1" s="1"/>
  <c r="I140" i="1"/>
  <c r="I142" i="1" s="1"/>
  <c r="Y140" i="1"/>
  <c r="Y142" i="1" s="1"/>
  <c r="G140" i="1"/>
  <c r="G142" i="1" s="1"/>
  <c r="R140" i="1"/>
  <c r="R142" i="1" s="1"/>
  <c r="K140" i="1"/>
  <c r="K142" i="1" s="1"/>
  <c r="N140" i="1"/>
  <c r="N142" i="1" s="1"/>
  <c r="V140" i="1"/>
  <c r="V142" i="1" s="1"/>
  <c r="AD140" i="1"/>
  <c r="AD142" i="1" s="1"/>
  <c r="O140" i="1"/>
  <c r="O142" i="1" s="1"/>
  <c r="AE140" i="1"/>
  <c r="AE142" i="1" s="1"/>
  <c r="H140" i="1"/>
  <c r="H142" i="1" s="1"/>
  <c r="AF140" i="1"/>
  <c r="AF142" i="1" s="1"/>
  <c r="Q140" i="1"/>
  <c r="Q142" i="1" s="1"/>
  <c r="J140" i="1"/>
  <c r="J142" i="1" s="1"/>
  <c r="S140" i="1"/>
  <c r="S142" i="1" s="1"/>
  <c r="AG140" i="1"/>
  <c r="AG142" i="1" s="1"/>
  <c r="X140" i="1"/>
  <c r="X142" i="1" s="1"/>
  <c r="Z140" i="1"/>
  <c r="Z142" i="1" s="1"/>
  <c r="AA140" i="1"/>
  <c r="AA142" i="1" s="1"/>
  <c r="G71" i="1"/>
  <c r="H71" i="1" s="1"/>
  <c r="I71" i="1" s="1"/>
  <c r="J71" i="1" s="1"/>
  <c r="K71" i="1" s="1"/>
  <c r="L71" i="1" s="1"/>
  <c r="M71" i="1" s="1"/>
  <c r="N71" i="1" s="1"/>
  <c r="O71" i="1" s="1"/>
  <c r="P71" i="1" s="1"/>
  <c r="Q71" i="1" s="1"/>
  <c r="R71" i="1" s="1"/>
  <c r="S71" i="1" s="1"/>
  <c r="T71" i="1" s="1"/>
  <c r="U71" i="1" s="1"/>
  <c r="V71" i="1" s="1"/>
  <c r="W71" i="1" s="1"/>
  <c r="X71" i="1" s="1"/>
  <c r="Y71" i="1" s="1"/>
  <c r="Z71" i="1" s="1"/>
  <c r="AA71" i="1" s="1"/>
  <c r="AB71" i="1" s="1"/>
  <c r="AC71" i="1" s="1"/>
  <c r="AD71" i="1" s="1"/>
  <c r="AE71" i="1" s="1"/>
  <c r="AF71" i="1" s="1"/>
  <c r="AG71" i="1" s="1"/>
  <c r="AH71" i="1" s="1"/>
  <c r="AI71" i="1" s="1"/>
  <c r="AJ71" i="1" s="1"/>
  <c r="I9" i="12"/>
  <c r="J9" i="12" s="1"/>
  <c r="B36" i="1"/>
  <c r="F39" i="1"/>
  <c r="B35" i="1"/>
  <c r="I8" i="12"/>
  <c r="J8" i="12" s="1"/>
  <c r="B40" i="1"/>
  <c r="D98" i="12"/>
  <c r="G104" i="12"/>
  <c r="G68" i="12"/>
  <c r="D29" i="11"/>
  <c r="C31" i="12" s="1"/>
  <c r="D9" i="11"/>
  <c r="D4" i="11"/>
  <c r="B87" i="12"/>
  <c r="B26" i="12"/>
  <c r="B61" i="12" s="1"/>
  <c r="D80" i="12"/>
  <c r="D93" i="12"/>
  <c r="E12" i="12"/>
  <c r="L19" i="12"/>
  <c r="D92" i="12"/>
  <c r="G26" i="12"/>
  <c r="G61" i="12" s="1"/>
  <c r="L9" i="12"/>
  <c r="C12" i="12"/>
  <c r="B105" i="12"/>
  <c r="C57" i="12"/>
  <c r="G98" i="12"/>
  <c r="D159" i="1"/>
  <c r="D162" i="1" s="1"/>
  <c r="E162" i="1" s="1"/>
  <c r="B104" i="12"/>
  <c r="D12" i="12"/>
  <c r="D74" i="12"/>
  <c r="C26" i="12"/>
  <c r="C61" i="12" s="1"/>
  <c r="B92" i="12"/>
  <c r="B93" i="12"/>
  <c r="C22" i="12"/>
  <c r="D57" i="12"/>
  <c r="C93" i="12"/>
  <c r="E26" i="12"/>
  <c r="E61" i="12" s="1"/>
  <c r="L56" i="12"/>
  <c r="E57" i="12"/>
  <c r="L11" i="12"/>
  <c r="K53" i="2"/>
  <c r="C56" i="1"/>
  <c r="F38" i="1"/>
  <c r="B34" i="1"/>
  <c r="B77" i="1"/>
  <c r="F77" i="1"/>
  <c r="I53" i="12" s="1"/>
  <c r="J53" i="12" s="1"/>
  <c r="I78" i="12"/>
  <c r="B66" i="1"/>
  <c r="F66" i="1"/>
  <c r="F220" i="1"/>
  <c r="F273" i="1"/>
  <c r="F95" i="1"/>
  <c r="F326" i="1"/>
  <c r="I90" i="1"/>
  <c r="H93" i="1"/>
  <c r="G113" i="1" s="1"/>
  <c r="G34" i="1"/>
  <c r="D50" i="2"/>
  <c r="D54" i="2" s="1"/>
  <c r="J31" i="1"/>
  <c r="I36" i="1"/>
  <c r="I40" i="1" s="1"/>
  <c r="H45" i="1"/>
  <c r="E81" i="12"/>
  <c r="E80" i="12"/>
  <c r="D22" i="12"/>
  <c r="L21" i="12"/>
  <c r="C104" i="12"/>
  <c r="D26" i="12"/>
  <c r="E68" i="12"/>
  <c r="E69" i="12"/>
  <c r="D69" i="12"/>
  <c r="D68" i="12"/>
  <c r="E105" i="12"/>
  <c r="E104" i="12"/>
  <c r="B68" i="12"/>
  <c r="B69" i="12"/>
  <c r="E22" i="12"/>
  <c r="F74" i="12" l="1"/>
  <c r="J37" i="1"/>
  <c r="I46" i="1"/>
  <c r="F121" i="1"/>
  <c r="F245" i="1" s="1"/>
  <c r="F246" i="1" s="1"/>
  <c r="E9" i="8"/>
  <c r="D6" i="1"/>
  <c r="E115" i="1" s="1"/>
  <c r="E5" i="1"/>
  <c r="G335" i="1"/>
  <c r="B70" i="1"/>
  <c r="F56" i="1"/>
  <c r="G56" i="1" s="1"/>
  <c r="H56" i="1" s="1"/>
  <c r="I56" i="1" s="1"/>
  <c r="J56" i="1" s="1"/>
  <c r="K56" i="1" s="1"/>
  <c r="L56" i="1" s="1"/>
  <c r="M56" i="1" s="1"/>
  <c r="N56" i="1" s="1"/>
  <c r="O56" i="1" s="1"/>
  <c r="P56" i="1" s="1"/>
  <c r="Q56" i="1" s="1"/>
  <c r="R56" i="1" s="1"/>
  <c r="S56" i="1" s="1"/>
  <c r="T56" i="1" s="1"/>
  <c r="U56" i="1" s="1"/>
  <c r="V56" i="1" s="1"/>
  <c r="W56" i="1" s="1"/>
  <c r="X56" i="1" s="1"/>
  <c r="Y56" i="1" s="1"/>
  <c r="Z56" i="1" s="1"/>
  <c r="AA56" i="1" s="1"/>
  <c r="AB56" i="1" s="1"/>
  <c r="AC56" i="1" s="1"/>
  <c r="AD56" i="1" s="1"/>
  <c r="AE56" i="1" s="1"/>
  <c r="AF56" i="1" s="1"/>
  <c r="AG56" i="1" s="1"/>
  <c r="AH56" i="1" s="1"/>
  <c r="AI56" i="1" s="1"/>
  <c r="AJ56" i="1" s="1"/>
  <c r="I35" i="1"/>
  <c r="I39" i="1" s="1"/>
  <c r="F69" i="12"/>
  <c r="F81" i="12"/>
  <c r="F80" i="12"/>
  <c r="F67" i="1"/>
  <c r="I43" i="12" s="1"/>
  <c r="J43" i="12" s="1"/>
  <c r="F342" i="1"/>
  <c r="F289" i="1"/>
  <c r="F236" i="1"/>
  <c r="E13" i="7"/>
  <c r="F105" i="12"/>
  <c r="F93" i="12"/>
  <c r="H53" i="2"/>
  <c r="G282" i="1"/>
  <c r="H282" i="1"/>
  <c r="G193" i="1"/>
  <c r="G229" i="1"/>
  <c r="D65" i="12"/>
  <c r="L37" i="19"/>
  <c r="K38" i="19"/>
  <c r="F22" i="12"/>
  <c r="F57" i="12"/>
  <c r="F26" i="12"/>
  <c r="L10" i="12"/>
  <c r="F12" i="12"/>
  <c r="B58" i="12"/>
  <c r="E58" i="12"/>
  <c r="L20" i="12"/>
  <c r="G236" i="1"/>
  <c r="F13" i="7"/>
  <c r="G289" i="1"/>
  <c r="G342" i="1"/>
  <c r="B56" i="1"/>
  <c r="E57" i="1"/>
  <c r="J35" i="1"/>
  <c r="J39" i="1" s="1"/>
  <c r="K30" i="1"/>
  <c r="B39" i="1"/>
  <c r="E58" i="1"/>
  <c r="C29" i="11"/>
  <c r="B31" i="12" s="1"/>
  <c r="C9" i="11"/>
  <c r="C5" i="12"/>
  <c r="C60" i="12"/>
  <c r="C58" i="12"/>
  <c r="C27" i="12"/>
  <c r="E27" i="12"/>
  <c r="L25" i="12" s="1"/>
  <c r="C62" i="12"/>
  <c r="E159" i="1"/>
  <c r="F41" i="1"/>
  <c r="E41" i="1" s="1"/>
  <c r="B14" i="7"/>
  <c r="B15" i="7" s="1"/>
  <c r="B7" i="7"/>
  <c r="F122" i="1"/>
  <c r="F272" i="1"/>
  <c r="F219" i="1"/>
  <c r="F97" i="1"/>
  <c r="F325" i="1"/>
  <c r="G66" i="1"/>
  <c r="H66" i="1" s="1"/>
  <c r="I66" i="1" s="1"/>
  <c r="J66" i="1" s="1"/>
  <c r="K66" i="1" s="1"/>
  <c r="L66" i="1" s="1"/>
  <c r="M66" i="1" s="1"/>
  <c r="N66" i="1" s="1"/>
  <c r="O66" i="1" s="1"/>
  <c r="P66" i="1" s="1"/>
  <c r="Q66" i="1" s="1"/>
  <c r="R66" i="1" s="1"/>
  <c r="S66" i="1" s="1"/>
  <c r="T66" i="1" s="1"/>
  <c r="U66" i="1" s="1"/>
  <c r="V66" i="1" s="1"/>
  <c r="W66" i="1" s="1"/>
  <c r="X66" i="1" s="1"/>
  <c r="Y66" i="1" s="1"/>
  <c r="Z66" i="1" s="1"/>
  <c r="AA66" i="1" s="1"/>
  <c r="AB66" i="1" s="1"/>
  <c r="AC66" i="1" s="1"/>
  <c r="AD66" i="1" s="1"/>
  <c r="AE66" i="1" s="1"/>
  <c r="AF66" i="1" s="1"/>
  <c r="AG66" i="1" s="1"/>
  <c r="AH66" i="1" s="1"/>
  <c r="AI66" i="1" s="1"/>
  <c r="AJ66" i="1" s="1"/>
  <c r="I42" i="12"/>
  <c r="J42" i="12" s="1"/>
  <c r="I45" i="1"/>
  <c r="J36" i="1"/>
  <c r="J40" i="1" s="1"/>
  <c r="K31" i="1"/>
  <c r="G38" i="1"/>
  <c r="G41" i="1" s="1"/>
  <c r="H323" i="1"/>
  <c r="H217" i="1"/>
  <c r="G91" i="1"/>
  <c r="G111" i="1" s="1"/>
  <c r="G340" i="1" s="1"/>
  <c r="H270" i="1"/>
  <c r="G77" i="1"/>
  <c r="H77" i="1" s="1"/>
  <c r="I77" i="1" s="1"/>
  <c r="J77" i="1" s="1"/>
  <c r="K77" i="1" s="1"/>
  <c r="L77" i="1" s="1"/>
  <c r="M77" i="1" s="1"/>
  <c r="N77" i="1" s="1"/>
  <c r="O77" i="1" s="1"/>
  <c r="P77" i="1" s="1"/>
  <c r="Q77" i="1" s="1"/>
  <c r="R77" i="1" s="1"/>
  <c r="S77" i="1" s="1"/>
  <c r="T77" i="1" s="1"/>
  <c r="U77" i="1" s="1"/>
  <c r="V77" i="1" s="1"/>
  <c r="W77" i="1" s="1"/>
  <c r="X77" i="1" s="1"/>
  <c r="Y77" i="1" s="1"/>
  <c r="Z77" i="1" s="1"/>
  <c r="AA77" i="1" s="1"/>
  <c r="AB77" i="1" s="1"/>
  <c r="AC77" i="1" s="1"/>
  <c r="AD77" i="1" s="1"/>
  <c r="AE77" i="1" s="1"/>
  <c r="AF77" i="1" s="1"/>
  <c r="AG77" i="1" s="1"/>
  <c r="AH77" i="1" s="1"/>
  <c r="AI77" i="1" s="1"/>
  <c r="AJ77" i="1" s="1"/>
  <c r="D55" i="2"/>
  <c r="C57" i="2"/>
  <c r="H28" i="1"/>
  <c r="H34" i="1"/>
  <c r="J90" i="1"/>
  <c r="B38" i="1"/>
  <c r="I10" i="12"/>
  <c r="J10" i="12" s="1"/>
  <c r="H218" i="1"/>
  <c r="H271" i="1"/>
  <c r="G9" i="7"/>
  <c r="H324" i="1"/>
  <c r="L27" i="12"/>
  <c r="D58" i="12"/>
  <c r="D61" i="12"/>
  <c r="D62" i="12" s="1"/>
  <c r="D27" i="12"/>
  <c r="E6" i="1" l="1"/>
  <c r="K37" i="1"/>
  <c r="J46" i="1"/>
  <c r="J106" i="1"/>
  <c r="K106" i="1" s="1"/>
  <c r="E196" i="1"/>
  <c r="E201" i="1" s="1"/>
  <c r="E206" i="1" s="1"/>
  <c r="E130" i="1"/>
  <c r="E143" i="1" s="1"/>
  <c r="B116" i="1"/>
  <c r="F70" i="1"/>
  <c r="I32" i="12"/>
  <c r="J32" i="12" s="1"/>
  <c r="G234" i="1"/>
  <c r="G287" i="1"/>
  <c r="B41" i="1"/>
  <c r="H229" i="1"/>
  <c r="F58" i="12"/>
  <c r="G67" i="1"/>
  <c r="H67" i="1" s="1"/>
  <c r="I67" i="1" s="1"/>
  <c r="J67" i="1" s="1"/>
  <c r="K67" i="1" s="1"/>
  <c r="L67" i="1" s="1"/>
  <c r="M67" i="1" s="1"/>
  <c r="N67" i="1" s="1"/>
  <c r="O67" i="1" s="1"/>
  <c r="P67" i="1" s="1"/>
  <c r="Q67" i="1" s="1"/>
  <c r="R67" i="1" s="1"/>
  <c r="S67" i="1" s="1"/>
  <c r="T67" i="1" s="1"/>
  <c r="U67" i="1" s="1"/>
  <c r="V67" i="1" s="1"/>
  <c r="W67" i="1" s="1"/>
  <c r="X67" i="1" s="1"/>
  <c r="Y67" i="1" s="1"/>
  <c r="Z67" i="1" s="1"/>
  <c r="AA67" i="1" s="1"/>
  <c r="AB67" i="1" s="1"/>
  <c r="AC67" i="1" s="1"/>
  <c r="AD67" i="1" s="1"/>
  <c r="AE67" i="1" s="1"/>
  <c r="AF67" i="1" s="1"/>
  <c r="AG67" i="1" s="1"/>
  <c r="AH67" i="1" s="1"/>
  <c r="AI67" i="1" s="1"/>
  <c r="AJ67" i="1" s="1"/>
  <c r="H335" i="1"/>
  <c r="H193" i="1"/>
  <c r="L26" i="12"/>
  <c r="M37" i="19"/>
  <c r="L38" i="19"/>
  <c r="D79" i="1"/>
  <c r="F58" i="1"/>
  <c r="I34" i="12" s="1"/>
  <c r="J34" i="12" s="1"/>
  <c r="F27" i="12"/>
  <c r="F61" i="12"/>
  <c r="L61" i="12" s="1"/>
  <c r="B58" i="1"/>
  <c r="D38" i="8"/>
  <c r="E239" i="1"/>
  <c r="G110" i="1"/>
  <c r="G339" i="1" s="1"/>
  <c r="K110" i="1"/>
  <c r="K339" i="1" s="1"/>
  <c r="O110" i="1"/>
  <c r="O339" i="1" s="1"/>
  <c r="S110" i="1"/>
  <c r="W110" i="1"/>
  <c r="AA110" i="1"/>
  <c r="AE110" i="1"/>
  <c r="AI110" i="1"/>
  <c r="N110" i="1"/>
  <c r="N339" i="1" s="1"/>
  <c r="Z110" i="1"/>
  <c r="H110" i="1"/>
  <c r="H339" i="1" s="1"/>
  <c r="L110" i="1"/>
  <c r="L339" i="1" s="1"/>
  <c r="P110" i="1"/>
  <c r="T110" i="1"/>
  <c r="X110" i="1"/>
  <c r="AB110" i="1"/>
  <c r="AF110" i="1"/>
  <c r="AJ110" i="1"/>
  <c r="R110" i="1"/>
  <c r="AD110" i="1"/>
  <c r="I110" i="1"/>
  <c r="M110" i="1"/>
  <c r="M339" i="1" s="1"/>
  <c r="Q110" i="1"/>
  <c r="U110" i="1"/>
  <c r="Y110" i="1"/>
  <c r="AC110" i="1"/>
  <c r="AG110" i="1"/>
  <c r="F110" i="1"/>
  <c r="F339" i="1" s="1"/>
  <c r="J110" i="1"/>
  <c r="V110" i="1"/>
  <c r="AH110" i="1"/>
  <c r="F39" i="19"/>
  <c r="F47" i="19" s="1"/>
  <c r="B57" i="1"/>
  <c r="K35" i="1"/>
  <c r="K39" i="1" s="1"/>
  <c r="L30" i="1"/>
  <c r="F57" i="1"/>
  <c r="G57" i="1" s="1"/>
  <c r="H57" i="1" s="1"/>
  <c r="I57" i="1" s="1"/>
  <c r="J57" i="1" s="1"/>
  <c r="K57" i="1" s="1"/>
  <c r="L57" i="1" s="1"/>
  <c r="M57" i="1" s="1"/>
  <c r="N57" i="1" s="1"/>
  <c r="O57" i="1" s="1"/>
  <c r="P57" i="1" s="1"/>
  <c r="Q57" i="1" s="1"/>
  <c r="R57" i="1" s="1"/>
  <c r="S57" i="1" s="1"/>
  <c r="T57" i="1" s="1"/>
  <c r="U57" i="1" s="1"/>
  <c r="V57" i="1" s="1"/>
  <c r="W57" i="1" s="1"/>
  <c r="X57" i="1" s="1"/>
  <c r="Y57" i="1" s="1"/>
  <c r="Z57" i="1" s="1"/>
  <c r="AA57" i="1" s="1"/>
  <c r="AB57" i="1" s="1"/>
  <c r="AC57" i="1" s="1"/>
  <c r="AD57" i="1" s="1"/>
  <c r="AE57" i="1" s="1"/>
  <c r="AF57" i="1" s="1"/>
  <c r="AG57" i="1" s="1"/>
  <c r="AH57" i="1" s="1"/>
  <c r="AI57" i="1" s="1"/>
  <c r="AJ57" i="1" s="1"/>
  <c r="C110" i="12"/>
  <c r="C65" i="12"/>
  <c r="B60" i="12"/>
  <c r="B5" i="12"/>
  <c r="I11" i="12"/>
  <c r="J11" i="12" s="1"/>
  <c r="H38" i="1"/>
  <c r="H41" i="1" s="1"/>
  <c r="K90" i="1"/>
  <c r="L90" i="1" s="1"/>
  <c r="I34" i="1"/>
  <c r="I28" i="1"/>
  <c r="J29" i="1"/>
  <c r="J45" i="1"/>
  <c r="F69" i="1"/>
  <c r="I45" i="12" s="1"/>
  <c r="J45" i="12" s="1"/>
  <c r="B69" i="1"/>
  <c r="D60" i="2"/>
  <c r="C58" i="2"/>
  <c r="C59" i="2" s="1"/>
  <c r="K36" i="1"/>
  <c r="K40" i="1" s="1"/>
  <c r="L31" i="1"/>
  <c r="F221" i="1"/>
  <c r="G92" i="1"/>
  <c r="F327" i="1"/>
  <c r="F274" i="1"/>
  <c r="E62" i="12"/>
  <c r="L60" i="12" s="1"/>
  <c r="L62" i="12"/>
  <c r="L37" i="1" l="1"/>
  <c r="K46" i="1"/>
  <c r="E132" i="1"/>
  <c r="I46" i="12"/>
  <c r="J46" i="12" s="1"/>
  <c r="G70" i="1"/>
  <c r="H70" i="1" s="1"/>
  <c r="I70" i="1" s="1"/>
  <c r="J70" i="1" s="1"/>
  <c r="K70" i="1" s="1"/>
  <c r="L70" i="1" s="1"/>
  <c r="M70" i="1" s="1"/>
  <c r="N70" i="1" s="1"/>
  <c r="O70" i="1" s="1"/>
  <c r="P70" i="1" s="1"/>
  <c r="Q70" i="1" s="1"/>
  <c r="R70" i="1" s="1"/>
  <c r="S70" i="1" s="1"/>
  <c r="T70" i="1" s="1"/>
  <c r="U70" i="1" s="1"/>
  <c r="V70" i="1" s="1"/>
  <c r="W70" i="1" s="1"/>
  <c r="X70" i="1" s="1"/>
  <c r="Y70" i="1" s="1"/>
  <c r="Z70" i="1" s="1"/>
  <c r="AA70" i="1" s="1"/>
  <c r="AB70" i="1" s="1"/>
  <c r="AC70" i="1" s="1"/>
  <c r="AD70" i="1" s="1"/>
  <c r="AE70" i="1" s="1"/>
  <c r="AF70" i="1" s="1"/>
  <c r="AG70" i="1" s="1"/>
  <c r="AH70" i="1" s="1"/>
  <c r="AI70" i="1" s="1"/>
  <c r="AJ70" i="1" s="1"/>
  <c r="K193" i="1"/>
  <c r="K335" i="1"/>
  <c r="I335" i="1"/>
  <c r="I282" i="1"/>
  <c r="I286" i="1"/>
  <c r="I339" i="1"/>
  <c r="J286" i="1"/>
  <c r="J339" i="1"/>
  <c r="G233" i="1"/>
  <c r="G286" i="1"/>
  <c r="H233" i="1"/>
  <c r="H286" i="1"/>
  <c r="F233" i="1"/>
  <c r="F286" i="1"/>
  <c r="J54" i="12"/>
  <c r="F62" i="12"/>
  <c r="D39" i="8"/>
  <c r="D40" i="8" s="1"/>
  <c r="D41" i="8" s="1"/>
  <c r="I193" i="1"/>
  <c r="N37" i="19"/>
  <c r="M38" i="19"/>
  <c r="G58" i="1"/>
  <c r="H58" i="1" s="1"/>
  <c r="I58" i="1" s="1"/>
  <c r="J58" i="1" s="1"/>
  <c r="K58" i="1" s="1"/>
  <c r="L58" i="1" s="1"/>
  <c r="M58" i="1" s="1"/>
  <c r="N58" i="1" s="1"/>
  <c r="O58" i="1" s="1"/>
  <c r="P58" i="1" s="1"/>
  <c r="Q58" i="1" s="1"/>
  <c r="R58" i="1" s="1"/>
  <c r="S58" i="1" s="1"/>
  <c r="T58" i="1" s="1"/>
  <c r="U58" i="1" s="1"/>
  <c r="V58" i="1" s="1"/>
  <c r="W58" i="1" s="1"/>
  <c r="X58" i="1" s="1"/>
  <c r="Y58" i="1" s="1"/>
  <c r="Z58" i="1" s="1"/>
  <c r="AA58" i="1" s="1"/>
  <c r="AB58" i="1" s="1"/>
  <c r="AC58" i="1" s="1"/>
  <c r="AD58" i="1" s="1"/>
  <c r="AE58" i="1" s="1"/>
  <c r="AF58" i="1" s="1"/>
  <c r="AG58" i="1" s="1"/>
  <c r="AH58" i="1" s="1"/>
  <c r="AI58" i="1" s="1"/>
  <c r="AJ58" i="1" s="1"/>
  <c r="I33" i="12"/>
  <c r="J33" i="12" s="1"/>
  <c r="E256" i="1"/>
  <c r="E292" i="1"/>
  <c r="F60" i="19"/>
  <c r="F77" i="19" s="1"/>
  <c r="F76" i="19"/>
  <c r="F57" i="19"/>
  <c r="F65" i="19" s="1"/>
  <c r="F56" i="19"/>
  <c r="F64" i="19"/>
  <c r="L35" i="1"/>
  <c r="L39" i="1" s="1"/>
  <c r="M30" i="1"/>
  <c r="B110" i="12"/>
  <c r="B65" i="12"/>
  <c r="G269" i="1"/>
  <c r="G322" i="1"/>
  <c r="G96" i="1"/>
  <c r="G94" i="1" s="1"/>
  <c r="G216" i="1"/>
  <c r="K45" i="1"/>
  <c r="M31" i="1"/>
  <c r="L36" i="1"/>
  <c r="L40" i="1" s="1"/>
  <c r="J28" i="1"/>
  <c r="K29" i="1"/>
  <c r="J34" i="1"/>
  <c r="J282" i="1"/>
  <c r="J335" i="1"/>
  <c r="J193" i="1"/>
  <c r="I38" i="1"/>
  <c r="I41" i="1" s="1"/>
  <c r="M90" i="1"/>
  <c r="G69" i="1"/>
  <c r="M37" i="1" l="1"/>
  <c r="L46" i="1"/>
  <c r="L106" i="1"/>
  <c r="M106" i="1" s="1"/>
  <c r="G324" i="1"/>
  <c r="G271" i="1"/>
  <c r="F9" i="7"/>
  <c r="G218" i="1"/>
  <c r="L193" i="1"/>
  <c r="L335" i="1"/>
  <c r="H48" i="8"/>
  <c r="I48" i="8"/>
  <c r="F48" i="8"/>
  <c r="G48" i="8"/>
  <c r="N38" i="19"/>
  <c r="O37" i="19"/>
  <c r="E345" i="1"/>
  <c r="F298" i="1"/>
  <c r="F299" i="1" s="1"/>
  <c r="E309" i="1"/>
  <c r="F32" i="19"/>
  <c r="F58" i="19"/>
  <c r="G53" i="19" s="1"/>
  <c r="G55" i="19" s="1"/>
  <c r="F22" i="19"/>
  <c r="F59" i="19"/>
  <c r="F69" i="19"/>
  <c r="F70" i="19" s="1"/>
  <c r="F78" i="19" s="1"/>
  <c r="F82" i="19" s="1"/>
  <c r="F89" i="19"/>
  <c r="F67" i="19"/>
  <c r="F66" i="19"/>
  <c r="G62" i="19" s="1"/>
  <c r="G63" i="19" s="1"/>
  <c r="M35" i="1"/>
  <c r="M39" i="1" s="1"/>
  <c r="N30" i="1"/>
  <c r="J38" i="1"/>
  <c r="J41" i="1" s="1"/>
  <c r="N90" i="1"/>
  <c r="K28" i="1"/>
  <c r="L29" i="1"/>
  <c r="K34" i="1"/>
  <c r="N31" i="1"/>
  <c r="M36" i="1"/>
  <c r="M40" i="1" s="1"/>
  <c r="H69" i="1"/>
  <c r="G326" i="1"/>
  <c r="G220" i="1"/>
  <c r="G273" i="1"/>
  <c r="G95" i="1"/>
  <c r="L45" i="1"/>
  <c r="M193" i="1" l="1"/>
  <c r="M335" i="1"/>
  <c r="N37" i="1"/>
  <c r="M46" i="1"/>
  <c r="P37" i="19"/>
  <c r="O38" i="19"/>
  <c r="F80" i="19"/>
  <c r="F351" i="1"/>
  <c r="F352" i="1" s="1"/>
  <c r="E362" i="1"/>
  <c r="F79" i="19"/>
  <c r="G74" i="19" s="1"/>
  <c r="G81" i="19" s="1"/>
  <c r="F96" i="19"/>
  <c r="F91" i="19"/>
  <c r="F90" i="19"/>
  <c r="O30" i="1"/>
  <c r="N35" i="1"/>
  <c r="N39" i="1" s="1"/>
  <c r="M45" i="1"/>
  <c r="I69" i="1"/>
  <c r="O31" i="1"/>
  <c r="N36" i="1"/>
  <c r="N40" i="1" s="1"/>
  <c r="O90" i="1"/>
  <c r="N93" i="1"/>
  <c r="G272" i="1"/>
  <c r="G325" i="1"/>
  <c r="G219" i="1"/>
  <c r="G97" i="1"/>
  <c r="F83" i="19"/>
  <c r="F84" i="19" s="1"/>
  <c r="F92" i="19"/>
  <c r="L28" i="1"/>
  <c r="M29" i="1"/>
  <c r="L34" i="1"/>
  <c r="K38" i="1"/>
  <c r="K41" i="1" s="1"/>
  <c r="O37" i="1" l="1"/>
  <c r="N46" i="1"/>
  <c r="N106" i="1"/>
  <c r="Q37" i="19"/>
  <c r="P38" i="19"/>
  <c r="G75" i="19"/>
  <c r="O35" i="1"/>
  <c r="O39" i="1" s="1"/>
  <c r="P30" i="1"/>
  <c r="L38" i="1"/>
  <c r="L41" i="1" s="1"/>
  <c r="G221" i="1"/>
  <c r="G274" i="1"/>
  <c r="G327" i="1"/>
  <c r="H92" i="1"/>
  <c r="P31" i="1"/>
  <c r="O36" i="1"/>
  <c r="O40" i="1" s="1"/>
  <c r="F85" i="19"/>
  <c r="F93" i="19" s="1"/>
  <c r="N323" i="1"/>
  <c r="M113" i="1"/>
  <c r="M342" i="1" s="1"/>
  <c r="J69" i="1"/>
  <c r="O93" i="1"/>
  <c r="P90" i="1"/>
  <c r="N45" i="1"/>
  <c r="N29" i="1"/>
  <c r="M34" i="1"/>
  <c r="M28" i="1"/>
  <c r="O106" i="1" l="1"/>
  <c r="N193" i="1"/>
  <c r="N335" i="1"/>
  <c r="P37" i="1"/>
  <c r="O46" i="1"/>
  <c r="Q54" i="19"/>
  <c r="Q74" i="19"/>
  <c r="Q53" i="19"/>
  <c r="R37" i="19"/>
  <c r="Q66" i="19"/>
  <c r="Q65" i="19"/>
  <c r="Q89" i="19" s="1"/>
  <c r="Q64" i="19"/>
  <c r="Q39" i="19"/>
  <c r="Q62" i="19"/>
  <c r="Q63" i="19" s="1"/>
  <c r="Q38" i="19"/>
  <c r="Q47" i="19"/>
  <c r="Q67" i="19"/>
  <c r="P35" i="1"/>
  <c r="P39" i="1" s="1"/>
  <c r="Q30" i="1"/>
  <c r="H216" i="1"/>
  <c r="H269" i="1"/>
  <c r="H322" i="1"/>
  <c r="H96" i="1"/>
  <c r="N34" i="1"/>
  <c r="N28" i="1"/>
  <c r="O29" i="1"/>
  <c r="N113" i="1"/>
  <c r="N342" i="1" s="1"/>
  <c r="O323" i="1"/>
  <c r="K69" i="1"/>
  <c r="P36" i="1"/>
  <c r="P40" i="1" s="1"/>
  <c r="Q31" i="1"/>
  <c r="O45" i="1"/>
  <c r="M38" i="1"/>
  <c r="M41" i="1" s="1"/>
  <c r="Q90" i="1"/>
  <c r="F97" i="19"/>
  <c r="F95" i="19"/>
  <c r="F94" i="19"/>
  <c r="N91" i="1"/>
  <c r="N111" i="1" s="1"/>
  <c r="N340" i="1" s="1"/>
  <c r="Q37" i="1" l="1"/>
  <c r="P46" i="1"/>
  <c r="O193" i="1"/>
  <c r="O335" i="1"/>
  <c r="Q90" i="19"/>
  <c r="Q93" i="19"/>
  <c r="Q94" i="19"/>
  <c r="Q104" i="19"/>
  <c r="Q100" i="19"/>
  <c r="Q95" i="19"/>
  <c r="Q96" i="19"/>
  <c r="Q92" i="19"/>
  <c r="Q98" i="19"/>
  <c r="Q97" i="19"/>
  <c r="Q91" i="19"/>
  <c r="Q99" i="19"/>
  <c r="R38" i="19"/>
  <c r="R74" i="19"/>
  <c r="S37" i="19"/>
  <c r="R54" i="19"/>
  <c r="R65" i="19"/>
  <c r="R89" i="19" s="1"/>
  <c r="R53" i="19"/>
  <c r="R47" i="19"/>
  <c r="R67" i="19"/>
  <c r="R66" i="19"/>
  <c r="R39" i="19"/>
  <c r="R64" i="19"/>
  <c r="R62" i="19"/>
  <c r="R63" i="19" s="1"/>
  <c r="Q57" i="19"/>
  <c r="Q60" i="19" s="1"/>
  <c r="Q77" i="19" s="1"/>
  <c r="Q55" i="19"/>
  <c r="Q59" i="19"/>
  <c r="Q70" i="19"/>
  <c r="Q58" i="19"/>
  <c r="Q69" i="19"/>
  <c r="Q56" i="19"/>
  <c r="Q22" i="19" s="1"/>
  <c r="Q82" i="19"/>
  <c r="Q76" i="19"/>
  <c r="Q83" i="19"/>
  <c r="Q85" i="19"/>
  <c r="Q84" i="19"/>
  <c r="Q79" i="19"/>
  <c r="Q80" i="19"/>
  <c r="Q75" i="19"/>
  <c r="Q78" i="19"/>
  <c r="Q81" i="19"/>
  <c r="Q40" i="19"/>
  <c r="Q19" i="19"/>
  <c r="Q41" i="19"/>
  <c r="Q42" i="19" s="1"/>
  <c r="Q35" i="1"/>
  <c r="Q39" i="1" s="1"/>
  <c r="R30" i="1"/>
  <c r="E48" i="8"/>
  <c r="F142" i="1"/>
  <c r="F98" i="19"/>
  <c r="F99" i="19" s="1"/>
  <c r="F100" i="19" s="1"/>
  <c r="F104" i="19" s="1"/>
  <c r="F21" i="19" s="1"/>
  <c r="F24" i="19" s="1"/>
  <c r="P45" i="1"/>
  <c r="Q36" i="1"/>
  <c r="Q40" i="1" s="1"/>
  <c r="R31" i="1"/>
  <c r="O34" i="1"/>
  <c r="O28" i="1"/>
  <c r="P29" i="1"/>
  <c r="R90" i="1"/>
  <c r="N38" i="1"/>
  <c r="N41" i="1" s="1"/>
  <c r="L69" i="1"/>
  <c r="H220" i="1"/>
  <c r="H326" i="1"/>
  <c r="H273" i="1"/>
  <c r="H95" i="1"/>
  <c r="R37" i="1" l="1"/>
  <c r="Q46" i="1"/>
  <c r="R40" i="19"/>
  <c r="R41" i="19"/>
  <c r="R42" i="19" s="1"/>
  <c r="R19" i="19"/>
  <c r="R83" i="19"/>
  <c r="R81" i="19"/>
  <c r="R79" i="19"/>
  <c r="R80" i="19"/>
  <c r="R78" i="19"/>
  <c r="R84" i="19"/>
  <c r="R82" i="19"/>
  <c r="R85" i="19"/>
  <c r="R76" i="19"/>
  <c r="R75" i="19"/>
  <c r="R91" i="19"/>
  <c r="R97" i="19"/>
  <c r="R93" i="19"/>
  <c r="R90" i="19"/>
  <c r="R99" i="19"/>
  <c r="R100" i="19"/>
  <c r="R104" i="19"/>
  <c r="R95" i="19"/>
  <c r="R94" i="19"/>
  <c r="R96" i="19"/>
  <c r="R98" i="19"/>
  <c r="R92" i="19"/>
  <c r="S65" i="19"/>
  <c r="S89" i="19" s="1"/>
  <c r="S38" i="19"/>
  <c r="S64" i="19"/>
  <c r="S62" i="19"/>
  <c r="S63" i="19" s="1"/>
  <c r="S54" i="19"/>
  <c r="S53" i="19"/>
  <c r="S67" i="19"/>
  <c r="S66" i="19"/>
  <c r="S74" i="19"/>
  <c r="T37" i="19"/>
  <c r="S39" i="19"/>
  <c r="S47" i="19"/>
  <c r="Q43" i="19"/>
  <c r="Q45" i="19"/>
  <c r="Q46" i="19" s="1"/>
  <c r="Q21" i="19"/>
  <c r="Q29" i="19" s="1"/>
  <c r="Q34" i="19"/>
  <c r="Q32" i="19"/>
  <c r="Q31" i="19"/>
  <c r="Q24" i="19"/>
  <c r="Q28" i="19"/>
  <c r="Q107" i="19"/>
  <c r="Q106" i="19"/>
  <c r="Q105" i="19"/>
  <c r="R58" i="19"/>
  <c r="R56" i="19"/>
  <c r="R22" i="19" s="1"/>
  <c r="R59" i="19"/>
  <c r="R70" i="19"/>
  <c r="R55" i="19"/>
  <c r="R57" i="19"/>
  <c r="R60" i="19" s="1"/>
  <c r="R77" i="19" s="1"/>
  <c r="R69" i="19"/>
  <c r="R35" i="1"/>
  <c r="R39" i="1" s="1"/>
  <c r="S30" i="1"/>
  <c r="S90" i="1"/>
  <c r="O38" i="1"/>
  <c r="O41" i="1" s="1"/>
  <c r="H219" i="1"/>
  <c r="H272" i="1"/>
  <c r="H325" i="1"/>
  <c r="H97" i="1"/>
  <c r="P28" i="1"/>
  <c r="P34" i="1"/>
  <c r="Q29" i="1"/>
  <c r="Q45" i="1"/>
  <c r="F105" i="19"/>
  <c r="F106" i="19" s="1"/>
  <c r="F107" i="19" s="1"/>
  <c r="M69" i="1"/>
  <c r="R36" i="1"/>
  <c r="R40" i="1" s="1"/>
  <c r="S31" i="1"/>
  <c r="S37" i="1" l="1"/>
  <c r="R46" i="1"/>
  <c r="S58" i="19"/>
  <c r="S59" i="19"/>
  <c r="S57" i="19"/>
  <c r="S60" i="19" s="1"/>
  <c r="S77" i="19" s="1"/>
  <c r="S70" i="19"/>
  <c r="S55" i="19"/>
  <c r="S56" i="19"/>
  <c r="S22" i="19" s="1"/>
  <c r="S69" i="19"/>
  <c r="Q30" i="19"/>
  <c r="S40" i="19"/>
  <c r="S19" i="19"/>
  <c r="S41" i="19"/>
  <c r="S42" i="19" s="1"/>
  <c r="R106" i="19"/>
  <c r="R105" i="19"/>
  <c r="R107" i="19"/>
  <c r="T39" i="19"/>
  <c r="T54" i="19"/>
  <c r="T53" i="19"/>
  <c r="T47" i="19"/>
  <c r="T66" i="19"/>
  <c r="T67" i="19"/>
  <c r="T65" i="19"/>
  <c r="T89" i="19" s="1"/>
  <c r="U37" i="19"/>
  <c r="T64" i="19"/>
  <c r="T38" i="19"/>
  <c r="T74" i="19"/>
  <c r="T62" i="19"/>
  <c r="T63" i="19" s="1"/>
  <c r="R21" i="19"/>
  <c r="R29" i="19" s="1"/>
  <c r="R32" i="19"/>
  <c r="R28" i="19"/>
  <c r="R34" i="19"/>
  <c r="R24" i="19"/>
  <c r="R31" i="19"/>
  <c r="S76" i="19"/>
  <c r="S80" i="19"/>
  <c r="S84" i="19"/>
  <c r="S81" i="19"/>
  <c r="S75" i="19"/>
  <c r="S85" i="19"/>
  <c r="S83" i="19"/>
  <c r="S82" i="19"/>
  <c r="S78" i="19"/>
  <c r="S79" i="19"/>
  <c r="S90" i="19"/>
  <c r="S98" i="19"/>
  <c r="S94" i="19"/>
  <c r="S104" i="19"/>
  <c r="S92" i="19"/>
  <c r="S91" i="19"/>
  <c r="S97" i="19"/>
  <c r="S96" i="19"/>
  <c r="S93" i="19"/>
  <c r="S100" i="19"/>
  <c r="S99" i="19"/>
  <c r="S95" i="19"/>
  <c r="R43" i="19"/>
  <c r="R45" i="19"/>
  <c r="R46" i="19" s="1"/>
  <c r="T30" i="1"/>
  <c r="S35" i="1"/>
  <c r="S39" i="1" s="1"/>
  <c r="F28" i="19"/>
  <c r="F34" i="19" s="1"/>
  <c r="Q28" i="1"/>
  <c r="Q34" i="1"/>
  <c r="R29" i="1"/>
  <c r="P38" i="1"/>
  <c r="P41" i="1" s="1"/>
  <c r="T31" i="1"/>
  <c r="S36" i="1"/>
  <c r="S40" i="1" s="1"/>
  <c r="N69" i="1"/>
  <c r="S93" i="1"/>
  <c r="T90" i="1"/>
  <c r="R45" i="1"/>
  <c r="H221" i="1"/>
  <c r="H238" i="1" s="1"/>
  <c r="H274" i="1"/>
  <c r="H327" i="1"/>
  <c r="I92" i="1"/>
  <c r="T37" i="1" l="1"/>
  <c r="S46" i="1"/>
  <c r="S105" i="19"/>
  <c r="S107" i="19"/>
  <c r="S106" i="19"/>
  <c r="T40" i="19"/>
  <c r="T41" i="19"/>
  <c r="T42" i="19" s="1"/>
  <c r="T19" i="19"/>
  <c r="R30" i="19"/>
  <c r="U38" i="19"/>
  <c r="U39" i="19"/>
  <c r="U66" i="19"/>
  <c r="U65" i="19"/>
  <c r="U89" i="19" s="1"/>
  <c r="U64" i="19"/>
  <c r="U62" i="19"/>
  <c r="U63" i="19" s="1"/>
  <c r="U67" i="19"/>
  <c r="U47" i="19"/>
  <c r="U53" i="19"/>
  <c r="U54" i="19"/>
  <c r="U74" i="19"/>
  <c r="T97" i="19"/>
  <c r="T91" i="19"/>
  <c r="T100" i="19"/>
  <c r="T94" i="19"/>
  <c r="T90" i="19"/>
  <c r="T93" i="19"/>
  <c r="T98" i="19"/>
  <c r="T96" i="19"/>
  <c r="T99" i="19"/>
  <c r="T92" i="19"/>
  <c r="T104" i="19"/>
  <c r="T95" i="19"/>
  <c r="S45" i="19"/>
  <c r="S46" i="19" s="1"/>
  <c r="S43" i="19"/>
  <c r="S31" i="19"/>
  <c r="S28" i="19"/>
  <c r="S21" i="19"/>
  <c r="S29" i="19" s="1"/>
  <c r="S24" i="19"/>
  <c r="S32" i="19"/>
  <c r="S34" i="19"/>
  <c r="T81" i="19"/>
  <c r="T84" i="19"/>
  <c r="T75" i="19"/>
  <c r="T83" i="19"/>
  <c r="T80" i="19"/>
  <c r="T82" i="19"/>
  <c r="T76" i="19"/>
  <c r="T79" i="19"/>
  <c r="T85" i="19"/>
  <c r="T78" i="19"/>
  <c r="T69" i="19"/>
  <c r="T55" i="19"/>
  <c r="T70" i="19"/>
  <c r="T59" i="19"/>
  <c r="T58" i="19"/>
  <c r="T56" i="19"/>
  <c r="T22" i="19" s="1"/>
  <c r="T57" i="19"/>
  <c r="T60" i="19" s="1"/>
  <c r="T77" i="19" s="1"/>
  <c r="U30" i="1"/>
  <c r="T35" i="1"/>
  <c r="T39" i="1" s="1"/>
  <c r="R113" i="1"/>
  <c r="O69" i="1"/>
  <c r="R34" i="1"/>
  <c r="S29" i="1"/>
  <c r="R28" i="1"/>
  <c r="Q38" i="1"/>
  <c r="Q41" i="1" s="1"/>
  <c r="I269" i="1"/>
  <c r="I322" i="1"/>
  <c r="S45" i="1"/>
  <c r="U31" i="1"/>
  <c r="T36" i="1"/>
  <c r="T40" i="1" s="1"/>
  <c r="T93" i="1"/>
  <c r="U90" i="1"/>
  <c r="U37" i="1" l="1"/>
  <c r="T46" i="1"/>
  <c r="S30" i="19"/>
  <c r="U55" i="19"/>
  <c r="U57" i="19"/>
  <c r="U60" i="19" s="1"/>
  <c r="U77" i="19" s="1"/>
  <c r="U59" i="19"/>
  <c r="U58" i="19"/>
  <c r="U69" i="19"/>
  <c r="U56" i="19"/>
  <c r="U22" i="19" s="1"/>
  <c r="U70" i="19"/>
  <c r="T107" i="19"/>
  <c r="T106" i="19"/>
  <c r="T105" i="19"/>
  <c r="T28" i="19"/>
  <c r="T34" i="19"/>
  <c r="T31" i="19"/>
  <c r="T21" i="19"/>
  <c r="T29" i="19" s="1"/>
  <c r="T32" i="19"/>
  <c r="T24" i="19"/>
  <c r="T43" i="19"/>
  <c r="T45" i="19"/>
  <c r="T46" i="19" s="1"/>
  <c r="U100" i="19"/>
  <c r="U99" i="19"/>
  <c r="U93" i="19"/>
  <c r="U91" i="19"/>
  <c r="U92" i="19"/>
  <c r="U95" i="19"/>
  <c r="U98" i="19"/>
  <c r="U90" i="19"/>
  <c r="U97" i="19"/>
  <c r="U96" i="19"/>
  <c r="U104" i="19"/>
  <c r="U94" i="19"/>
  <c r="U81" i="19"/>
  <c r="U80" i="19"/>
  <c r="U83" i="19"/>
  <c r="U78" i="19"/>
  <c r="U75" i="19"/>
  <c r="U82" i="19"/>
  <c r="U76" i="19"/>
  <c r="U84" i="19"/>
  <c r="U85" i="19"/>
  <c r="U79" i="19"/>
  <c r="U40" i="19"/>
  <c r="U19" i="19"/>
  <c r="U41" i="19"/>
  <c r="U42" i="19" s="1"/>
  <c r="S91" i="1"/>
  <c r="S111" i="1" s="1"/>
  <c r="V30" i="1"/>
  <c r="U35" i="1"/>
  <c r="U39" i="1" s="1"/>
  <c r="P69" i="1"/>
  <c r="S113" i="1"/>
  <c r="U36" i="1"/>
  <c r="U40" i="1" s="1"/>
  <c r="V31" i="1"/>
  <c r="V90" i="1"/>
  <c r="U93" i="1"/>
  <c r="T45" i="1"/>
  <c r="S34" i="1"/>
  <c r="T29" i="1"/>
  <c r="S28" i="1"/>
  <c r="R38" i="1"/>
  <c r="R41" i="1" s="1"/>
  <c r="V37" i="1" l="1"/>
  <c r="U46" i="1"/>
  <c r="U105" i="19"/>
  <c r="U106" i="19"/>
  <c r="U107" i="19"/>
  <c r="U43" i="19"/>
  <c r="U45" i="19"/>
  <c r="U46" i="19" s="1"/>
  <c r="T30" i="19"/>
  <c r="U24" i="19"/>
  <c r="U32" i="19"/>
  <c r="U34" i="19"/>
  <c r="U31" i="19"/>
  <c r="U21" i="19"/>
  <c r="U29" i="19" s="1"/>
  <c r="U28" i="19"/>
  <c r="V35" i="1"/>
  <c r="V39" i="1" s="1"/>
  <c r="W30" i="1"/>
  <c r="V36" i="1"/>
  <c r="V40" i="1" s="1"/>
  <c r="W31" i="1"/>
  <c r="W90" i="1"/>
  <c r="V93" i="1"/>
  <c r="U91" i="1" s="1"/>
  <c r="U111" i="1" s="1"/>
  <c r="T28" i="1"/>
  <c r="T34" i="1"/>
  <c r="U29" i="1"/>
  <c r="Q69" i="1"/>
  <c r="S38" i="1"/>
  <c r="S41" i="1" s="1"/>
  <c r="U45" i="1"/>
  <c r="T113" i="1"/>
  <c r="T91" i="1"/>
  <c r="T111" i="1" s="1"/>
  <c r="W37" i="1" l="1"/>
  <c r="V46" i="1"/>
  <c r="U30" i="19"/>
  <c r="X30" i="1"/>
  <c r="W35" i="1"/>
  <c r="W39" i="1" s="1"/>
  <c r="U113" i="1"/>
  <c r="T38" i="1"/>
  <c r="T41" i="1" s="1"/>
  <c r="W93" i="1"/>
  <c r="X90" i="1"/>
  <c r="V45" i="1"/>
  <c r="R69" i="1"/>
  <c r="U28" i="1"/>
  <c r="U34" i="1"/>
  <c r="V29" i="1"/>
  <c r="X31" i="1"/>
  <c r="W36" i="1"/>
  <c r="W40" i="1" s="1"/>
  <c r="X37" i="1" l="1"/>
  <c r="W46" i="1"/>
  <c r="Y30" i="1"/>
  <c r="X35" i="1"/>
  <c r="X39" i="1" s="1"/>
  <c r="W45" i="1"/>
  <c r="X93" i="1"/>
  <c r="Y90" i="1"/>
  <c r="Y31" i="1"/>
  <c r="X36" i="1"/>
  <c r="X40" i="1" s="1"/>
  <c r="S69" i="1"/>
  <c r="V113" i="1"/>
  <c r="V91" i="1"/>
  <c r="V111" i="1" s="1"/>
  <c r="U38" i="1"/>
  <c r="U41" i="1" s="1"/>
  <c r="V34" i="1"/>
  <c r="V28" i="1"/>
  <c r="W29" i="1"/>
  <c r="Y37" i="1" l="1"/>
  <c r="X46" i="1"/>
  <c r="W91" i="1"/>
  <c r="W111" i="1" s="1"/>
  <c r="Y35" i="1"/>
  <c r="Y39" i="1" s="1"/>
  <c r="Z30" i="1"/>
  <c r="T69" i="1"/>
  <c r="V38" i="1"/>
  <c r="V41" i="1" s="1"/>
  <c r="X45" i="1"/>
  <c r="Z31" i="1"/>
  <c r="Y36" i="1"/>
  <c r="Y40" i="1" s="1"/>
  <c r="Z90" i="1"/>
  <c r="Y93" i="1"/>
  <c r="W28" i="1"/>
  <c r="W34" i="1"/>
  <c r="X29" i="1"/>
  <c r="W113" i="1"/>
  <c r="Z37" i="1" l="1"/>
  <c r="Y46" i="1"/>
  <c r="X91" i="1"/>
  <c r="X111" i="1" s="1"/>
  <c r="AA30" i="1"/>
  <c r="Z35" i="1"/>
  <c r="Z39" i="1" s="1"/>
  <c r="Y45" i="1"/>
  <c r="U69" i="1"/>
  <c r="Z93" i="1"/>
  <c r="AA90" i="1"/>
  <c r="W38" i="1"/>
  <c r="W41" i="1" s="1"/>
  <c r="X28" i="1"/>
  <c r="X34" i="1"/>
  <c r="Y29" i="1"/>
  <c r="X113" i="1"/>
  <c r="Z36" i="1"/>
  <c r="Z40" i="1" s="1"/>
  <c r="AA31" i="1"/>
  <c r="AA37" i="1" l="1"/>
  <c r="Z46" i="1"/>
  <c r="Y91" i="1"/>
  <c r="Y111" i="1" s="1"/>
  <c r="AB30" i="1"/>
  <c r="AA35" i="1"/>
  <c r="AA39" i="1" s="1"/>
  <c r="AB31" i="1"/>
  <c r="AA36" i="1"/>
  <c r="AA40" i="1" s="1"/>
  <c r="Y34" i="1"/>
  <c r="Z29" i="1"/>
  <c r="Y28" i="1"/>
  <c r="AA93" i="1"/>
  <c r="AB90" i="1"/>
  <c r="Z45" i="1"/>
  <c r="X38" i="1"/>
  <c r="X41" i="1" s="1"/>
  <c r="Y113" i="1"/>
  <c r="V69" i="1"/>
  <c r="AB37" i="1" l="1"/>
  <c r="AA46" i="1"/>
  <c r="Z91" i="1"/>
  <c r="Z111" i="1" s="1"/>
  <c r="AC30" i="1"/>
  <c r="AB35" i="1"/>
  <c r="AB39" i="1" s="1"/>
  <c r="W69" i="1"/>
  <c r="AB93" i="1"/>
  <c r="AA91" i="1" s="1"/>
  <c r="AA111" i="1" s="1"/>
  <c r="AC90" i="1"/>
  <c r="AA45" i="1"/>
  <c r="Z113" i="1"/>
  <c r="Z34" i="1"/>
  <c r="Z28" i="1"/>
  <c r="AA29" i="1"/>
  <c r="AB36" i="1"/>
  <c r="AB40" i="1" s="1"/>
  <c r="AC31" i="1"/>
  <c r="Y38" i="1"/>
  <c r="Y41" i="1" s="1"/>
  <c r="AC37" i="1" l="1"/>
  <c r="AB46" i="1"/>
  <c r="AD30" i="1"/>
  <c r="AC35" i="1"/>
  <c r="AC39" i="1" s="1"/>
  <c r="AA28" i="1"/>
  <c r="AB29" i="1"/>
  <c r="AA34" i="1"/>
  <c r="AC93" i="1"/>
  <c r="AD90" i="1"/>
  <c r="AA113" i="1"/>
  <c r="AC36" i="1"/>
  <c r="AC40" i="1" s="1"/>
  <c r="AD31" i="1"/>
  <c r="Z38" i="1"/>
  <c r="Z41" i="1" s="1"/>
  <c r="AB45" i="1"/>
  <c r="X69" i="1"/>
  <c r="AD37" i="1" l="1"/>
  <c r="AC46" i="1"/>
  <c r="AD35" i="1"/>
  <c r="AD39" i="1" s="1"/>
  <c r="AE30" i="1"/>
  <c r="AC45" i="1"/>
  <c r="AD36" i="1"/>
  <c r="AD40" i="1" s="1"/>
  <c r="AE31" i="1"/>
  <c r="AB113" i="1"/>
  <c r="AA38" i="1"/>
  <c r="AA41" i="1" s="1"/>
  <c r="Y69" i="1"/>
  <c r="AB28" i="1"/>
  <c r="AC29" i="1"/>
  <c r="AB34" i="1"/>
  <c r="AB91" i="1"/>
  <c r="AB111" i="1" s="1"/>
  <c r="AD93" i="1"/>
  <c r="AE90" i="1"/>
  <c r="AE37" i="1" l="1"/>
  <c r="AD46" i="1"/>
  <c r="AE35" i="1"/>
  <c r="AE39" i="1" s="1"/>
  <c r="AF30" i="1"/>
  <c r="AB38" i="1"/>
  <c r="AB41" i="1" s="1"/>
  <c r="Z69" i="1"/>
  <c r="AC34" i="1"/>
  <c r="AC28" i="1"/>
  <c r="AD29" i="1"/>
  <c r="AF31" i="1"/>
  <c r="AE36" i="1"/>
  <c r="AE40" i="1" s="1"/>
  <c r="AF90" i="1"/>
  <c r="AE93" i="1"/>
  <c r="AC113" i="1"/>
  <c r="AC91" i="1"/>
  <c r="AC111" i="1" s="1"/>
  <c r="AD45" i="1"/>
  <c r="AF37" i="1" l="1"/>
  <c r="AE46" i="1"/>
  <c r="AG30" i="1"/>
  <c r="AF35" i="1"/>
  <c r="AF39" i="1" s="1"/>
  <c r="AC38" i="1"/>
  <c r="AC41" i="1" s="1"/>
  <c r="AD113" i="1"/>
  <c r="AG31" i="1"/>
  <c r="AF36" i="1"/>
  <c r="AF40" i="1" s="1"/>
  <c r="AA69" i="1"/>
  <c r="AE45" i="1"/>
  <c r="AD91" i="1"/>
  <c r="AD111" i="1" s="1"/>
  <c r="AF93" i="1"/>
  <c r="AG90" i="1"/>
  <c r="AD28" i="1"/>
  <c r="AD34" i="1"/>
  <c r="AE29" i="1"/>
  <c r="AG37" i="1" l="1"/>
  <c r="AF46" i="1"/>
  <c r="AH30" i="1"/>
  <c r="AG35" i="1"/>
  <c r="AG39" i="1" s="1"/>
  <c r="AE113" i="1"/>
  <c r="AB69" i="1"/>
  <c r="AE34" i="1"/>
  <c r="AE28" i="1"/>
  <c r="AF29" i="1"/>
  <c r="AF45" i="1"/>
  <c r="AD38" i="1"/>
  <c r="AD41" i="1" s="1"/>
  <c r="AH31" i="1"/>
  <c r="AI31" i="1" s="1"/>
  <c r="AG36" i="1"/>
  <c r="AG40" i="1" s="1"/>
  <c r="AH90" i="1"/>
  <c r="AI90" i="1" s="1"/>
  <c r="AG93" i="1"/>
  <c r="AE91" i="1"/>
  <c r="AE111" i="1" s="1"/>
  <c r="AH37" i="1" l="1"/>
  <c r="AG46" i="1"/>
  <c r="AI93" i="1"/>
  <c r="AJ90" i="1"/>
  <c r="AJ31" i="1"/>
  <c r="AJ36" i="1" s="1"/>
  <c r="AJ40" i="1" s="1"/>
  <c r="AI36" i="1"/>
  <c r="AI40" i="1" s="1"/>
  <c r="AI30" i="1"/>
  <c r="AH35" i="1"/>
  <c r="AH39" i="1" s="1"/>
  <c r="AE38" i="1"/>
  <c r="AE41" i="1" s="1"/>
  <c r="AF34" i="1"/>
  <c r="AG29" i="1"/>
  <c r="AF28" i="1"/>
  <c r="AH93" i="1"/>
  <c r="AG45" i="1"/>
  <c r="AC69" i="1"/>
  <c r="AF113" i="1"/>
  <c r="AH36" i="1"/>
  <c r="AH40" i="1" s="1"/>
  <c r="AF91" i="1"/>
  <c r="AF111" i="1" s="1"/>
  <c r="AI37" i="1" l="1"/>
  <c r="AH46" i="1"/>
  <c r="AG91" i="1"/>
  <c r="AG111" i="1" s="1"/>
  <c r="AI91" i="1"/>
  <c r="AI111" i="1" s="1"/>
  <c r="AI35" i="1"/>
  <c r="AI39" i="1" s="1"/>
  <c r="AJ30" i="1"/>
  <c r="AJ35" i="1" s="1"/>
  <c r="AJ39" i="1" s="1"/>
  <c r="AJ93" i="1"/>
  <c r="AH113" i="1" s="1"/>
  <c r="AH45" i="1"/>
  <c r="AI45" i="1" s="1"/>
  <c r="AG34" i="1"/>
  <c r="AH29" i="1"/>
  <c r="AI29" i="1" s="1"/>
  <c r="AG28" i="1"/>
  <c r="AD69" i="1"/>
  <c r="AG113" i="1"/>
  <c r="AF38" i="1"/>
  <c r="AF41" i="1" s="1"/>
  <c r="AJ37" i="1" l="1"/>
  <c r="AJ46" i="1" s="1"/>
  <c r="AI46" i="1"/>
  <c r="AJ91" i="1"/>
  <c r="AJ111" i="1" s="1"/>
  <c r="AH91" i="1"/>
  <c r="AH111" i="1" s="1"/>
  <c r="AJ29" i="1"/>
  <c r="AI28" i="1"/>
  <c r="AI34" i="1"/>
  <c r="AJ45" i="1"/>
  <c r="AH28" i="1"/>
  <c r="AH34" i="1"/>
  <c r="AE69" i="1"/>
  <c r="AG38" i="1"/>
  <c r="AG41" i="1" s="1"/>
  <c r="AI38" i="1" l="1"/>
  <c r="AI41" i="1" s="1"/>
  <c r="AJ28" i="1"/>
  <c r="AJ34" i="1"/>
  <c r="AJ38" i="1" s="1"/>
  <c r="AJ41" i="1" s="1"/>
  <c r="AH38" i="1"/>
  <c r="AH41" i="1" s="1"/>
  <c r="AF69" i="1"/>
  <c r="AG69" i="1" l="1"/>
  <c r="AH69" i="1" l="1"/>
  <c r="AI69" i="1" s="1"/>
  <c r="AJ69" i="1" l="1"/>
  <c r="D68" i="1" l="1"/>
  <c r="E68" i="1" s="1"/>
  <c r="D63" i="1"/>
  <c r="E63" i="1" s="1"/>
  <c r="D60" i="1"/>
  <c r="E60" i="1" s="1"/>
  <c r="D76" i="1"/>
  <c r="E76" i="1" s="1"/>
  <c r="D62" i="1"/>
  <c r="E62" i="1" s="1"/>
  <c r="D59" i="1"/>
  <c r="E59" i="1" s="1"/>
  <c r="D61" i="1"/>
  <c r="E61" i="1" s="1"/>
  <c r="F60" i="1" l="1"/>
  <c r="B60" i="1"/>
  <c r="F63" i="1"/>
  <c r="N55" i="1" s="1"/>
  <c r="D80" i="1"/>
  <c r="D83" i="1" s="1"/>
  <c r="D85" i="1" s="1"/>
  <c r="B59" i="1"/>
  <c r="B63" i="1"/>
  <c r="F68" i="1"/>
  <c r="F76" i="1"/>
  <c r="B76" i="1"/>
  <c r="F61" i="1"/>
  <c r="B61" i="1"/>
  <c r="B68" i="1"/>
  <c r="D81" i="1"/>
  <c r="F62" i="1"/>
  <c r="B62" i="1"/>
  <c r="F59" i="1"/>
  <c r="T43" i="1" l="1"/>
  <c r="F50" i="1"/>
  <c r="B46" i="1"/>
  <c r="Q43" i="1"/>
  <c r="I17" i="12"/>
  <c r="J51" i="12"/>
  <c r="I52" i="12"/>
  <c r="J52" i="12" s="1"/>
  <c r="L55" i="1"/>
  <c r="T55" i="1"/>
  <c r="L43" i="1"/>
  <c r="I39" i="12"/>
  <c r="I97" i="12" s="1"/>
  <c r="F43" i="1"/>
  <c r="G63" i="1"/>
  <c r="H63" i="1" s="1"/>
  <c r="I63" i="1" s="1"/>
  <c r="J63" i="1" s="1"/>
  <c r="K63" i="1" s="1"/>
  <c r="L63" i="1" s="1"/>
  <c r="M63" i="1" s="1"/>
  <c r="N63" i="1" s="1"/>
  <c r="O63" i="1" s="1"/>
  <c r="P63" i="1" s="1"/>
  <c r="Q63" i="1" s="1"/>
  <c r="R63" i="1" s="1"/>
  <c r="S63" i="1" s="1"/>
  <c r="T63" i="1" s="1"/>
  <c r="U63" i="1" s="1"/>
  <c r="V63" i="1" s="1"/>
  <c r="W63" i="1" s="1"/>
  <c r="X63" i="1" s="1"/>
  <c r="Y63" i="1" s="1"/>
  <c r="Z63" i="1" s="1"/>
  <c r="AA63" i="1" s="1"/>
  <c r="AB63" i="1" s="1"/>
  <c r="AC63" i="1" s="1"/>
  <c r="AD63" i="1" s="1"/>
  <c r="AE63" i="1" s="1"/>
  <c r="AF63" i="1" s="1"/>
  <c r="AG63" i="1" s="1"/>
  <c r="AH63" i="1" s="1"/>
  <c r="AI63" i="1" s="1"/>
  <c r="AJ63" i="1" s="1"/>
  <c r="F55" i="1"/>
  <c r="K55" i="1"/>
  <c r="I36" i="12"/>
  <c r="G60" i="1"/>
  <c r="K43" i="1"/>
  <c r="S55" i="1"/>
  <c r="G61" i="1"/>
  <c r="I37" i="12"/>
  <c r="I43" i="1"/>
  <c r="Q55" i="1"/>
  <c r="I55" i="1"/>
  <c r="G68" i="1"/>
  <c r="H68" i="1" s="1"/>
  <c r="I68" i="1" s="1"/>
  <c r="J68" i="1" s="1"/>
  <c r="K68" i="1" s="1"/>
  <c r="L68" i="1" s="1"/>
  <c r="M68" i="1" s="1"/>
  <c r="N68" i="1" s="1"/>
  <c r="O68" i="1" s="1"/>
  <c r="P68" i="1" s="1"/>
  <c r="Q68" i="1" s="1"/>
  <c r="R68" i="1" s="1"/>
  <c r="S68" i="1" s="1"/>
  <c r="T68" i="1" s="1"/>
  <c r="U68" i="1" s="1"/>
  <c r="V68" i="1" s="1"/>
  <c r="W68" i="1" s="1"/>
  <c r="X68" i="1" s="1"/>
  <c r="Y68" i="1" s="1"/>
  <c r="Z68" i="1" s="1"/>
  <c r="AA68" i="1" s="1"/>
  <c r="AB68" i="1" s="1"/>
  <c r="AC68" i="1" s="1"/>
  <c r="AD68" i="1" s="1"/>
  <c r="AE68" i="1" s="1"/>
  <c r="AF68" i="1" s="1"/>
  <c r="AG68" i="1" s="1"/>
  <c r="AH68" i="1" s="1"/>
  <c r="AI68" i="1" s="1"/>
  <c r="AJ68" i="1" s="1"/>
  <c r="I44" i="12"/>
  <c r="J44" i="12" s="1"/>
  <c r="G76" i="1"/>
  <c r="H76" i="1" s="1"/>
  <c r="I76" i="1" s="1"/>
  <c r="J76" i="1" s="1"/>
  <c r="K76" i="1" s="1"/>
  <c r="L76" i="1" s="1"/>
  <c r="M76" i="1" s="1"/>
  <c r="N76" i="1" s="1"/>
  <c r="O76" i="1" s="1"/>
  <c r="P76" i="1" s="1"/>
  <c r="Q76" i="1" s="1"/>
  <c r="R76" i="1" s="1"/>
  <c r="S76" i="1" s="1"/>
  <c r="T76" i="1" s="1"/>
  <c r="U76" i="1" s="1"/>
  <c r="V76" i="1" s="1"/>
  <c r="W76" i="1" s="1"/>
  <c r="X76" i="1" s="1"/>
  <c r="Y76" i="1" s="1"/>
  <c r="Z76" i="1" s="1"/>
  <c r="AA76" i="1" s="1"/>
  <c r="AB76" i="1" s="1"/>
  <c r="AC76" i="1" s="1"/>
  <c r="AD76" i="1" s="1"/>
  <c r="AE76" i="1" s="1"/>
  <c r="AF76" i="1" s="1"/>
  <c r="AG76" i="1" s="1"/>
  <c r="AH76" i="1" s="1"/>
  <c r="AI76" i="1" s="1"/>
  <c r="AJ76" i="1" s="1"/>
  <c r="J43" i="1"/>
  <c r="G59" i="1"/>
  <c r="I35" i="12"/>
  <c r="R55" i="1"/>
  <c r="J55" i="1"/>
  <c r="G62" i="1"/>
  <c r="H62" i="1" s="1"/>
  <c r="I62" i="1" s="1"/>
  <c r="J62" i="1" s="1"/>
  <c r="K62" i="1" s="1"/>
  <c r="L62" i="1" s="1"/>
  <c r="M62" i="1" s="1"/>
  <c r="N62" i="1" s="1"/>
  <c r="O62" i="1" s="1"/>
  <c r="P62" i="1" s="1"/>
  <c r="Q62" i="1" s="1"/>
  <c r="R62" i="1" s="1"/>
  <c r="S62" i="1" s="1"/>
  <c r="T62" i="1" s="1"/>
  <c r="U62" i="1" s="1"/>
  <c r="V62" i="1" s="1"/>
  <c r="W62" i="1" s="1"/>
  <c r="X62" i="1" s="1"/>
  <c r="Y62" i="1" s="1"/>
  <c r="Z62" i="1" s="1"/>
  <c r="AA62" i="1" s="1"/>
  <c r="AB62" i="1" s="1"/>
  <c r="AC62" i="1" s="1"/>
  <c r="AD62" i="1" s="1"/>
  <c r="AE62" i="1" s="1"/>
  <c r="AF62" i="1" s="1"/>
  <c r="AG62" i="1" s="1"/>
  <c r="AH62" i="1" s="1"/>
  <c r="AI62" i="1" s="1"/>
  <c r="AJ62" i="1" s="1"/>
  <c r="G43" i="1"/>
  <c r="G55" i="1"/>
  <c r="P55" i="1"/>
  <c r="H43" i="1"/>
  <c r="H55" i="1"/>
  <c r="I38" i="12"/>
  <c r="O55" i="1"/>
  <c r="I84" i="12" l="1"/>
  <c r="I66" i="12"/>
  <c r="I21" i="12"/>
  <c r="J17" i="12"/>
  <c r="E50" i="1"/>
  <c r="B50" i="1"/>
  <c r="F53" i="1"/>
  <c r="H61" i="1"/>
  <c r="I61" i="1" s="1"/>
  <c r="J61" i="1" s="1"/>
  <c r="K61" i="1" s="1"/>
  <c r="L61" i="1" s="1"/>
  <c r="M61" i="1" s="1"/>
  <c r="N61" i="1" s="1"/>
  <c r="O61" i="1" s="1"/>
  <c r="P61" i="1" s="1"/>
  <c r="Q61" i="1" s="1"/>
  <c r="R61" i="1" s="1"/>
  <c r="S61" i="1" s="1"/>
  <c r="T61" i="1" s="1"/>
  <c r="U61" i="1" s="1"/>
  <c r="V61" i="1" s="1"/>
  <c r="W61" i="1" s="1"/>
  <c r="X61" i="1" s="1"/>
  <c r="Y61" i="1" s="1"/>
  <c r="Z61" i="1" s="1"/>
  <c r="AA61" i="1" s="1"/>
  <c r="AB61" i="1" s="1"/>
  <c r="AC61" i="1" s="1"/>
  <c r="AD61" i="1" s="1"/>
  <c r="AE61" i="1" s="1"/>
  <c r="AF61" i="1" s="1"/>
  <c r="AG61" i="1" s="1"/>
  <c r="AH61" i="1" s="1"/>
  <c r="AI61" i="1" s="1"/>
  <c r="AJ61" i="1" s="1"/>
  <c r="H60" i="1"/>
  <c r="I60" i="1" s="1"/>
  <c r="J60" i="1" s="1"/>
  <c r="K60" i="1" s="1"/>
  <c r="L60" i="1" s="1"/>
  <c r="M60" i="1" s="1"/>
  <c r="N60" i="1" s="1"/>
  <c r="O60" i="1" s="1"/>
  <c r="P60" i="1" s="1"/>
  <c r="Q60" i="1" s="1"/>
  <c r="R60" i="1" s="1"/>
  <c r="S60" i="1" s="1"/>
  <c r="T60" i="1" s="1"/>
  <c r="U60" i="1" s="1"/>
  <c r="V60" i="1" s="1"/>
  <c r="W60" i="1" s="1"/>
  <c r="X60" i="1" s="1"/>
  <c r="Y60" i="1" s="1"/>
  <c r="Z60" i="1" s="1"/>
  <c r="AA60" i="1" s="1"/>
  <c r="AB60" i="1" s="1"/>
  <c r="AC60" i="1" s="1"/>
  <c r="AD60" i="1" s="1"/>
  <c r="AE60" i="1" s="1"/>
  <c r="AF60" i="1" s="1"/>
  <c r="AG60" i="1" s="1"/>
  <c r="AH60" i="1" s="1"/>
  <c r="AI60" i="1" s="1"/>
  <c r="AJ60" i="1" s="1"/>
  <c r="J39" i="12"/>
  <c r="J36" i="12"/>
  <c r="I79" i="12"/>
  <c r="I103" i="12"/>
  <c r="I91" i="12"/>
  <c r="J38" i="12"/>
  <c r="I98" i="12"/>
  <c r="I99" i="12"/>
  <c r="I73" i="12"/>
  <c r="J35" i="12"/>
  <c r="I67" i="12"/>
  <c r="H59" i="1"/>
  <c r="I85" i="12"/>
  <c r="J37" i="12"/>
  <c r="J53" i="11" l="1"/>
  <c r="H55" i="12" s="1"/>
  <c r="H56" i="12" s="1"/>
  <c r="H61" i="12" s="1"/>
  <c r="E4" i="7"/>
  <c r="F79" i="1"/>
  <c r="E52" i="1"/>
  <c r="E53" i="1" s="1"/>
  <c r="B53" i="1"/>
  <c r="F52" i="1"/>
  <c r="J21" i="12"/>
  <c r="I26" i="12"/>
  <c r="J26" i="12" s="1"/>
  <c r="G50" i="1"/>
  <c r="G53" i="1" s="1"/>
  <c r="I80" i="12"/>
  <c r="I81" i="12"/>
  <c r="I59" i="1"/>
  <c r="I75" i="12"/>
  <c r="I74" i="12"/>
  <c r="I93" i="12"/>
  <c r="I92" i="12"/>
  <c r="I87" i="12"/>
  <c r="I86" i="12"/>
  <c r="I69" i="12"/>
  <c r="I68" i="12"/>
  <c r="I105" i="12"/>
  <c r="I104" i="12"/>
  <c r="E79" i="1" l="1"/>
  <c r="B79" i="1" s="1"/>
  <c r="I55" i="12"/>
  <c r="I56" i="12" s="1"/>
  <c r="F80" i="1"/>
  <c r="G79" i="1"/>
  <c r="G80" i="1" s="1"/>
  <c r="F4" i="7"/>
  <c r="G52" i="1"/>
  <c r="H50" i="1"/>
  <c r="H53" i="1" s="1"/>
  <c r="J59" i="1"/>
  <c r="J55" i="12" l="1"/>
  <c r="E5" i="7"/>
  <c r="E6" i="7" s="1"/>
  <c r="E80" i="1"/>
  <c r="F83" i="1"/>
  <c r="F81" i="1"/>
  <c r="D163" i="1"/>
  <c r="I58" i="12"/>
  <c r="J56" i="12"/>
  <c r="I61" i="12"/>
  <c r="J61" i="12" s="1"/>
  <c r="H79" i="1"/>
  <c r="H80" i="1" s="1"/>
  <c r="H52" i="1"/>
  <c r="G4" i="7"/>
  <c r="I50" i="1"/>
  <c r="I53" i="1" s="1"/>
  <c r="G83" i="1"/>
  <c r="F5" i="7"/>
  <c r="F6" i="7" s="1"/>
  <c r="G81" i="1"/>
  <c r="K59" i="1"/>
  <c r="F85" i="1" l="1"/>
  <c r="F98" i="1"/>
  <c r="F99" i="1"/>
  <c r="E81" i="1"/>
  <c r="B80" i="1"/>
  <c r="E83" i="1"/>
  <c r="E85" i="1" s="1"/>
  <c r="B85" i="1" s="1"/>
  <c r="D164" i="1"/>
  <c r="E164" i="1" s="1"/>
  <c r="E165" i="1" s="1"/>
  <c r="D7" i="1" s="1"/>
  <c r="E163" i="1"/>
  <c r="E11" i="7"/>
  <c r="E14" i="7" s="1"/>
  <c r="E7" i="7"/>
  <c r="H4" i="7"/>
  <c r="I79" i="1"/>
  <c r="I80" i="1" s="1"/>
  <c r="I83" i="1" s="1"/>
  <c r="I52" i="1"/>
  <c r="G99" i="1"/>
  <c r="G85" i="1"/>
  <c r="G98" i="1"/>
  <c r="J50" i="1"/>
  <c r="J53" i="1" s="1"/>
  <c r="G5" i="7"/>
  <c r="G6" i="7" s="1"/>
  <c r="H81" i="1"/>
  <c r="F7" i="7"/>
  <c r="F11" i="7"/>
  <c r="F14" i="7" s="1"/>
  <c r="H83" i="1"/>
  <c r="L59" i="1"/>
  <c r="F104" i="1" l="1"/>
  <c r="F141" i="1"/>
  <c r="F87" i="1"/>
  <c r="F266" i="1"/>
  <c r="D8" i="1"/>
  <c r="F192" i="1"/>
  <c r="F88" i="1"/>
  <c r="D84" i="2"/>
  <c r="D85" i="2" s="1"/>
  <c r="F319" i="1"/>
  <c r="F102" i="1"/>
  <c r="I4" i="7"/>
  <c r="J79" i="1"/>
  <c r="J80" i="1" s="1"/>
  <c r="J52" i="1"/>
  <c r="H98" i="1"/>
  <c r="H85" i="1"/>
  <c r="H99" i="1"/>
  <c r="K50" i="1"/>
  <c r="K53" i="1" s="1"/>
  <c r="I85" i="1"/>
  <c r="I102" i="1" s="1"/>
  <c r="I81" i="1"/>
  <c r="H5" i="7"/>
  <c r="H6" i="7" s="1"/>
  <c r="G7" i="7"/>
  <c r="G11" i="7"/>
  <c r="G104" i="1"/>
  <c r="G102" i="1"/>
  <c r="G88" i="1"/>
  <c r="G141" i="1"/>
  <c r="G192" i="1"/>
  <c r="G266" i="1"/>
  <c r="G87" i="1"/>
  <c r="G319" i="1"/>
  <c r="M59" i="1"/>
  <c r="C86" i="1" l="1"/>
  <c r="F225" i="1"/>
  <c r="F103" i="1"/>
  <c r="F278" i="1"/>
  <c r="F331" i="1"/>
  <c r="F196" i="1"/>
  <c r="F201" i="1"/>
  <c r="F206" i="1"/>
  <c r="F213" i="1"/>
  <c r="H9" i="8"/>
  <c r="B8" i="7"/>
  <c r="F280" i="1"/>
  <c r="F292" i="1" s="1"/>
  <c r="F300" i="1" s="1"/>
  <c r="F333" i="1"/>
  <c r="F345" i="1" s="1"/>
  <c r="F353" i="1" s="1"/>
  <c r="F227" i="1"/>
  <c r="F239" i="1" s="1"/>
  <c r="F247" i="1" s="1"/>
  <c r="F115" i="1"/>
  <c r="I192" i="1"/>
  <c r="I206" i="1" s="1"/>
  <c r="I87" i="1"/>
  <c r="G227" i="1"/>
  <c r="G239" i="1" s="1"/>
  <c r="G333" i="1"/>
  <c r="G345" i="1" s="1"/>
  <c r="G280" i="1"/>
  <c r="G292" i="1" s="1"/>
  <c r="G115" i="1"/>
  <c r="G331" i="1"/>
  <c r="G225" i="1"/>
  <c r="G103" i="1"/>
  <c r="G278" i="1"/>
  <c r="I88" i="1"/>
  <c r="L50" i="1"/>
  <c r="L53" i="1" s="1"/>
  <c r="L79" i="1" s="1"/>
  <c r="L80" i="1" s="1"/>
  <c r="L83" i="1" s="1"/>
  <c r="L85" i="1" s="1"/>
  <c r="I319" i="1"/>
  <c r="H7" i="7"/>
  <c r="K79" i="1"/>
  <c r="K80" i="1" s="1"/>
  <c r="K52" i="1"/>
  <c r="J4" i="7"/>
  <c r="I266" i="1"/>
  <c r="H266" i="1"/>
  <c r="H319" i="1"/>
  <c r="H104" i="1"/>
  <c r="H192" i="1"/>
  <c r="H88" i="1"/>
  <c r="H87" i="1"/>
  <c r="H141" i="1"/>
  <c r="H102" i="1"/>
  <c r="I93" i="1" s="1"/>
  <c r="G196" i="1"/>
  <c r="G206" i="1"/>
  <c r="G213" i="1"/>
  <c r="G201" i="1"/>
  <c r="J83" i="1"/>
  <c r="I5" i="7"/>
  <c r="I6" i="7" s="1"/>
  <c r="J81" i="1"/>
  <c r="N59" i="1"/>
  <c r="I331" i="1"/>
  <c r="I103" i="1"/>
  <c r="I278" i="1"/>
  <c r="F249" i="1" l="1"/>
  <c r="F248" i="1"/>
  <c r="F302" i="1"/>
  <c r="F301" i="1"/>
  <c r="G298" i="1" s="1"/>
  <c r="G299" i="1" s="1"/>
  <c r="F116" i="1"/>
  <c r="C25" i="1" s="1"/>
  <c r="F123" i="1"/>
  <c r="G39" i="19"/>
  <c r="F355" i="1"/>
  <c r="F354" i="1"/>
  <c r="G351" i="1" s="1"/>
  <c r="G352" i="1" s="1"/>
  <c r="I201" i="1"/>
  <c r="I323" i="1"/>
  <c r="H113" i="1"/>
  <c r="I270" i="1"/>
  <c r="H91" i="1"/>
  <c r="I96" i="1"/>
  <c r="K81" i="1"/>
  <c r="J5" i="7"/>
  <c r="J6" i="7" s="1"/>
  <c r="J7" i="7" s="1"/>
  <c r="M50" i="1"/>
  <c r="M53" i="1" s="1"/>
  <c r="M79" i="1" s="1"/>
  <c r="M80" i="1" s="1"/>
  <c r="M83" i="1" s="1"/>
  <c r="M85" i="1" s="1"/>
  <c r="H280" i="1"/>
  <c r="H227" i="1"/>
  <c r="H333" i="1"/>
  <c r="H206" i="1"/>
  <c r="H195" i="1"/>
  <c r="H196" i="1" s="1"/>
  <c r="E197" i="1" s="1"/>
  <c r="D169" i="1" s="1"/>
  <c r="E20" i="1" s="1"/>
  <c r="H201" i="1"/>
  <c r="H213" i="1"/>
  <c r="H237" i="1" s="1"/>
  <c r="K83" i="1"/>
  <c r="K85" i="1" s="1"/>
  <c r="K87" i="1" s="1"/>
  <c r="G116" i="1"/>
  <c r="H39" i="19"/>
  <c r="H103" i="1"/>
  <c r="E26" i="1" s="1"/>
  <c r="H225" i="1"/>
  <c r="H331" i="1"/>
  <c r="H278" i="1"/>
  <c r="I7" i="7"/>
  <c r="J85" i="1"/>
  <c r="O59" i="1"/>
  <c r="L102" i="1"/>
  <c r="L87" i="1"/>
  <c r="L319" i="1"/>
  <c r="L192" i="1"/>
  <c r="L206" i="1" s="1"/>
  <c r="G117" i="1" l="1"/>
  <c r="G40" i="19"/>
  <c r="G19" i="19"/>
  <c r="H19" i="19" s="1"/>
  <c r="G41" i="19"/>
  <c r="G42" i="19" s="1"/>
  <c r="F358" i="1"/>
  <c r="F361" i="1" s="1"/>
  <c r="F357" i="1"/>
  <c r="F360" i="1" s="1"/>
  <c r="F362" i="1" s="1"/>
  <c r="F125" i="1"/>
  <c r="F124" i="1"/>
  <c r="G121" i="1" s="1"/>
  <c r="F305" i="1"/>
  <c r="F308" i="1" s="1"/>
  <c r="F304" i="1"/>
  <c r="F307" i="1" s="1"/>
  <c r="F309" i="1" s="1"/>
  <c r="G300" i="1"/>
  <c r="G302" i="1" s="1"/>
  <c r="G304" i="1" s="1"/>
  <c r="G307" i="1" s="1"/>
  <c r="G309" i="1" s="1"/>
  <c r="G353" i="1"/>
  <c r="G354" i="1" s="1"/>
  <c r="H351" i="1" s="1"/>
  <c r="H352" i="1" s="1"/>
  <c r="F251" i="1"/>
  <c r="F254" i="1" s="1"/>
  <c r="F256" i="1" s="1"/>
  <c r="F252" i="1"/>
  <c r="F255" i="1" s="1"/>
  <c r="I326" i="1"/>
  <c r="I273" i="1"/>
  <c r="I141" i="1"/>
  <c r="G13" i="7"/>
  <c r="G14" i="7" s="1"/>
  <c r="H236" i="1"/>
  <c r="H342" i="1"/>
  <c r="H289" i="1"/>
  <c r="K88" i="1"/>
  <c r="H41" i="19"/>
  <c r="H42" i="19" s="1"/>
  <c r="H40" i="19"/>
  <c r="J192" i="1"/>
  <c r="J102" i="1"/>
  <c r="J87" i="1"/>
  <c r="C23" i="1" s="1"/>
  <c r="J88" i="1"/>
  <c r="J266" i="1"/>
  <c r="J290" i="1" s="1"/>
  <c r="J319" i="1"/>
  <c r="K102" i="1"/>
  <c r="K319" i="1"/>
  <c r="K192" i="1"/>
  <c r="K206" i="1" s="1"/>
  <c r="L88" i="1"/>
  <c r="N50" i="1"/>
  <c r="N53" i="1" s="1"/>
  <c r="N79" i="1" s="1"/>
  <c r="N80" i="1" s="1"/>
  <c r="N83" i="1" s="1"/>
  <c r="N85" i="1" s="1"/>
  <c r="P59" i="1"/>
  <c r="M192" i="1"/>
  <c r="M206" i="1" s="1"/>
  <c r="M319" i="1"/>
  <c r="M102" i="1"/>
  <c r="M87" i="1"/>
  <c r="M88" i="1"/>
  <c r="L103" i="1"/>
  <c r="L331" i="1"/>
  <c r="G301" i="1" l="1"/>
  <c r="H298" i="1" s="1"/>
  <c r="H299" i="1" s="1"/>
  <c r="G305" i="1"/>
  <c r="G308" i="1" s="1"/>
  <c r="G355" i="1"/>
  <c r="G358" i="1" s="1"/>
  <c r="G361" i="1" s="1"/>
  <c r="F127" i="1"/>
  <c r="F130" i="1" s="1"/>
  <c r="F128" i="1"/>
  <c r="F131" i="1" s="1"/>
  <c r="G122" i="1"/>
  <c r="G123" i="1" s="1"/>
  <c r="G125" i="1" s="1"/>
  <c r="G245" i="1"/>
  <c r="G45" i="19"/>
  <c r="G46" i="19" s="1"/>
  <c r="G43" i="19"/>
  <c r="G31" i="19"/>
  <c r="K331" i="1"/>
  <c r="K103" i="1"/>
  <c r="O50" i="1"/>
  <c r="O53" i="1" s="1"/>
  <c r="O79" i="1" s="1"/>
  <c r="O80" i="1" s="1"/>
  <c r="O83" i="1" s="1"/>
  <c r="O85" i="1" s="1"/>
  <c r="J331" i="1"/>
  <c r="B34" i="8"/>
  <c r="C34" i="8" s="1"/>
  <c r="J278" i="1"/>
  <c r="J103" i="1"/>
  <c r="F26" i="1" s="1"/>
  <c r="J206" i="1"/>
  <c r="J200" i="1"/>
  <c r="J201" i="1" s="1"/>
  <c r="E202" i="1" s="1"/>
  <c r="E169" i="1" s="1"/>
  <c r="F20" i="1" s="1"/>
  <c r="H31" i="19"/>
  <c r="H43" i="19"/>
  <c r="H45" i="19"/>
  <c r="H46" i="19" s="1"/>
  <c r="N192" i="1"/>
  <c r="N206" i="1" s="1"/>
  <c r="N319" i="1"/>
  <c r="N102" i="1"/>
  <c r="Q59" i="1"/>
  <c r="M331" i="1"/>
  <c r="M103" i="1"/>
  <c r="G357" i="1" l="1"/>
  <c r="G360" i="1" s="1"/>
  <c r="G362" i="1" s="1"/>
  <c r="G47" i="19"/>
  <c r="G56" i="19" s="1"/>
  <c r="G32" i="19" s="1"/>
  <c r="G127" i="1"/>
  <c r="G130" i="1" s="1"/>
  <c r="G128" i="1"/>
  <c r="G131" i="1" s="1"/>
  <c r="G246" i="1"/>
  <c r="G247" i="1" s="1"/>
  <c r="G249" i="1" s="1"/>
  <c r="G124" i="1"/>
  <c r="H121" i="1" s="1"/>
  <c r="F143" i="1"/>
  <c r="F132" i="1"/>
  <c r="E16" i="7"/>
  <c r="E17" i="7" s="1"/>
  <c r="E46" i="8" s="1"/>
  <c r="E45" i="8" s="1"/>
  <c r="F133" i="1"/>
  <c r="P50" i="1"/>
  <c r="P53" i="1" s="1"/>
  <c r="P79" i="1" s="1"/>
  <c r="P80" i="1" s="1"/>
  <c r="P83" i="1" s="1"/>
  <c r="P85" i="1" s="1"/>
  <c r="H47" i="19"/>
  <c r="H64" i="19" s="1"/>
  <c r="O102" i="1"/>
  <c r="O192" i="1"/>
  <c r="O319" i="1"/>
  <c r="O343" i="1" s="1"/>
  <c r="N103" i="1"/>
  <c r="N331" i="1"/>
  <c r="R59" i="1"/>
  <c r="G76" i="19" l="1"/>
  <c r="G57" i="19"/>
  <c r="G65" i="19" s="1"/>
  <c r="G89" i="19" s="1"/>
  <c r="G64" i="19"/>
  <c r="G60" i="19"/>
  <c r="G77" i="19" s="1"/>
  <c r="G248" i="1"/>
  <c r="G252" i="1"/>
  <c r="G255" i="1" s="1"/>
  <c r="G251" i="1"/>
  <c r="G254" i="1" s="1"/>
  <c r="G256" i="1" s="1"/>
  <c r="G132" i="1"/>
  <c r="G133" i="1"/>
  <c r="G134" i="1" s="1"/>
  <c r="G143" i="1"/>
  <c r="F16" i="7"/>
  <c r="F17" i="7" s="1"/>
  <c r="F46" i="8" s="1"/>
  <c r="F45" i="8" s="1"/>
  <c r="H122" i="1"/>
  <c r="H245" i="1"/>
  <c r="H246" i="1" s="1"/>
  <c r="G22" i="19"/>
  <c r="Q50" i="1"/>
  <c r="Q53" i="1" s="1"/>
  <c r="Q79" i="1" s="1"/>
  <c r="Q80" i="1" s="1"/>
  <c r="Q83" i="1" s="1"/>
  <c r="Q85" i="1" s="1"/>
  <c r="P102" i="1"/>
  <c r="S59" i="1"/>
  <c r="O205" i="1"/>
  <c r="O206" i="1" s="1"/>
  <c r="H26" i="1"/>
  <c r="I26" i="1" s="1"/>
  <c r="O103" i="1"/>
  <c r="G26" i="1" s="1"/>
  <c r="O331" i="1"/>
  <c r="P42" i="19"/>
  <c r="P43" i="19" s="1"/>
  <c r="P45" i="19"/>
  <c r="P46" i="19"/>
  <c r="G58" i="19" l="1"/>
  <c r="H53" i="19" s="1"/>
  <c r="H55" i="19" s="1"/>
  <c r="H57" i="19" s="1"/>
  <c r="H60" i="19" s="1"/>
  <c r="G67" i="19"/>
  <c r="G66" i="19"/>
  <c r="H62" i="19" s="1"/>
  <c r="H63" i="19" s="1"/>
  <c r="G59" i="19"/>
  <c r="G69" i="19"/>
  <c r="G70" i="19" s="1"/>
  <c r="G78" i="19" s="1"/>
  <c r="G82" i="19" s="1"/>
  <c r="G54" i="19"/>
  <c r="G91" i="19"/>
  <c r="G96" i="19"/>
  <c r="G90" i="19"/>
  <c r="R50" i="1"/>
  <c r="R53" i="1" s="1"/>
  <c r="R79" i="1" s="1"/>
  <c r="R80" i="1" s="1"/>
  <c r="R83" i="1" s="1"/>
  <c r="R85" i="1" s="1"/>
  <c r="E207" i="1"/>
  <c r="F169" i="1" s="1"/>
  <c r="G20" i="1" s="1"/>
  <c r="P103" i="1"/>
  <c r="Q102" i="1"/>
  <c r="T59" i="1"/>
  <c r="H56" i="19" l="1"/>
  <c r="H22" i="19" s="1"/>
  <c r="H65" i="19"/>
  <c r="H66" i="19" s="1"/>
  <c r="I62" i="19" s="1"/>
  <c r="I63" i="19" s="1"/>
  <c r="G79" i="19"/>
  <c r="H74" i="19" s="1"/>
  <c r="H75" i="19" s="1"/>
  <c r="G92" i="19"/>
  <c r="G83" i="19"/>
  <c r="G84" i="19" s="1"/>
  <c r="G85" i="19" s="1"/>
  <c r="G80" i="19"/>
  <c r="I94" i="1"/>
  <c r="H111" i="1"/>
  <c r="S50" i="1"/>
  <c r="S53" i="1" s="1"/>
  <c r="S79" i="1" s="1"/>
  <c r="S80" i="1" s="1"/>
  <c r="S83" i="1" s="1"/>
  <c r="S85" i="1" s="1"/>
  <c r="H77" i="19"/>
  <c r="H54" i="19"/>
  <c r="Q103" i="1"/>
  <c r="R102" i="1"/>
  <c r="R103" i="1" s="1"/>
  <c r="U59" i="1"/>
  <c r="H59" i="19" l="1"/>
  <c r="H58" i="19"/>
  <c r="I53" i="19" s="1"/>
  <c r="I55" i="19" s="1"/>
  <c r="H32" i="19"/>
  <c r="H69" i="19"/>
  <c r="H70" i="19" s="1"/>
  <c r="H78" i="19" s="1"/>
  <c r="H82" i="19" s="1"/>
  <c r="H83" i="19" s="1"/>
  <c r="H67" i="19"/>
  <c r="G93" i="19"/>
  <c r="G97" i="19" s="1"/>
  <c r="G98" i="19" s="1"/>
  <c r="G99" i="19" s="1"/>
  <c r="G100" i="19" s="1"/>
  <c r="G104" i="19" s="1"/>
  <c r="G105" i="19" s="1"/>
  <c r="G106" i="19" s="1"/>
  <c r="G107" i="19" s="1"/>
  <c r="H81" i="19"/>
  <c r="H76" i="19"/>
  <c r="H340" i="1"/>
  <c r="H345" i="1" s="1"/>
  <c r="H234" i="1"/>
  <c r="H239" i="1" s="1"/>
  <c r="H287" i="1"/>
  <c r="H292" i="1" s="1"/>
  <c r="H115" i="1"/>
  <c r="I95" i="1"/>
  <c r="I271" i="1"/>
  <c r="I324" i="1"/>
  <c r="H9" i="7"/>
  <c r="H11" i="7" s="1"/>
  <c r="I99" i="1"/>
  <c r="I98" i="1"/>
  <c r="I104" i="1"/>
  <c r="T50" i="1"/>
  <c r="T53" i="1" s="1"/>
  <c r="T79" i="1" s="1"/>
  <c r="T80" i="1" s="1"/>
  <c r="T83" i="1" s="1"/>
  <c r="T85" i="1" s="1"/>
  <c r="V59" i="1"/>
  <c r="S102" i="1"/>
  <c r="S103" i="1" s="1"/>
  <c r="G21" i="19" l="1"/>
  <c r="G24" i="19" s="1"/>
  <c r="G95" i="19"/>
  <c r="G94" i="19"/>
  <c r="H89" i="19" s="1"/>
  <c r="H91" i="19" s="1"/>
  <c r="I333" i="1"/>
  <c r="I280" i="1"/>
  <c r="I325" i="1"/>
  <c r="I272" i="1"/>
  <c r="I97" i="1"/>
  <c r="H123" i="1"/>
  <c r="H124" i="1" s="1"/>
  <c r="I121" i="1" s="1"/>
  <c r="H116" i="1"/>
  <c r="H117" i="1" s="1"/>
  <c r="I39" i="19"/>
  <c r="H300" i="1"/>
  <c r="H301" i="1" s="1"/>
  <c r="I298" i="1" s="1"/>
  <c r="I299" i="1" s="1"/>
  <c r="E241" i="1"/>
  <c r="D170" i="1" s="1"/>
  <c r="E21" i="1" s="1"/>
  <c r="H247" i="1"/>
  <c r="H248" i="1" s="1"/>
  <c r="H353" i="1"/>
  <c r="H354" i="1" s="1"/>
  <c r="I351" i="1" s="1"/>
  <c r="I352" i="1" s="1"/>
  <c r="H80" i="19"/>
  <c r="H79" i="19"/>
  <c r="I74" i="19" s="1"/>
  <c r="I75" i="19" s="1"/>
  <c r="H84" i="19"/>
  <c r="H85" i="19" s="1"/>
  <c r="U50" i="1"/>
  <c r="U53" i="1" s="1"/>
  <c r="U79" i="1" s="1"/>
  <c r="U80" i="1" s="1"/>
  <c r="U83" i="1" s="1"/>
  <c r="U85" i="1" s="1"/>
  <c r="G28" i="19"/>
  <c r="G34" i="19" s="1"/>
  <c r="T102" i="1"/>
  <c r="T103" i="1" s="1"/>
  <c r="W59" i="1"/>
  <c r="G29" i="19" l="1"/>
  <c r="G30" i="19" s="1"/>
  <c r="H90" i="19"/>
  <c r="H92" i="19"/>
  <c r="H96" i="19"/>
  <c r="I19" i="19"/>
  <c r="I40" i="19"/>
  <c r="I41" i="19"/>
  <c r="I42" i="19" s="1"/>
  <c r="H125" i="1"/>
  <c r="I122" i="1"/>
  <c r="I274" i="1"/>
  <c r="I327" i="1"/>
  <c r="J92" i="1"/>
  <c r="H355" i="1"/>
  <c r="H302" i="1"/>
  <c r="H249" i="1"/>
  <c r="I81" i="19"/>
  <c r="V50" i="1"/>
  <c r="V53" i="1" s="1"/>
  <c r="V79" i="1" s="1"/>
  <c r="V80" i="1" s="1"/>
  <c r="V83" i="1" s="1"/>
  <c r="V85" i="1" s="1"/>
  <c r="U102" i="1"/>
  <c r="U103" i="1" s="1"/>
  <c r="X59" i="1"/>
  <c r="H93" i="19" l="1"/>
  <c r="H97" i="19" s="1"/>
  <c r="H98" i="19" s="1"/>
  <c r="H99" i="19" s="1"/>
  <c r="H100" i="19" s="1"/>
  <c r="H104" i="19" s="1"/>
  <c r="H21" i="19" s="1"/>
  <c r="H128" i="1"/>
  <c r="H131" i="1" s="1"/>
  <c r="H127" i="1"/>
  <c r="H130" i="1" s="1"/>
  <c r="H305" i="1"/>
  <c r="H308" i="1" s="1"/>
  <c r="H304" i="1"/>
  <c r="H307" i="1" s="1"/>
  <c r="H309" i="1" s="1"/>
  <c r="I43" i="19"/>
  <c r="I45" i="19"/>
  <c r="I46" i="19" s="1"/>
  <c r="H357" i="1"/>
  <c r="H360" i="1" s="1"/>
  <c r="H362" i="1" s="1"/>
  <c r="H358" i="1"/>
  <c r="H361" i="1" s="1"/>
  <c r="H251" i="1"/>
  <c r="H254" i="1" s="1"/>
  <c r="H256" i="1" s="1"/>
  <c r="H252" i="1"/>
  <c r="H255" i="1" s="1"/>
  <c r="D174" i="1" s="1"/>
  <c r="E25" i="1" s="1"/>
  <c r="J93" i="1"/>
  <c r="I91" i="1" s="1"/>
  <c r="J269" i="1"/>
  <c r="J322" i="1"/>
  <c r="I31" i="19"/>
  <c r="W50" i="1"/>
  <c r="W53" i="1" s="1"/>
  <c r="W79" i="1" s="1"/>
  <c r="W80" i="1" s="1"/>
  <c r="W83" i="1" s="1"/>
  <c r="W85" i="1" s="1"/>
  <c r="Y59" i="1"/>
  <c r="V102" i="1"/>
  <c r="V103" i="1" s="1"/>
  <c r="H94" i="19" l="1"/>
  <c r="H95" i="19"/>
  <c r="I47" i="19"/>
  <c r="I57" i="19" s="1"/>
  <c r="J270" i="1"/>
  <c r="I113" i="1"/>
  <c r="J323" i="1"/>
  <c r="E259" i="1"/>
  <c r="D172" i="1" s="1"/>
  <c r="E23" i="1" s="1"/>
  <c r="E260" i="1"/>
  <c r="D173" i="1" s="1"/>
  <c r="E24" i="1" s="1"/>
  <c r="E258" i="1"/>
  <c r="D171" i="1" s="1"/>
  <c r="E22" i="1" s="1"/>
  <c r="G16" i="7"/>
  <c r="G17" i="7" s="1"/>
  <c r="G46" i="8" s="1"/>
  <c r="G45" i="8" s="1"/>
  <c r="H132" i="1"/>
  <c r="H143" i="1"/>
  <c r="H133" i="1"/>
  <c r="H134" i="1" s="1"/>
  <c r="J96" i="1"/>
  <c r="H29" i="19"/>
  <c r="H24" i="19"/>
  <c r="H105" i="19"/>
  <c r="H28" i="19" s="1"/>
  <c r="H34" i="19" s="1"/>
  <c r="X50" i="1"/>
  <c r="X53" i="1" s="1"/>
  <c r="X79" i="1" s="1"/>
  <c r="X80" i="1" s="1"/>
  <c r="X83" i="1" s="1"/>
  <c r="X85" i="1" s="1"/>
  <c r="Z59" i="1"/>
  <c r="W102" i="1"/>
  <c r="W103" i="1" s="1"/>
  <c r="I76" i="19" l="1"/>
  <c r="I56" i="19"/>
  <c r="I22" i="19" s="1"/>
  <c r="I64" i="19"/>
  <c r="J326" i="1"/>
  <c r="J141" i="1"/>
  <c r="J273" i="1"/>
  <c r="I60" i="19"/>
  <c r="I65" i="19"/>
  <c r="H13" i="7"/>
  <c r="H14" i="7" s="1"/>
  <c r="I289" i="1"/>
  <c r="I342" i="1"/>
  <c r="H106" i="19"/>
  <c r="H107" i="19" s="1"/>
  <c r="H30" i="19"/>
  <c r="Y50" i="1"/>
  <c r="Y53" i="1" s="1"/>
  <c r="Y79" i="1" s="1"/>
  <c r="Y80" i="1" s="1"/>
  <c r="Y83" i="1" s="1"/>
  <c r="Y85" i="1" s="1"/>
  <c r="X102" i="1"/>
  <c r="X103" i="1" s="1"/>
  <c r="AA59" i="1"/>
  <c r="I32" i="19" l="1"/>
  <c r="I59" i="19"/>
  <c r="I58" i="19"/>
  <c r="J53" i="19" s="1"/>
  <c r="J55" i="19" s="1"/>
  <c r="I67" i="19"/>
  <c r="I69" i="19"/>
  <c r="I70" i="19" s="1"/>
  <c r="I89" i="19"/>
  <c r="I54" i="19"/>
  <c r="I77" i="19"/>
  <c r="I66" i="19"/>
  <c r="J62" i="19" s="1"/>
  <c r="L93" i="1"/>
  <c r="Z50" i="1"/>
  <c r="Z53" i="1" s="1"/>
  <c r="Z79" i="1" s="1"/>
  <c r="Z80" i="1" s="1"/>
  <c r="Z83" i="1" s="1"/>
  <c r="Z85" i="1" s="1"/>
  <c r="Y102" i="1"/>
  <c r="Y103" i="1" s="1"/>
  <c r="AB59" i="1"/>
  <c r="I78" i="19" l="1"/>
  <c r="I82" i="19" s="1"/>
  <c r="I83" i="19" s="1"/>
  <c r="I84" i="19" s="1"/>
  <c r="I85" i="19" s="1"/>
  <c r="J63" i="19"/>
  <c r="I96" i="19"/>
  <c r="I90" i="19"/>
  <c r="I91" i="19"/>
  <c r="L323" i="1"/>
  <c r="K113" i="1"/>
  <c r="AA50" i="1"/>
  <c r="AA53" i="1" s="1"/>
  <c r="AA79" i="1" s="1"/>
  <c r="AA80" i="1" s="1"/>
  <c r="AA83" i="1" s="1"/>
  <c r="AA85" i="1" s="1"/>
  <c r="AC59" i="1"/>
  <c r="Z102" i="1"/>
  <c r="Z103" i="1" s="1"/>
  <c r="I80" i="19" l="1"/>
  <c r="I79" i="19"/>
  <c r="J74" i="19" s="1"/>
  <c r="I92" i="19"/>
  <c r="I93" i="19" s="1"/>
  <c r="I97" i="19" s="1"/>
  <c r="I98" i="19" s="1"/>
  <c r="I99" i="19" s="1"/>
  <c r="I100" i="19" s="1"/>
  <c r="I104" i="19" s="1"/>
  <c r="I105" i="19" s="1"/>
  <c r="I106" i="19" s="1"/>
  <c r="I107" i="19" s="1"/>
  <c r="J13" i="7"/>
  <c r="K342" i="1"/>
  <c r="AB50" i="1"/>
  <c r="AB53" i="1" s="1"/>
  <c r="AB79" i="1" s="1"/>
  <c r="AB80" i="1" s="1"/>
  <c r="AB83" i="1" s="1"/>
  <c r="AB85" i="1" s="1"/>
  <c r="AA102" i="1"/>
  <c r="AA103" i="1" s="1"/>
  <c r="AD59" i="1"/>
  <c r="I21" i="19" l="1"/>
  <c r="I24" i="19" s="1"/>
  <c r="I95" i="19"/>
  <c r="I94" i="19"/>
  <c r="I28" i="19"/>
  <c r="I34" i="19" s="1"/>
  <c r="J75" i="19"/>
  <c r="J81" i="19"/>
  <c r="AC50" i="1"/>
  <c r="AC53" i="1" s="1"/>
  <c r="AC79" i="1" s="1"/>
  <c r="AC80" i="1" s="1"/>
  <c r="AC83" i="1" s="1"/>
  <c r="AC85" i="1" s="1"/>
  <c r="AB102" i="1"/>
  <c r="AB103" i="1" s="1"/>
  <c r="AE59" i="1"/>
  <c r="I29" i="19" l="1"/>
  <c r="I30" i="19" s="1"/>
  <c r="AD50" i="1"/>
  <c r="AD53" i="1" s="1"/>
  <c r="AD79" i="1" s="1"/>
  <c r="AD80" i="1" s="1"/>
  <c r="AD83" i="1" s="1"/>
  <c r="AD85" i="1" s="1"/>
  <c r="AC102" i="1"/>
  <c r="AC103" i="1" s="1"/>
  <c r="AF59" i="1"/>
  <c r="AE50" i="1" l="1"/>
  <c r="AE53" i="1" s="1"/>
  <c r="AE79" i="1" s="1"/>
  <c r="AE80" i="1" s="1"/>
  <c r="AE83" i="1" s="1"/>
  <c r="AE85" i="1" s="1"/>
  <c r="AD102" i="1"/>
  <c r="AD103" i="1" s="1"/>
  <c r="AG59" i="1"/>
  <c r="AF50" i="1" l="1"/>
  <c r="AF53" i="1" s="1"/>
  <c r="AF79" i="1" s="1"/>
  <c r="AF80" i="1" s="1"/>
  <c r="AF83" i="1" s="1"/>
  <c r="AF85" i="1" s="1"/>
  <c r="AH59" i="1"/>
  <c r="AE102" i="1"/>
  <c r="AE103" i="1" s="1"/>
  <c r="AG50" i="1" l="1"/>
  <c r="AG53" i="1" s="1"/>
  <c r="AG79" i="1" s="1"/>
  <c r="AG80" i="1" s="1"/>
  <c r="AG83" i="1" s="1"/>
  <c r="AG85" i="1" s="1"/>
  <c r="AF102" i="1"/>
  <c r="AF103" i="1" s="1"/>
  <c r="AI59" i="1"/>
  <c r="AH50" i="1" l="1"/>
  <c r="AH53" i="1" s="1"/>
  <c r="AH79" i="1" s="1"/>
  <c r="AH80" i="1" s="1"/>
  <c r="AH83" i="1" s="1"/>
  <c r="AH85" i="1" s="1"/>
  <c r="AG102" i="1"/>
  <c r="AG103" i="1" s="1"/>
  <c r="AJ59" i="1"/>
  <c r="AJ50" i="1" l="1"/>
  <c r="AJ53" i="1" s="1"/>
  <c r="AJ79" i="1" s="1"/>
  <c r="AJ80" i="1" s="1"/>
  <c r="AJ83" i="1" s="1"/>
  <c r="AJ85" i="1" s="1"/>
  <c r="AI50" i="1"/>
  <c r="AI53" i="1" s="1"/>
  <c r="AI79" i="1" s="1"/>
  <c r="AI80" i="1" s="1"/>
  <c r="AI83" i="1" s="1"/>
  <c r="AI85" i="1" s="1"/>
  <c r="AH102" i="1"/>
  <c r="AH103" i="1" s="1"/>
  <c r="AI102" i="1" l="1"/>
  <c r="AI103" i="1" s="1"/>
  <c r="AJ102" i="1"/>
  <c r="P93" i="1" l="1"/>
  <c r="AJ112" i="1"/>
  <c r="AJ103" i="1"/>
  <c r="O113" i="1" l="1"/>
  <c r="O342" i="1" s="1"/>
  <c r="O91" i="1"/>
  <c r="O111" i="1" s="1"/>
  <c r="O340" i="1" l="1"/>
  <c r="M93" i="1" l="1"/>
  <c r="L91" i="1" s="1"/>
  <c r="Q93" i="1"/>
  <c r="L111" i="1" l="1"/>
  <c r="L340" i="1" s="1"/>
  <c r="M91" i="1"/>
  <c r="M111" i="1" s="1"/>
  <c r="M323" i="1"/>
  <c r="L113" i="1"/>
  <c r="P113" i="1"/>
  <c r="P91" i="1"/>
  <c r="P111" i="1" s="1"/>
  <c r="L342" i="1" l="1"/>
  <c r="M340" i="1"/>
  <c r="R93" i="1" l="1"/>
  <c r="Q91" i="1" l="1"/>
  <c r="Q111" i="1" s="1"/>
  <c r="Q113" i="1"/>
  <c r="R91" i="1"/>
  <c r="R111" i="1" l="1"/>
  <c r="J91" i="1" l="1"/>
  <c r="I111" i="1" l="1"/>
  <c r="J94" i="1"/>
  <c r="AC94" i="1"/>
  <c r="L94" i="1"/>
  <c r="O94" i="1"/>
  <c r="Q94" i="1"/>
  <c r="Z94" i="1"/>
  <c r="AD94" i="1"/>
  <c r="M94" i="1"/>
  <c r="N94" i="1"/>
  <c r="P94" i="1"/>
  <c r="AA94" i="1"/>
  <c r="AE94" i="1"/>
  <c r="Y94" i="1"/>
  <c r="AB94" i="1"/>
  <c r="AF94" i="1"/>
  <c r="X94" i="1"/>
  <c r="K94" i="1"/>
  <c r="AJ94" i="1"/>
  <c r="S94" i="1"/>
  <c r="V94" i="1"/>
  <c r="AI94" i="1"/>
  <c r="W94" i="1"/>
  <c r="AG94" i="1"/>
  <c r="AH94" i="1"/>
  <c r="R94" i="1"/>
  <c r="U94" i="1"/>
  <c r="T94" i="1"/>
  <c r="J111" i="1"/>
  <c r="J98" i="1" l="1"/>
  <c r="J271" i="1"/>
  <c r="J324" i="1"/>
  <c r="J104" i="1"/>
  <c r="J99" i="1"/>
  <c r="J95" i="1"/>
  <c r="I9" i="7"/>
  <c r="I11" i="7" s="1"/>
  <c r="I340" i="1"/>
  <c r="I345" i="1" s="1"/>
  <c r="I287" i="1"/>
  <c r="I292" i="1" s="1"/>
  <c r="I115" i="1"/>
  <c r="T99" i="1"/>
  <c r="T98" i="1"/>
  <c r="T104" i="1"/>
  <c r="T115" i="1" s="1"/>
  <c r="T116" i="1" s="1"/>
  <c r="P99" i="1"/>
  <c r="P98" i="1"/>
  <c r="P104" i="1"/>
  <c r="P115" i="1" s="1"/>
  <c r="P116" i="1" s="1"/>
  <c r="N104" i="1"/>
  <c r="N99" i="1"/>
  <c r="N324" i="1"/>
  <c r="N98" i="1"/>
  <c r="AB99" i="1"/>
  <c r="AB104" i="1"/>
  <c r="AB115" i="1" s="1"/>
  <c r="AB116" i="1" s="1"/>
  <c r="AB98" i="1"/>
  <c r="M104" i="1"/>
  <c r="M98" i="1"/>
  <c r="M324" i="1"/>
  <c r="M99" i="1"/>
  <c r="X98" i="1"/>
  <c r="X104" i="1"/>
  <c r="X115" i="1" s="1"/>
  <c r="X116" i="1" s="1"/>
  <c r="X99" i="1"/>
  <c r="U104" i="1"/>
  <c r="U115" i="1" s="1"/>
  <c r="U116" i="1" s="1"/>
  <c r="U99" i="1"/>
  <c r="U98" i="1"/>
  <c r="AD99" i="1"/>
  <c r="AD98" i="1"/>
  <c r="AD104" i="1"/>
  <c r="AD115" i="1" s="1"/>
  <c r="AD116" i="1" s="1"/>
  <c r="AE99" i="1"/>
  <c r="AE104" i="1"/>
  <c r="AE115" i="1" s="1"/>
  <c r="AE116" i="1" s="1"/>
  <c r="AE98" i="1"/>
  <c r="Z98" i="1"/>
  <c r="Z104" i="1"/>
  <c r="Z115" i="1" s="1"/>
  <c r="Z116" i="1" s="1"/>
  <c r="Z99" i="1"/>
  <c r="AF99" i="1"/>
  <c r="AF104" i="1"/>
  <c r="AF115" i="1" s="1"/>
  <c r="AF116" i="1" s="1"/>
  <c r="AF98" i="1"/>
  <c r="AG98" i="1"/>
  <c r="AG104" i="1"/>
  <c r="AG115" i="1" s="1"/>
  <c r="AG116" i="1" s="1"/>
  <c r="AG99" i="1"/>
  <c r="AI98" i="1"/>
  <c r="AI104" i="1"/>
  <c r="AI115" i="1" s="1"/>
  <c r="AI116" i="1" s="1"/>
  <c r="AI99" i="1"/>
  <c r="Q104" i="1"/>
  <c r="Q115" i="1" s="1"/>
  <c r="Q116" i="1" s="1"/>
  <c r="Q98" i="1"/>
  <c r="Q99" i="1"/>
  <c r="Y104" i="1"/>
  <c r="Y115" i="1" s="1"/>
  <c r="Y116" i="1" s="1"/>
  <c r="Y98" i="1"/>
  <c r="Y99" i="1"/>
  <c r="W104" i="1"/>
  <c r="W115" i="1" s="1"/>
  <c r="W116" i="1" s="1"/>
  <c r="W98" i="1"/>
  <c r="W99" i="1"/>
  <c r="V99" i="1"/>
  <c r="V104" i="1"/>
  <c r="V115" i="1" s="1"/>
  <c r="V116" i="1" s="1"/>
  <c r="V98" i="1"/>
  <c r="O98" i="1"/>
  <c r="O99" i="1"/>
  <c r="O104" i="1"/>
  <c r="O324" i="1"/>
  <c r="AA98" i="1"/>
  <c r="AA104" i="1"/>
  <c r="AA115" i="1" s="1"/>
  <c r="AA116" i="1" s="1"/>
  <c r="AA99" i="1"/>
  <c r="AH98" i="1"/>
  <c r="AH99" i="1"/>
  <c r="AH104" i="1"/>
  <c r="AH115" i="1" s="1"/>
  <c r="AH116" i="1" s="1"/>
  <c r="S99" i="1"/>
  <c r="S104" i="1"/>
  <c r="S115" i="1" s="1"/>
  <c r="S116" i="1" s="1"/>
  <c r="S98" i="1"/>
  <c r="L98" i="1"/>
  <c r="L104" i="1"/>
  <c r="L324" i="1"/>
  <c r="L99" i="1"/>
  <c r="J340" i="1"/>
  <c r="J287" i="1"/>
  <c r="R99" i="1"/>
  <c r="R98" i="1"/>
  <c r="R104" i="1"/>
  <c r="R115" i="1" s="1"/>
  <c r="R116" i="1" s="1"/>
  <c r="AJ98" i="1"/>
  <c r="AJ99" i="1"/>
  <c r="AJ104" i="1"/>
  <c r="AC104" i="1"/>
  <c r="AC115" i="1" s="1"/>
  <c r="AC116" i="1" s="1"/>
  <c r="AC99" i="1"/>
  <c r="AC98" i="1"/>
  <c r="K324" i="1"/>
  <c r="K98" i="1"/>
  <c r="K99" i="1"/>
  <c r="J9" i="7"/>
  <c r="J11" i="7" s="1"/>
  <c r="J14" i="7" s="1"/>
  <c r="K104" i="1"/>
  <c r="I300" i="1" l="1"/>
  <c r="I301" i="1" s="1"/>
  <c r="J298" i="1" s="1"/>
  <c r="J299" i="1" s="1"/>
  <c r="I353" i="1"/>
  <c r="I354" i="1" s="1"/>
  <c r="J351" i="1" s="1"/>
  <c r="J352" i="1" s="1"/>
  <c r="J325" i="1"/>
  <c r="J272" i="1"/>
  <c r="J97" i="1"/>
  <c r="J280" i="1"/>
  <c r="J333" i="1"/>
  <c r="I116" i="1"/>
  <c r="I117" i="1" s="1"/>
  <c r="I123" i="1"/>
  <c r="I124" i="1" s="1"/>
  <c r="J121" i="1" s="1"/>
  <c r="J122" i="1" s="1"/>
  <c r="J39" i="19"/>
  <c r="K333" i="1"/>
  <c r="N333" i="1"/>
  <c r="N345" i="1" s="1"/>
  <c r="N115" i="1"/>
  <c r="M115" i="1"/>
  <c r="M333" i="1"/>
  <c r="M345" i="1" s="1"/>
  <c r="L333" i="1"/>
  <c r="L345" i="1" s="1"/>
  <c r="L115" i="1"/>
  <c r="O333" i="1"/>
  <c r="O115" i="1"/>
  <c r="I355" i="1" l="1"/>
  <c r="I357" i="1" s="1"/>
  <c r="I360" i="1" s="1"/>
  <c r="I362" i="1" s="1"/>
  <c r="I125" i="1"/>
  <c r="I128" i="1" s="1"/>
  <c r="I131" i="1" s="1"/>
  <c r="J40" i="19"/>
  <c r="J41" i="19"/>
  <c r="J42" i="19" s="1"/>
  <c r="J19" i="19"/>
  <c r="J327" i="1"/>
  <c r="K92" i="1"/>
  <c r="J274" i="1"/>
  <c r="J291" i="1" s="1"/>
  <c r="J292" i="1" s="1"/>
  <c r="E51" i="8"/>
  <c r="I302" i="1"/>
  <c r="L116" i="1"/>
  <c r="M39" i="19"/>
  <c r="N39" i="19"/>
  <c r="M116" i="1"/>
  <c r="N116" i="1"/>
  <c r="O39" i="19"/>
  <c r="P39" i="19"/>
  <c r="O116" i="1"/>
  <c r="I358" i="1" l="1"/>
  <c r="I361" i="1" s="1"/>
  <c r="I127" i="1"/>
  <c r="I130" i="1" s="1"/>
  <c r="I133" i="1" s="1"/>
  <c r="I134" i="1" s="1"/>
  <c r="K93" i="1"/>
  <c r="K322" i="1"/>
  <c r="K96" i="1"/>
  <c r="E294" i="1"/>
  <c r="E170" i="1" s="1"/>
  <c r="F21" i="1" s="1"/>
  <c r="J300" i="1"/>
  <c r="J301" i="1" s="1"/>
  <c r="J45" i="19"/>
  <c r="J46" i="19" s="1"/>
  <c r="J43" i="19"/>
  <c r="I304" i="1"/>
  <c r="I307" i="1" s="1"/>
  <c r="I309" i="1" s="1"/>
  <c r="I305" i="1"/>
  <c r="I308" i="1" s="1"/>
  <c r="J31" i="19"/>
  <c r="N40" i="19"/>
  <c r="N41" i="19"/>
  <c r="N42" i="19" s="1"/>
  <c r="O40" i="19"/>
  <c r="O41" i="19"/>
  <c r="O42" i="19" s="1"/>
  <c r="M40" i="19"/>
  <c r="M41" i="19"/>
  <c r="M42" i="19" s="1"/>
  <c r="P40" i="19"/>
  <c r="P41" i="19"/>
  <c r="H16" i="7" l="1"/>
  <c r="H17" i="7" s="1"/>
  <c r="H46" i="8" s="1"/>
  <c r="H45" i="8" s="1"/>
  <c r="I143" i="1"/>
  <c r="I132" i="1"/>
  <c r="P47" i="19"/>
  <c r="P64" i="19" s="1"/>
  <c r="J47" i="19"/>
  <c r="J57" i="19" s="1"/>
  <c r="K141" i="1"/>
  <c r="K326" i="1"/>
  <c r="K95" i="1"/>
  <c r="K91" i="1"/>
  <c r="K111" i="1" s="1"/>
  <c r="K323" i="1"/>
  <c r="J113" i="1"/>
  <c r="J302" i="1"/>
  <c r="N45" i="19"/>
  <c r="N46" i="19" s="1"/>
  <c r="N43" i="19"/>
  <c r="O45" i="19"/>
  <c r="O46" i="19" s="1"/>
  <c r="O43" i="19"/>
  <c r="M45" i="19"/>
  <c r="M46" i="19" s="1"/>
  <c r="M43" i="19"/>
  <c r="J56" i="19" l="1"/>
  <c r="J58" i="19" s="1"/>
  <c r="K53" i="19" s="1"/>
  <c r="J76" i="19"/>
  <c r="J64" i="19"/>
  <c r="O47" i="19"/>
  <c r="O64" i="19" s="1"/>
  <c r="N47" i="19"/>
  <c r="N64" i="19" s="1"/>
  <c r="J342" i="1"/>
  <c r="J345" i="1" s="1"/>
  <c r="I13" i="7"/>
  <c r="I14" i="7" s="1"/>
  <c r="J115" i="1"/>
  <c r="J304" i="1"/>
  <c r="J307" i="1" s="1"/>
  <c r="J309" i="1" s="1"/>
  <c r="J305" i="1"/>
  <c r="J308" i="1" s="1"/>
  <c r="E314" i="1" s="1"/>
  <c r="E174" i="1" s="1"/>
  <c r="F25" i="1" s="1"/>
  <c r="K325" i="1"/>
  <c r="K97" i="1"/>
  <c r="K340" i="1"/>
  <c r="K345" i="1" s="1"/>
  <c r="K115" i="1"/>
  <c r="J60" i="19"/>
  <c r="J65" i="19"/>
  <c r="M47" i="19"/>
  <c r="M64" i="19" s="1"/>
  <c r="J66" i="19" l="1"/>
  <c r="K62" i="19" s="1"/>
  <c r="K63" i="19" s="1"/>
  <c r="J32" i="19"/>
  <c r="J22" i="19"/>
  <c r="J59" i="19"/>
  <c r="K116" i="1"/>
  <c r="L39" i="19"/>
  <c r="E312" i="1"/>
  <c r="E172" i="1" s="1"/>
  <c r="F23" i="1" s="1"/>
  <c r="E313" i="1"/>
  <c r="E173" i="1" s="1"/>
  <c r="F24" i="1" s="1"/>
  <c r="E311" i="1"/>
  <c r="E171" i="1" s="1"/>
  <c r="F22" i="1" s="1"/>
  <c r="K327" i="1"/>
  <c r="L92" i="1"/>
  <c r="K55" i="19"/>
  <c r="J67" i="19"/>
  <c r="J69" i="19"/>
  <c r="J70" i="19" s="1"/>
  <c r="J89" i="19"/>
  <c r="K39" i="19"/>
  <c r="J116" i="1"/>
  <c r="J123" i="1"/>
  <c r="J124" i="1" s="1"/>
  <c r="K121" i="1" s="1"/>
  <c r="J54" i="19"/>
  <c r="J77" i="19"/>
  <c r="J353" i="1"/>
  <c r="J354" i="1" s="1"/>
  <c r="K351" i="1" s="1"/>
  <c r="L322" i="1" l="1"/>
  <c r="L96" i="1"/>
  <c r="K352" i="1"/>
  <c r="K353" i="1" s="1"/>
  <c r="K355" i="1" s="1"/>
  <c r="K40" i="19"/>
  <c r="K41" i="19"/>
  <c r="K42" i="19" s="1"/>
  <c r="K19" i="19"/>
  <c r="J90" i="19"/>
  <c r="J96" i="19"/>
  <c r="J91" i="19"/>
  <c r="J355" i="1"/>
  <c r="J78" i="19"/>
  <c r="J82" i="19" s="1"/>
  <c r="J92" i="19" s="1"/>
  <c r="J125" i="1"/>
  <c r="L40" i="19"/>
  <c r="L41" i="19"/>
  <c r="L42" i="19" s="1"/>
  <c r="K122" i="1"/>
  <c r="K123" i="1" s="1"/>
  <c r="K125" i="1" s="1"/>
  <c r="AH117" i="1"/>
  <c r="AE117" i="1"/>
  <c r="P117" i="1"/>
  <c r="K117" i="1"/>
  <c r="X117" i="1"/>
  <c r="J117" i="1"/>
  <c r="AI117" i="1"/>
  <c r="M117" i="1"/>
  <c r="AD117" i="1"/>
  <c r="W117" i="1"/>
  <c r="Q117" i="1"/>
  <c r="AB117" i="1"/>
  <c r="AC117" i="1"/>
  <c r="N117" i="1"/>
  <c r="U117" i="1"/>
  <c r="L117" i="1"/>
  <c r="AG117" i="1"/>
  <c r="O117" i="1"/>
  <c r="AF117" i="1"/>
  <c r="Y117" i="1"/>
  <c r="Z117" i="1"/>
  <c r="T117" i="1"/>
  <c r="AA117" i="1"/>
  <c r="S117" i="1"/>
  <c r="R117" i="1"/>
  <c r="V117" i="1"/>
  <c r="J79" i="19" l="1"/>
  <c r="K74" i="19" s="1"/>
  <c r="K81" i="19" s="1"/>
  <c r="J80" i="19"/>
  <c r="K354" i="1"/>
  <c r="L351" i="1" s="1"/>
  <c r="L352" i="1" s="1"/>
  <c r="L353" i="1" s="1"/>
  <c r="L355" i="1" s="1"/>
  <c r="K124" i="1"/>
  <c r="L121" i="1" s="1"/>
  <c r="L122" i="1" s="1"/>
  <c r="L123" i="1" s="1"/>
  <c r="L125" i="1" s="1"/>
  <c r="J357" i="1"/>
  <c r="J360" i="1" s="1"/>
  <c r="J362" i="1" s="1"/>
  <c r="J358" i="1"/>
  <c r="J361" i="1" s="1"/>
  <c r="K31" i="19"/>
  <c r="L45" i="19"/>
  <c r="L46" i="19" s="1"/>
  <c r="L43" i="19"/>
  <c r="K45" i="19"/>
  <c r="K46" i="19" s="1"/>
  <c r="K43" i="19"/>
  <c r="L19" i="19"/>
  <c r="K127" i="1"/>
  <c r="K130" i="1" s="1"/>
  <c r="K128" i="1"/>
  <c r="K131" i="1" s="1"/>
  <c r="J128" i="1"/>
  <c r="J131" i="1" s="1"/>
  <c r="D137" i="1" s="1"/>
  <c r="J127" i="1"/>
  <c r="J130" i="1" s="1"/>
  <c r="K357" i="1"/>
  <c r="K360" i="1" s="1"/>
  <c r="K362" i="1" s="1"/>
  <c r="K358" i="1"/>
  <c r="K361" i="1" s="1"/>
  <c r="L326" i="1"/>
  <c r="L95" i="1"/>
  <c r="L141" i="1"/>
  <c r="J83" i="19"/>
  <c r="J84" i="19" s="1"/>
  <c r="J85" i="19" s="1"/>
  <c r="J93" i="19" s="1"/>
  <c r="K75" i="19" l="1"/>
  <c r="K47" i="19"/>
  <c r="K64" i="19" s="1"/>
  <c r="L354" i="1"/>
  <c r="M351" i="1" s="1"/>
  <c r="M352" i="1" s="1"/>
  <c r="M353" i="1" s="1"/>
  <c r="M355" i="1" s="1"/>
  <c r="J97" i="19"/>
  <c r="J94" i="19"/>
  <c r="J95" i="19"/>
  <c r="L325" i="1"/>
  <c r="L97" i="1"/>
  <c r="K133" i="1"/>
  <c r="J16" i="7"/>
  <c r="J17" i="7" s="1"/>
  <c r="K132" i="1"/>
  <c r="K143" i="1"/>
  <c r="L357" i="1"/>
  <c r="L360" i="1" s="1"/>
  <c r="L362" i="1" s="1"/>
  <c r="L358" i="1"/>
  <c r="L361" i="1" s="1"/>
  <c r="J132" i="1"/>
  <c r="B22" i="7"/>
  <c r="D136" i="1"/>
  <c r="F34" i="8" s="1"/>
  <c r="I16" i="7"/>
  <c r="J133" i="1"/>
  <c r="J143" i="1"/>
  <c r="L127" i="1"/>
  <c r="L130" i="1" s="1"/>
  <c r="L128" i="1"/>
  <c r="L131" i="1" s="1"/>
  <c r="L31" i="19"/>
  <c r="M19" i="19"/>
  <c r="L47" i="19"/>
  <c r="L64" i="19" s="1"/>
  <c r="L124" i="1"/>
  <c r="M121" i="1" s="1"/>
  <c r="K76" i="19" l="1"/>
  <c r="K56" i="19"/>
  <c r="K32" i="19" s="1"/>
  <c r="K134" i="1"/>
  <c r="K57" i="19"/>
  <c r="D10" i="19"/>
  <c r="D9" i="19" s="1"/>
  <c r="M354" i="1"/>
  <c r="N351" i="1" s="1"/>
  <c r="N352" i="1" s="1"/>
  <c r="N353" i="1" s="1"/>
  <c r="N355" i="1" s="1"/>
  <c r="F49" i="19"/>
  <c r="L10" i="19"/>
  <c r="M31" i="19"/>
  <c r="N19" i="19"/>
  <c r="L327" i="1"/>
  <c r="M92" i="1"/>
  <c r="L133" i="1"/>
  <c r="L134" i="1" s="1"/>
  <c r="L132" i="1"/>
  <c r="L143" i="1"/>
  <c r="J134" i="1"/>
  <c r="C24" i="1" s="1"/>
  <c r="J98" i="19"/>
  <c r="J99" i="19" s="1"/>
  <c r="J100" i="19" s="1"/>
  <c r="J104" i="19" s="1"/>
  <c r="J21" i="19" s="1"/>
  <c r="F48" i="19"/>
  <c r="M358" i="1"/>
  <c r="M361" i="1" s="1"/>
  <c r="M357" i="1"/>
  <c r="M360" i="1" s="1"/>
  <c r="M362" i="1" s="1"/>
  <c r="B23" i="7"/>
  <c r="I17" i="7"/>
  <c r="I46" i="8" s="1"/>
  <c r="I45" i="8" s="1"/>
  <c r="E50" i="8" s="1"/>
  <c r="E52" i="8" s="1"/>
  <c r="E53" i="8" s="1"/>
  <c r="M122" i="1"/>
  <c r="M123" i="1" s="1"/>
  <c r="M125" i="1" s="1"/>
  <c r="K22" i="19" l="1"/>
  <c r="K58" i="19"/>
  <c r="L53" i="19" s="1"/>
  <c r="L55" i="19" s="1"/>
  <c r="L57" i="19" s="1"/>
  <c r="K59" i="19"/>
  <c r="K60" i="19"/>
  <c r="K77" i="19" s="1"/>
  <c r="K65" i="19"/>
  <c r="K89" i="19" s="1"/>
  <c r="D8" i="19"/>
  <c r="M124" i="1"/>
  <c r="N121" i="1" s="1"/>
  <c r="N122" i="1" s="1"/>
  <c r="N354" i="1"/>
  <c r="O351" i="1" s="1"/>
  <c r="O352" i="1" s="1"/>
  <c r="J24" i="19"/>
  <c r="J29" i="19"/>
  <c r="M322" i="1"/>
  <c r="M96" i="1"/>
  <c r="M128" i="1"/>
  <c r="M131" i="1" s="1"/>
  <c r="M127" i="1"/>
  <c r="M130" i="1" s="1"/>
  <c r="J105" i="19"/>
  <c r="J28" i="19" s="1"/>
  <c r="J34" i="19" s="1"/>
  <c r="O19" i="19"/>
  <c r="N31" i="19"/>
  <c r="N357" i="1"/>
  <c r="N360" i="1" s="1"/>
  <c r="N362" i="1" s="1"/>
  <c r="N358" i="1"/>
  <c r="N361" i="1" s="1"/>
  <c r="K54" i="19" l="1"/>
  <c r="K67" i="19"/>
  <c r="K66" i="19"/>
  <c r="L62" i="19" s="1"/>
  <c r="L63" i="19" s="1"/>
  <c r="L56" i="19"/>
  <c r="L59" i="19" s="1"/>
  <c r="K69" i="19"/>
  <c r="K70" i="19" s="1"/>
  <c r="K78" i="19" s="1"/>
  <c r="K82" i="19" s="1"/>
  <c r="N123" i="1"/>
  <c r="N125" i="1" s="1"/>
  <c r="N128" i="1" s="1"/>
  <c r="N131" i="1" s="1"/>
  <c r="J106" i="19"/>
  <c r="J107" i="19" s="1"/>
  <c r="O31" i="19"/>
  <c r="P19" i="19"/>
  <c r="P31" i="19" s="1"/>
  <c r="M132" i="1"/>
  <c r="M143" i="1"/>
  <c r="M133" i="1"/>
  <c r="M326" i="1"/>
  <c r="M95" i="1"/>
  <c r="M141" i="1"/>
  <c r="J30" i="19"/>
  <c r="L60" i="19"/>
  <c r="L65" i="19"/>
  <c r="K90" i="19"/>
  <c r="K91" i="19"/>
  <c r="K96" i="19"/>
  <c r="L32" i="19" l="1"/>
  <c r="L22" i="19"/>
  <c r="L58" i="19"/>
  <c r="M53" i="19" s="1"/>
  <c r="N124" i="1"/>
  <c r="O121" i="1" s="1"/>
  <c r="O122" i="1" s="1"/>
  <c r="O123" i="1" s="1"/>
  <c r="O125" i="1" s="1"/>
  <c r="N127" i="1"/>
  <c r="N130" i="1" s="1"/>
  <c r="N132" i="1" s="1"/>
  <c r="D31" i="19"/>
  <c r="K79" i="19"/>
  <c r="L74" i="19" s="1"/>
  <c r="K83" i="19"/>
  <c r="K84" i="19" s="1"/>
  <c r="K85" i="19" s="1"/>
  <c r="M325" i="1"/>
  <c r="M97" i="1"/>
  <c r="M134" i="1"/>
  <c r="L67" i="19"/>
  <c r="L69" i="19"/>
  <c r="L70" i="19" s="1"/>
  <c r="K92" i="19"/>
  <c r="L77" i="19"/>
  <c r="L54" i="19"/>
  <c r="L66" i="19"/>
  <c r="M62" i="19" s="1"/>
  <c r="K80" i="19"/>
  <c r="N133" i="1" l="1"/>
  <c r="N134" i="1" s="1"/>
  <c r="N143" i="1"/>
  <c r="M55" i="19"/>
  <c r="M56" i="19"/>
  <c r="O124" i="1"/>
  <c r="P121" i="1" s="1"/>
  <c r="P122" i="1" s="1"/>
  <c r="P123" i="1" s="1"/>
  <c r="L75" i="19"/>
  <c r="L78" i="19" s="1"/>
  <c r="L82" i="19" s="1"/>
  <c r="L81" i="19"/>
  <c r="L76" i="19"/>
  <c r="N92" i="1"/>
  <c r="M327" i="1"/>
  <c r="M63" i="19"/>
  <c r="K93" i="19"/>
  <c r="K97" i="19" s="1"/>
  <c r="O127" i="1"/>
  <c r="O130" i="1" s="1"/>
  <c r="O128" i="1"/>
  <c r="O131" i="1" s="1"/>
  <c r="M22" i="19" l="1"/>
  <c r="M32" i="19"/>
  <c r="M57" i="19"/>
  <c r="M58" i="19" s="1"/>
  <c r="N53" i="19" s="1"/>
  <c r="L83" i="19"/>
  <c r="L84" i="19" s="1"/>
  <c r="L85" i="19" s="1"/>
  <c r="P125" i="1"/>
  <c r="P124" i="1"/>
  <c r="Q121" i="1" s="1"/>
  <c r="K94" i="19"/>
  <c r="L89" i="19" s="1"/>
  <c r="K98" i="19"/>
  <c r="K99" i="19" s="1"/>
  <c r="K100" i="19" s="1"/>
  <c r="K104" i="19" s="1"/>
  <c r="O143" i="1"/>
  <c r="O133" i="1"/>
  <c r="O134" i="1" s="1"/>
  <c r="O132" i="1"/>
  <c r="K95" i="19"/>
  <c r="N96" i="1"/>
  <c r="N322" i="1"/>
  <c r="L80" i="19"/>
  <c r="L79" i="19"/>
  <c r="M74" i="19" s="1"/>
  <c r="N55" i="19" l="1"/>
  <c r="N57" i="19" s="1"/>
  <c r="N56" i="19"/>
  <c r="M65" i="19"/>
  <c r="M60" i="19"/>
  <c r="M59" i="19"/>
  <c r="Q122" i="1"/>
  <c r="Q123" i="1" s="1"/>
  <c r="Q125" i="1" s="1"/>
  <c r="K105" i="19"/>
  <c r="K28" i="19" s="1"/>
  <c r="K34" i="19" s="1"/>
  <c r="L96" i="19"/>
  <c r="L91" i="19"/>
  <c r="L90" i="19"/>
  <c r="L92" i="19"/>
  <c r="P127" i="1"/>
  <c r="P130" i="1" s="1"/>
  <c r="P128" i="1"/>
  <c r="P131" i="1" s="1"/>
  <c r="N95" i="1"/>
  <c r="N141" i="1"/>
  <c r="N326" i="1"/>
  <c r="K21" i="19"/>
  <c r="M75" i="19"/>
  <c r="M76" i="19"/>
  <c r="M81" i="19"/>
  <c r="M69" i="19" l="1"/>
  <c r="M70" i="19" s="1"/>
  <c r="M67" i="19"/>
  <c r="M66" i="19"/>
  <c r="N62" i="19" s="1"/>
  <c r="N63" i="19" s="1"/>
  <c r="M77" i="19"/>
  <c r="M54" i="19"/>
  <c r="N59" i="19"/>
  <c r="N32" i="19"/>
  <c r="N22" i="19"/>
  <c r="N58" i="19"/>
  <c r="O53" i="19" s="1"/>
  <c r="N60" i="19"/>
  <c r="N65" i="19"/>
  <c r="L93" i="19"/>
  <c r="L97" i="19" s="1"/>
  <c r="L98" i="19" s="1"/>
  <c r="L99" i="19" s="1"/>
  <c r="L100" i="19" s="1"/>
  <c r="L104" i="19" s="1"/>
  <c r="K106" i="19"/>
  <c r="K107" i="19" s="1"/>
  <c r="Q127" i="1"/>
  <c r="Q130" i="1" s="1"/>
  <c r="Q128" i="1"/>
  <c r="Q131" i="1" s="1"/>
  <c r="K24" i="19"/>
  <c r="K29" i="19"/>
  <c r="K30" i="19" s="1"/>
  <c r="Q124" i="1"/>
  <c r="R121" i="1" s="1"/>
  <c r="P132" i="1"/>
  <c r="P143" i="1"/>
  <c r="P133" i="1"/>
  <c r="P134" i="1" s="1"/>
  <c r="N325" i="1"/>
  <c r="N97" i="1"/>
  <c r="N54" i="19" l="1"/>
  <c r="N77" i="19"/>
  <c r="N67" i="19"/>
  <c r="N69" i="19"/>
  <c r="N70" i="19" s="1"/>
  <c r="O55" i="19"/>
  <c r="O57" i="19" s="1"/>
  <c r="O56" i="19"/>
  <c r="N66" i="19"/>
  <c r="O62" i="19" s="1"/>
  <c r="M78" i="19"/>
  <c r="L95" i="19"/>
  <c r="L94" i="19"/>
  <c r="M89" i="19" s="1"/>
  <c r="M96" i="19" s="1"/>
  <c r="L105" i="19"/>
  <c r="L28" i="19" s="1"/>
  <c r="L34" i="19" s="1"/>
  <c r="L21" i="19"/>
  <c r="N327" i="1"/>
  <c r="O92" i="1"/>
  <c r="R122" i="1"/>
  <c r="R123" i="1" s="1"/>
  <c r="R125" i="1" s="1"/>
  <c r="Q132" i="1"/>
  <c r="Q133" i="1"/>
  <c r="Q134" i="1" s="1"/>
  <c r="Q143" i="1"/>
  <c r="O58" i="19" l="1"/>
  <c r="P53" i="19" s="1"/>
  <c r="P55" i="19" s="1"/>
  <c r="O59" i="19"/>
  <c r="M82" i="19"/>
  <c r="M83" i="19" s="1"/>
  <c r="M84" i="19" s="1"/>
  <c r="M85" i="19" s="1"/>
  <c r="M80" i="19"/>
  <c r="O60" i="19"/>
  <c r="O65" i="19"/>
  <c r="O63" i="19"/>
  <c r="O22" i="19"/>
  <c r="O32" i="19"/>
  <c r="M79" i="19"/>
  <c r="N74" i="19" s="1"/>
  <c r="M90" i="19"/>
  <c r="M91" i="19"/>
  <c r="L106" i="19"/>
  <c r="L107" i="19" s="1"/>
  <c r="R124" i="1"/>
  <c r="S121" i="1" s="1"/>
  <c r="S122" i="1" s="1"/>
  <c r="S123" i="1" s="1"/>
  <c r="S125" i="1" s="1"/>
  <c r="S127" i="1" s="1"/>
  <c r="S130" i="1" s="1"/>
  <c r="R128" i="1"/>
  <c r="R131" i="1" s="1"/>
  <c r="R127" i="1"/>
  <c r="R130" i="1" s="1"/>
  <c r="O322" i="1"/>
  <c r="O96" i="1"/>
  <c r="L24" i="19"/>
  <c r="L29" i="19"/>
  <c r="L30" i="19" s="1"/>
  <c r="M92" i="19" l="1"/>
  <c r="M93" i="19" s="1"/>
  <c r="M97" i="19" s="1"/>
  <c r="P56" i="19"/>
  <c r="P32" i="19" s="1"/>
  <c r="D32" i="19" s="1"/>
  <c r="O66" i="19"/>
  <c r="P62" i="19" s="1"/>
  <c r="P63" i="19" s="1"/>
  <c r="N76" i="19"/>
  <c r="N81" i="19"/>
  <c r="N75" i="19"/>
  <c r="N78" i="19" s="1"/>
  <c r="N82" i="19" s="1"/>
  <c r="N83" i="19" s="1"/>
  <c r="N84" i="19" s="1"/>
  <c r="N85" i="19" s="1"/>
  <c r="O77" i="19"/>
  <c r="O54" i="19"/>
  <c r="P57" i="19"/>
  <c r="O67" i="19"/>
  <c r="O69" i="19"/>
  <c r="O70" i="19" s="1"/>
  <c r="S128" i="1"/>
  <c r="S131" i="1" s="1"/>
  <c r="S132" i="1" s="1"/>
  <c r="S124" i="1"/>
  <c r="T121" i="1" s="1"/>
  <c r="T122" i="1" s="1"/>
  <c r="T123" i="1" s="1"/>
  <c r="T125" i="1" s="1"/>
  <c r="T128" i="1" s="1"/>
  <c r="T131" i="1" s="1"/>
  <c r="O141" i="1"/>
  <c r="O326" i="1"/>
  <c r="O95" i="1"/>
  <c r="R133" i="1"/>
  <c r="R134" i="1" s="1"/>
  <c r="R143" i="1"/>
  <c r="R132" i="1"/>
  <c r="S143" i="1"/>
  <c r="S133" i="1"/>
  <c r="P22" i="19" l="1"/>
  <c r="D22" i="19" s="1"/>
  <c r="P58" i="19"/>
  <c r="N80" i="19"/>
  <c r="P59" i="19"/>
  <c r="E59" i="19" s="1"/>
  <c r="P65" i="19"/>
  <c r="P60" i="19"/>
  <c r="N79" i="19"/>
  <c r="O74" i="19" s="1"/>
  <c r="M95" i="19"/>
  <c r="M94" i="19"/>
  <c r="N89" i="19" s="1"/>
  <c r="N91" i="19" s="1"/>
  <c r="T124" i="1"/>
  <c r="U121" i="1" s="1"/>
  <c r="U122" i="1" s="1"/>
  <c r="T127" i="1"/>
  <c r="T130" i="1" s="1"/>
  <c r="T143" i="1" s="1"/>
  <c r="M98" i="19"/>
  <c r="M99" i="19" s="1"/>
  <c r="M100" i="19" s="1"/>
  <c r="M104" i="19" s="1"/>
  <c r="S134" i="1"/>
  <c r="O325" i="1"/>
  <c r="O97" i="1"/>
  <c r="N92" i="19" l="1"/>
  <c r="N96" i="19"/>
  <c r="N90" i="19"/>
  <c r="O81" i="19"/>
  <c r="O75" i="19"/>
  <c r="O78" i="19" s="1"/>
  <c r="O82" i="19" s="1"/>
  <c r="O83" i="19" s="1"/>
  <c r="O84" i="19" s="1"/>
  <c r="O85" i="19" s="1"/>
  <c r="O76" i="19"/>
  <c r="P77" i="19"/>
  <c r="P54" i="19"/>
  <c r="F54" i="19" s="1"/>
  <c r="P67" i="19"/>
  <c r="E67" i="19" s="1"/>
  <c r="P69" i="19"/>
  <c r="P70" i="19" s="1"/>
  <c r="P66" i="19"/>
  <c r="U123" i="1"/>
  <c r="U125" i="1" s="1"/>
  <c r="U127" i="1" s="1"/>
  <c r="U130" i="1" s="1"/>
  <c r="U133" i="1" s="1"/>
  <c r="T132" i="1"/>
  <c r="T133" i="1"/>
  <c r="T134" i="1" s="1"/>
  <c r="O327" i="1"/>
  <c r="O344" i="1" s="1"/>
  <c r="O345" i="1" s="1"/>
  <c r="P92" i="1"/>
  <c r="P96" i="1" s="1"/>
  <c r="M105" i="19"/>
  <c r="M28" i="19" s="1"/>
  <c r="M34" i="19" s="1"/>
  <c r="M21" i="19"/>
  <c r="N93" i="19" l="1"/>
  <c r="N97" i="19" s="1"/>
  <c r="N98" i="19" s="1"/>
  <c r="N99" i="19" s="1"/>
  <c r="N100" i="19" s="1"/>
  <c r="N104" i="19" s="1"/>
  <c r="N105" i="19" s="1"/>
  <c r="N28" i="19" s="1"/>
  <c r="N34" i="19" s="1"/>
  <c r="O79" i="19"/>
  <c r="P74" i="19" s="1"/>
  <c r="P76" i="19" s="1"/>
  <c r="O80" i="19"/>
  <c r="U124" i="1"/>
  <c r="V121" i="1" s="1"/>
  <c r="V122" i="1" s="1"/>
  <c r="V123" i="1" s="1"/>
  <c r="V125" i="1" s="1"/>
  <c r="V127" i="1" s="1"/>
  <c r="V130" i="1" s="1"/>
  <c r="V143" i="1" s="1"/>
  <c r="U143" i="1"/>
  <c r="U128" i="1"/>
  <c r="U131" i="1" s="1"/>
  <c r="U132" i="1" s="1"/>
  <c r="U134" i="1"/>
  <c r="M106" i="19"/>
  <c r="M107" i="19" s="1"/>
  <c r="M29" i="19"/>
  <c r="M30" i="19" s="1"/>
  <c r="M24" i="19"/>
  <c r="P141" i="1"/>
  <c r="P95" i="1"/>
  <c r="P97" i="1" s="1"/>
  <c r="Q92" i="1" s="1"/>
  <c r="Q96" i="1" s="1"/>
  <c r="O353" i="1"/>
  <c r="O354" i="1" s="1"/>
  <c r="E347" i="1"/>
  <c r="F170" i="1" s="1"/>
  <c r="G21" i="1" s="1"/>
  <c r="N94" i="19" l="1"/>
  <c r="O89" i="19" s="1"/>
  <c r="O91" i="19" s="1"/>
  <c r="N21" i="19"/>
  <c r="N95" i="19"/>
  <c r="V124" i="1"/>
  <c r="W121" i="1" s="1"/>
  <c r="W122" i="1" s="1"/>
  <c r="W123" i="1" s="1"/>
  <c r="W125" i="1" s="1"/>
  <c r="W128" i="1" s="1"/>
  <c r="W131" i="1" s="1"/>
  <c r="V128" i="1"/>
  <c r="V131" i="1" s="1"/>
  <c r="V132" i="1" s="1"/>
  <c r="P81" i="19"/>
  <c r="P75" i="19"/>
  <c r="P78" i="19" s="1"/>
  <c r="P82" i="19" s="1"/>
  <c r="P83" i="19" s="1"/>
  <c r="P84" i="19" s="1"/>
  <c r="P85" i="19" s="1"/>
  <c r="V133" i="1"/>
  <c r="V134" i="1" s="1"/>
  <c r="O90" i="19"/>
  <c r="O96" i="19"/>
  <c r="O92" i="19"/>
  <c r="O355" i="1"/>
  <c r="O358" i="1" s="1"/>
  <c r="O361" i="1" s="1"/>
  <c r="E367" i="1" s="1"/>
  <c r="F174" i="1" s="1"/>
  <c r="G25" i="1" s="1"/>
  <c r="N106" i="19"/>
  <c r="N107" i="19" s="1"/>
  <c r="N24" i="19"/>
  <c r="N29" i="19"/>
  <c r="N30" i="19" s="1"/>
  <c r="Q141" i="1"/>
  <c r="Q95" i="1"/>
  <c r="Q97" i="1" s="1"/>
  <c r="R92" i="1" s="1"/>
  <c r="R96" i="1" s="1"/>
  <c r="W124" i="1" l="1"/>
  <c r="X121" i="1" s="1"/>
  <c r="X122" i="1" s="1"/>
  <c r="X123" i="1" s="1"/>
  <c r="W127" i="1"/>
  <c r="W130" i="1" s="1"/>
  <c r="P80" i="19"/>
  <c r="E80" i="19" s="1"/>
  <c r="P79" i="19"/>
  <c r="O357" i="1"/>
  <c r="O360" i="1" s="1"/>
  <c r="O362" i="1" s="1"/>
  <c r="E364" i="1" s="1"/>
  <c r="F171" i="1" s="1"/>
  <c r="G22" i="1" s="1"/>
  <c r="O93" i="19"/>
  <c r="O97" i="19" s="1"/>
  <c r="R95" i="1"/>
  <c r="R97" i="1" s="1"/>
  <c r="S92" i="1" s="1"/>
  <c r="S96" i="1" s="1"/>
  <c r="R141" i="1"/>
  <c r="W133" i="1"/>
  <c r="W134" i="1" s="1"/>
  <c r="W132" i="1"/>
  <c r="W143" i="1"/>
  <c r="E366" i="1" l="1"/>
  <c r="F173" i="1" s="1"/>
  <c r="G24" i="1" s="1"/>
  <c r="E365" i="1"/>
  <c r="F172" i="1" s="1"/>
  <c r="G23" i="1" s="1"/>
  <c r="O94" i="19"/>
  <c r="P89" i="19" s="1"/>
  <c r="P92" i="19" s="1"/>
  <c r="O98" i="19"/>
  <c r="O99" i="19" s="1"/>
  <c r="O100" i="19" s="1"/>
  <c r="O104" i="19" s="1"/>
  <c r="O95" i="19"/>
  <c r="S95" i="1"/>
  <c r="S97" i="1" s="1"/>
  <c r="T92" i="1" s="1"/>
  <c r="T96" i="1" s="1"/>
  <c r="S141" i="1"/>
  <c r="X125" i="1"/>
  <c r="X124" i="1"/>
  <c r="Y121" i="1" s="1"/>
  <c r="P90" i="19" l="1"/>
  <c r="P93" i="19" s="1"/>
  <c r="P97" i="19" s="1"/>
  <c r="P96" i="19"/>
  <c r="P91" i="19"/>
  <c r="O105" i="19"/>
  <c r="O28" i="19" s="1"/>
  <c r="O34" i="19" s="1"/>
  <c r="O21" i="19"/>
  <c r="T141" i="1"/>
  <c r="T95" i="1"/>
  <c r="T97" i="1" s="1"/>
  <c r="U92" i="1" s="1"/>
  <c r="U96" i="1" s="1"/>
  <c r="Y122" i="1"/>
  <c r="Y123" i="1" s="1"/>
  <c r="Y125" i="1" s="1"/>
  <c r="X127" i="1"/>
  <c r="X130" i="1" s="1"/>
  <c r="X128" i="1"/>
  <c r="X131" i="1" s="1"/>
  <c r="P94" i="19" l="1"/>
  <c r="O106" i="19"/>
  <c r="O107" i="19" s="1"/>
  <c r="P95" i="19"/>
  <c r="E95" i="19" s="1"/>
  <c r="O24" i="19"/>
  <c r="O29" i="19"/>
  <c r="O30" i="19" s="1"/>
  <c r="P98" i="19"/>
  <c r="Y124" i="1"/>
  <c r="Z121" i="1" s="1"/>
  <c r="Z122" i="1" s="1"/>
  <c r="Z123" i="1" s="1"/>
  <c r="Z125" i="1" s="1"/>
  <c r="U141" i="1"/>
  <c r="U95" i="1"/>
  <c r="U97" i="1" s="1"/>
  <c r="V92" i="1" s="1"/>
  <c r="V96" i="1" s="1"/>
  <c r="X133" i="1"/>
  <c r="X134" i="1" s="1"/>
  <c r="X132" i="1"/>
  <c r="X143" i="1"/>
  <c r="Y127" i="1"/>
  <c r="Y130" i="1" s="1"/>
  <c r="Y128" i="1"/>
  <c r="Y131" i="1" s="1"/>
  <c r="P99" i="19" l="1"/>
  <c r="P100" i="19" s="1"/>
  <c r="P104" i="19" s="1"/>
  <c r="Z124" i="1"/>
  <c r="AA121" i="1" s="1"/>
  <c r="AA122" i="1" s="1"/>
  <c r="AA123" i="1" s="1"/>
  <c r="V141" i="1"/>
  <c r="V95" i="1"/>
  <c r="V97" i="1" s="1"/>
  <c r="W92" i="1" s="1"/>
  <c r="W96" i="1" s="1"/>
  <c r="Y143" i="1"/>
  <c r="Y132" i="1"/>
  <c r="Y133" i="1"/>
  <c r="Y134" i="1" s="1"/>
  <c r="Z127" i="1"/>
  <c r="Z130" i="1" s="1"/>
  <c r="Z128" i="1"/>
  <c r="Z131" i="1" s="1"/>
  <c r="P105" i="19" l="1"/>
  <c r="P21" i="19"/>
  <c r="W141" i="1"/>
  <c r="W95" i="1"/>
  <c r="W97" i="1" s="1"/>
  <c r="X92" i="1" s="1"/>
  <c r="X96" i="1" s="1"/>
  <c r="X141" i="1" s="1"/>
  <c r="AA124" i="1"/>
  <c r="AB121" i="1" s="1"/>
  <c r="AA125" i="1"/>
  <c r="Z143" i="1"/>
  <c r="Z132" i="1"/>
  <c r="Z133" i="1"/>
  <c r="Z134" i="1" s="1"/>
  <c r="X95" i="1" l="1"/>
  <c r="X97" i="1" s="1"/>
  <c r="Y92" i="1" s="1"/>
  <c r="Y96" i="1" s="1"/>
  <c r="P29" i="19"/>
  <c r="P24" i="19"/>
  <c r="D24" i="19" s="1"/>
  <c r="D21" i="19"/>
  <c r="P106" i="19"/>
  <c r="P107" i="19" s="1"/>
  <c r="P28" i="19"/>
  <c r="AA127" i="1"/>
  <c r="AA130" i="1" s="1"/>
  <c r="AA128" i="1"/>
  <c r="AA131" i="1" s="1"/>
  <c r="AB122" i="1"/>
  <c r="AB123" i="1" s="1"/>
  <c r="AB125" i="1" s="1"/>
  <c r="D28" i="19" l="1"/>
  <c r="P34" i="19"/>
  <c r="D34" i="19" s="1"/>
  <c r="D23" i="19"/>
  <c r="D25" i="19"/>
  <c r="P30" i="19"/>
  <c r="AB124" i="1"/>
  <c r="AC121" i="1" s="1"/>
  <c r="AB127" i="1"/>
  <c r="AB130" i="1" s="1"/>
  <c r="AB128" i="1"/>
  <c r="AB131" i="1" s="1"/>
  <c r="AA133" i="1"/>
  <c r="AA134" i="1" s="1"/>
  <c r="AA143" i="1"/>
  <c r="AA132" i="1"/>
  <c r="Y141" i="1"/>
  <c r="Y95" i="1"/>
  <c r="Y97" i="1" s="1"/>
  <c r="Z92" i="1" s="1"/>
  <c r="D35" i="19" l="1"/>
  <c r="D33" i="19"/>
  <c r="L9" i="19" s="1"/>
  <c r="L8" i="19" s="1"/>
  <c r="AB132" i="1"/>
  <c r="AB143" i="1"/>
  <c r="AB133" i="1"/>
  <c r="AB134" i="1" s="1"/>
  <c r="AC122" i="1"/>
  <c r="AC123" i="1" s="1"/>
  <c r="AC125" i="1" s="1"/>
  <c r="Z96" i="1"/>
  <c r="AC124" i="1" l="1"/>
  <c r="AD121" i="1" s="1"/>
  <c r="AC127" i="1"/>
  <c r="AC130" i="1" s="1"/>
  <c r="AC128" i="1"/>
  <c r="AC131" i="1" s="1"/>
  <c r="Z141" i="1"/>
  <c r="Z95" i="1"/>
  <c r="Z97" i="1" s="1"/>
  <c r="AA92" i="1" s="1"/>
  <c r="AC132" i="1" l="1"/>
  <c r="AC143" i="1"/>
  <c r="AC133" i="1"/>
  <c r="AC134" i="1" s="1"/>
  <c r="AD122" i="1"/>
  <c r="AD123" i="1" s="1"/>
  <c r="AD125" i="1" s="1"/>
  <c r="AA96" i="1"/>
  <c r="AD124" i="1" l="1"/>
  <c r="AE121" i="1" s="1"/>
  <c r="AD127" i="1"/>
  <c r="AD130" i="1" s="1"/>
  <c r="AD128" i="1"/>
  <c r="AD131" i="1" s="1"/>
  <c r="AA141" i="1"/>
  <c r="AA95" i="1"/>
  <c r="AA97" i="1" s="1"/>
  <c r="AB92" i="1" s="1"/>
  <c r="AD143" i="1" l="1"/>
  <c r="AD132" i="1"/>
  <c r="AD133" i="1"/>
  <c r="AD134" i="1" s="1"/>
  <c r="AE122" i="1"/>
  <c r="AE123" i="1" s="1"/>
  <c r="AB96" i="1"/>
  <c r="AE125" i="1" l="1"/>
  <c r="AE128" i="1" s="1"/>
  <c r="AE131" i="1" s="1"/>
  <c r="AE124" i="1"/>
  <c r="AF121" i="1" s="1"/>
  <c r="AF122" i="1" s="1"/>
  <c r="AF123" i="1" s="1"/>
  <c r="AF125" i="1" s="1"/>
  <c r="AB141" i="1"/>
  <c r="AB95" i="1"/>
  <c r="AB97" i="1" s="1"/>
  <c r="AC92" i="1" s="1"/>
  <c r="AE127" i="1" l="1"/>
  <c r="AE130" i="1" s="1"/>
  <c r="AE133" i="1" s="1"/>
  <c r="AE134" i="1" s="1"/>
  <c r="AF124" i="1"/>
  <c r="AG121" i="1" s="1"/>
  <c r="AF127" i="1"/>
  <c r="AF130" i="1" s="1"/>
  <c r="AF128" i="1"/>
  <c r="AF131" i="1" s="1"/>
  <c r="AC96" i="1"/>
  <c r="AE143" i="1" l="1"/>
  <c r="AE132" i="1"/>
  <c r="AG122" i="1"/>
  <c r="AG123" i="1" s="1"/>
  <c r="AG125" i="1" s="1"/>
  <c r="AF143" i="1"/>
  <c r="AF133" i="1"/>
  <c r="AF134" i="1" s="1"/>
  <c r="AF132" i="1"/>
  <c r="AC141" i="1"/>
  <c r="AC95" i="1"/>
  <c r="AC97" i="1" s="1"/>
  <c r="AD92" i="1" s="1"/>
  <c r="AG124" i="1" l="1"/>
  <c r="AH121" i="1" s="1"/>
  <c r="AH122" i="1" s="1"/>
  <c r="AH123" i="1" s="1"/>
  <c r="AH125" i="1" s="1"/>
  <c r="AG127" i="1"/>
  <c r="AG130" i="1" s="1"/>
  <c r="AG128" i="1"/>
  <c r="AG131" i="1" s="1"/>
  <c r="AD96" i="1"/>
  <c r="AH124" i="1" l="1"/>
  <c r="AI121" i="1" s="1"/>
  <c r="AI122" i="1" s="1"/>
  <c r="AI123" i="1" s="1"/>
  <c r="AI125" i="1" s="1"/>
  <c r="AG133" i="1"/>
  <c r="AG134" i="1" s="1"/>
  <c r="AG143" i="1"/>
  <c r="AG132" i="1"/>
  <c r="AH127" i="1"/>
  <c r="AH130" i="1" s="1"/>
  <c r="AH128" i="1"/>
  <c r="AH131" i="1" s="1"/>
  <c r="AD141" i="1"/>
  <c r="AD95" i="1"/>
  <c r="AD97" i="1" s="1"/>
  <c r="AE92" i="1" s="1"/>
  <c r="AI124" i="1" l="1"/>
  <c r="AJ121" i="1" s="1"/>
  <c r="AJ122" i="1" s="1"/>
  <c r="AH133" i="1"/>
  <c r="AH134" i="1" s="1"/>
  <c r="AH132" i="1"/>
  <c r="AH143" i="1"/>
  <c r="AI128" i="1"/>
  <c r="AI131" i="1" s="1"/>
  <c r="AI127" i="1"/>
  <c r="AI130" i="1" s="1"/>
  <c r="AE96" i="1"/>
  <c r="AI132" i="1" l="1"/>
  <c r="AI133" i="1"/>
  <c r="AI134" i="1" s="1"/>
  <c r="AI143" i="1"/>
  <c r="AE141" i="1"/>
  <c r="AE95" i="1"/>
  <c r="AE97" i="1" s="1"/>
  <c r="AF92" i="1" s="1"/>
  <c r="AF96" i="1" l="1"/>
  <c r="AF141" i="1" l="1"/>
  <c r="AF95" i="1"/>
  <c r="AF97" i="1" s="1"/>
  <c r="AG92" i="1" s="1"/>
  <c r="AG96" i="1" l="1"/>
  <c r="AG141" i="1" l="1"/>
  <c r="AG95" i="1"/>
  <c r="AG97" i="1" s="1"/>
  <c r="AH92" i="1" s="1"/>
  <c r="AH96" i="1" l="1"/>
  <c r="AH141" i="1" l="1"/>
  <c r="AH95" i="1"/>
  <c r="AH97" i="1" s="1"/>
  <c r="AI92" i="1" s="1"/>
  <c r="AI96" i="1" l="1"/>
  <c r="AI141" i="1" l="1"/>
  <c r="AI95" i="1"/>
  <c r="AI97" i="1" s="1"/>
  <c r="AJ92" i="1" s="1"/>
  <c r="AJ96" i="1" l="1"/>
  <c r="AJ141" i="1" l="1"/>
  <c r="AJ95" i="1"/>
  <c r="AJ97" i="1" s="1"/>
  <c r="AJ114" i="1" s="1"/>
  <c r="AJ115" i="1" s="1"/>
  <c r="AJ116" i="1" l="1"/>
  <c r="AJ117" i="1" s="1"/>
  <c r="D117" i="1"/>
  <c r="C20" i="1" s="1"/>
  <c r="AJ123" i="1"/>
  <c r="AJ124" i="1" l="1"/>
  <c r="AJ125" i="1"/>
  <c r="AJ127" i="1" l="1"/>
  <c r="AJ130" i="1" s="1"/>
  <c r="AJ128" i="1"/>
  <c r="AJ131" i="1" s="1"/>
  <c r="D131" i="1" s="1"/>
  <c r="AJ143" i="1" l="1"/>
  <c r="D144" i="1" s="1"/>
  <c r="I51" i="8" s="1"/>
  <c r="AJ133" i="1"/>
  <c r="AJ134" i="1" s="1"/>
  <c r="AJ132" i="1"/>
  <c r="D134" i="1"/>
  <c r="D130" i="1"/>
  <c r="B21" i="7" l="1"/>
  <c r="I9" i="8"/>
  <c r="I50" i="8"/>
  <c r="C21"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Brian</author>
    <author>Alan Stevenson</author>
    <author>Brian Menold</author>
  </authors>
  <commentList>
    <comment ref="E38" authorId="0" shapeId="0" xr:uid="{2DC058A8-E2F4-4FF5-AE5F-328E040CFE24}">
      <text>
        <r>
          <rPr>
            <b/>
            <sz val="9"/>
            <color indexed="81"/>
            <rFont val="Tahoma"/>
            <family val="2"/>
          </rPr>
          <t>Brian:</t>
        </r>
        <r>
          <rPr>
            <sz val="9"/>
            <color indexed="81"/>
            <rFont val="Tahoma"/>
            <family val="2"/>
          </rPr>
          <t xml:space="preserve">
This is a minimum vacancy rate and homes will stop being filled once they get at this number</t>
        </r>
      </text>
    </comment>
    <comment ref="C51" authorId="1" shapeId="0" xr:uid="{E311EB13-1E10-45E3-8FDE-27F21F1E0D93}">
      <text>
        <r>
          <rPr>
            <b/>
            <sz val="9"/>
            <color indexed="81"/>
            <rFont val="Tahoma"/>
            <family val="2"/>
          </rPr>
          <t>INSTRUCTIONS:</t>
        </r>
        <r>
          <rPr>
            <sz val="9"/>
            <color indexed="81"/>
            <rFont val="Tahoma"/>
            <family val="2"/>
          </rPr>
          <t xml:space="preserve">
Enter this as a negative amount.</t>
        </r>
      </text>
    </comment>
    <comment ref="D69" authorId="2" shapeId="0" xr:uid="{1CE19F93-4141-4DF8-B5B2-00264E313B6F}">
      <text>
        <r>
          <rPr>
            <b/>
            <sz val="9"/>
            <color indexed="81"/>
            <rFont val="Tahoma"/>
            <family val="2"/>
          </rPr>
          <t>Brian Menold:</t>
        </r>
        <r>
          <rPr>
            <sz val="9"/>
            <color indexed="81"/>
            <rFont val="Tahoma"/>
            <family val="2"/>
          </rPr>
          <t xml:space="preserve">
2 tax payments</t>
        </r>
      </text>
    </comment>
    <comment ref="D159" authorId="1" shapeId="0" xr:uid="{5EBD8AD3-AAF1-4DFA-9E4D-722B92D78EDD}">
      <text>
        <r>
          <rPr>
            <b/>
            <sz val="9"/>
            <color indexed="81"/>
            <rFont val="Tahoma"/>
            <family val="2"/>
          </rPr>
          <t>Alan Stevenson:</t>
        </r>
        <r>
          <rPr>
            <sz val="9"/>
            <color indexed="81"/>
            <rFont val="Tahoma"/>
            <family val="2"/>
          </rPr>
          <t xml:space="preserve">
Needs to be determined as accurately as easily possible to show the most recent month's income.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Alan Stevenson</author>
  </authors>
  <commentList>
    <comment ref="C27" authorId="0" shapeId="0" xr:uid="{79451E07-D31F-4474-A1E4-7205824C2331}">
      <text>
        <r>
          <rPr>
            <b/>
            <sz val="9"/>
            <color indexed="81"/>
            <rFont val="Tahoma"/>
            <family val="2"/>
          </rPr>
          <t>Alan Stevenson:</t>
        </r>
        <r>
          <rPr>
            <sz val="9"/>
            <color indexed="81"/>
            <rFont val="Tahoma"/>
            <family val="2"/>
          </rPr>
          <t xml:space="preserve">
added $21,190 as a roundup to equity number 5/27/25
</t>
        </r>
      </text>
    </comment>
    <comment ref="C35" authorId="0" shapeId="0" xr:uid="{F758383A-CFB2-4106-AE0F-4869820BE755}">
      <text>
        <r>
          <rPr>
            <b/>
            <sz val="9"/>
            <color indexed="81"/>
            <rFont val="Tahoma"/>
            <family val="2"/>
          </rPr>
          <t xml:space="preserve">Fill in Assessed Property Value from Tax Bill (for California).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Alan Stevenson</author>
  </authors>
  <commentList>
    <comment ref="I9" authorId="0" shapeId="0" xr:uid="{9DA143A7-A5EA-4BCB-AD16-4BA507BBFF49}">
      <text>
        <r>
          <rPr>
            <b/>
            <sz val="9"/>
            <color indexed="81"/>
            <rFont val="Tahoma"/>
            <family val="2"/>
          </rPr>
          <t>Alan Stevenson:</t>
        </r>
        <r>
          <rPr>
            <sz val="9"/>
            <color indexed="81"/>
            <rFont val="Tahoma"/>
            <family val="2"/>
          </rPr>
          <t xml:space="preserve">
if available as part of an offering package.</t>
        </r>
      </text>
    </comment>
    <comment ref="I29" authorId="0" shapeId="0" xr:uid="{DA513931-2003-463D-A4FB-721D5CF17826}">
      <text>
        <r>
          <rPr>
            <b/>
            <sz val="9"/>
            <color indexed="81"/>
            <rFont val="Tahoma"/>
            <family val="2"/>
          </rPr>
          <t>Alan Stevenson:</t>
        </r>
        <r>
          <rPr>
            <sz val="9"/>
            <color indexed="81"/>
            <rFont val="Tahoma"/>
            <family val="2"/>
          </rPr>
          <t xml:space="preserve">
if available as part of an offering package.</t>
        </r>
      </text>
    </comment>
  </commentList>
</comments>
</file>

<file path=xl/sharedStrings.xml><?xml version="1.0" encoding="utf-8"?>
<sst xmlns="http://schemas.openxmlformats.org/spreadsheetml/2006/main" count="975" uniqueCount="639">
  <si>
    <t>Price</t>
  </si>
  <si>
    <t># of spaces
MH/RV/other</t>
  </si>
  <si>
    <t>Price/space</t>
  </si>
  <si>
    <t>Additional Cash needs</t>
  </si>
  <si>
    <t>Vacancy</t>
  </si>
  <si>
    <t>Park owned homes</t>
  </si>
  <si>
    <t>Entry Cap rate</t>
  </si>
  <si>
    <t>Target IRR</t>
  </si>
  <si>
    <t>Key Attributes</t>
  </si>
  <si>
    <t>What makes this property an attractive investment?</t>
  </si>
  <si>
    <t>Uses of additional cash</t>
  </si>
  <si>
    <t>Summary explanation of changes of value</t>
  </si>
  <si>
    <t>Value at year 5</t>
  </si>
  <si>
    <t>Value/space</t>
  </si>
  <si>
    <t>Refi Cap rate</t>
  </si>
  <si>
    <t>5 YR ROI (cash only)</t>
  </si>
  <si>
    <r>
      <t xml:space="preserve">INVESTMENT STRUCTURE </t>
    </r>
    <r>
      <rPr>
        <b/>
        <sz val="10"/>
        <color theme="0"/>
        <rFont val="Arial"/>
        <family val="2"/>
      </rPr>
      <t>(projected returns)</t>
    </r>
  </si>
  <si>
    <t>Cash Infusion Required</t>
  </si>
  <si>
    <r>
      <t>Investment Amount</t>
    </r>
    <r>
      <rPr>
        <b/>
        <sz val="11"/>
        <rFont val="Calibri"/>
        <family val="2"/>
        <scheme val="minor"/>
      </rPr>
      <t xml:space="preserve"> </t>
    </r>
    <r>
      <rPr>
        <b/>
        <sz val="11"/>
        <color rgb="FFC00000"/>
        <rFont val="Calibri"/>
        <family val="2"/>
        <scheme val="minor"/>
      </rPr>
      <t>(</t>
    </r>
    <r>
      <rPr>
        <b/>
        <i/>
        <sz val="11"/>
        <color rgb="FFC00000"/>
        <rFont val="Calibri"/>
        <family val="2"/>
        <scheme val="minor"/>
      </rPr>
      <t>enter amt</t>
    </r>
    <r>
      <rPr>
        <b/>
        <sz val="11"/>
        <color rgb="FFC00000"/>
        <rFont val="Calibri"/>
        <family val="2"/>
        <scheme val="minor"/>
      </rPr>
      <t>)</t>
    </r>
  </si>
  <si>
    <t>Number of Units/of 10,000 total</t>
  </si>
  <si>
    <t>% of ownership</t>
  </si>
  <si>
    <t>Projected Cash Return</t>
  </si>
  <si>
    <t>Year 1</t>
  </si>
  <si>
    <t>Year 2</t>
  </si>
  <si>
    <t>Year 3</t>
  </si>
  <si>
    <t>Year 4</t>
  </si>
  <si>
    <t xml:space="preserve">        Year 5</t>
  </si>
  <si>
    <t>Projected Depreciation</t>
  </si>
  <si>
    <t>Projected total cash returned through year 5</t>
  </si>
  <si>
    <t>Investor IRR (30 Year Hold)</t>
  </si>
  <si>
    <t>Projected value of equity remaining at year 5</t>
  </si>
  <si>
    <t>Investor IRR with Tax Shield (30 Year Hold)</t>
  </si>
  <si>
    <t>Total of cash returned plus retained equity</t>
  </si>
  <si>
    <t>Equity multiple on cash plus retained equity</t>
  </si>
  <si>
    <t xml:space="preserve"> Eli Weiner    530.400.2354</t>
  </si>
  <si>
    <t xml:space="preserve">For information contact: </t>
  </si>
  <si>
    <t>eli@boavidacommunities.com</t>
  </si>
  <si>
    <t>Purchase Price</t>
  </si>
  <si>
    <t>Projections</t>
  </si>
  <si>
    <t>Year 5</t>
  </si>
  <si>
    <t>Year 6</t>
  </si>
  <si>
    <t>Acquisition Cost</t>
  </si>
  <si>
    <t>Total</t>
  </si>
  <si>
    <t>Gross Income</t>
  </si>
  <si>
    <t>Operating Expense</t>
  </si>
  <si>
    <t>Additional Capital / Closing</t>
  </si>
  <si>
    <t>Net Income</t>
  </si>
  <si>
    <t>Total Acquisition Cost</t>
  </si>
  <si>
    <t>Gross Profit</t>
  </si>
  <si>
    <t>All In Entrance Cap Rate</t>
  </si>
  <si>
    <t>Debt Service</t>
  </si>
  <si>
    <t>Equity</t>
  </si>
  <si>
    <t xml:space="preserve">Debt </t>
  </si>
  <si>
    <t>Net Cash Flow after Debt Service</t>
  </si>
  <si>
    <t>Cash from Sale of POH</t>
  </si>
  <si>
    <t>Return of Capital from Refinance</t>
  </si>
  <si>
    <t>Cash Available for Distribution</t>
  </si>
  <si>
    <t>Total Equity Investment</t>
  </si>
  <si>
    <t>Cash Flow to Investor</t>
  </si>
  <si>
    <t>Number of Spaces</t>
  </si>
  <si>
    <t>ROE</t>
  </si>
  <si>
    <t>Price/Space</t>
  </si>
  <si>
    <t>Returns</t>
  </si>
  <si>
    <t>Investor Target IRR</t>
  </si>
  <si>
    <t>Cash on Cash (5 Years)</t>
  </si>
  <si>
    <t>Distributions (5 Years)</t>
  </si>
  <si>
    <t>Contract Price</t>
  </si>
  <si>
    <t>Date Updated</t>
  </si>
  <si>
    <t>Cell T1 is used for the AutoSave Function</t>
  </si>
  <si>
    <t>Acquisition Summary</t>
  </si>
  <si>
    <t>Per Space</t>
  </si>
  <si>
    <t>Inputs / Assumptions</t>
  </si>
  <si>
    <t>Inflation</t>
  </si>
  <si>
    <t>Historical Expense Inputs To Fill</t>
  </si>
  <si>
    <r>
      <t xml:space="preserve">Addl Capital / Closing Costs </t>
    </r>
    <r>
      <rPr>
        <b/>
        <sz val="10"/>
        <rFont val="Arial"/>
        <family val="2"/>
      </rPr>
      <t>(see Notes)</t>
    </r>
  </si>
  <si>
    <t>Management Fee</t>
  </si>
  <si>
    <t>Recourse Loan</t>
  </si>
  <si>
    <t>No</t>
  </si>
  <si>
    <t>Trailing 12</t>
  </si>
  <si>
    <t>Total Investment</t>
  </si>
  <si>
    <t>Management Fee Limit</t>
  </si>
  <si>
    <t>Acquisition Fee</t>
  </si>
  <si>
    <t>2018 Annualized</t>
  </si>
  <si>
    <t>Going In Cap Rate</t>
  </si>
  <si>
    <t>Vacant Spaces Filled/Year</t>
  </si>
  <si>
    <t>Asset Management Fee</t>
  </si>
  <si>
    <t>Brkr Projection</t>
  </si>
  <si>
    <t>Projected Year 1 Cap Rate</t>
  </si>
  <si>
    <t>Maintenance / Capital Reserve</t>
  </si>
  <si>
    <t>/space/yr</t>
  </si>
  <si>
    <t>Refinance Fee</t>
  </si>
  <si>
    <t>Refinance Cap Rate Assumption</t>
  </si>
  <si>
    <t>Insurance Cost/Pad</t>
  </si>
  <si>
    <t>Disposition Fee</t>
  </si>
  <si>
    <t>Space Rent to Acq $ Per Pad Ratio</t>
  </si>
  <si>
    <t>Occupied</t>
  </si>
  <si>
    <t>Vacant</t>
  </si>
  <si>
    <t>Vacancy Rate</t>
  </si>
  <si>
    <t>Water</t>
  </si>
  <si>
    <t>Sewer</t>
  </si>
  <si>
    <t>Flood Zone</t>
  </si>
  <si>
    <t>Fire Zone</t>
  </si>
  <si>
    <t>Notes</t>
  </si>
  <si>
    <t xml:space="preserve">MH </t>
  </si>
  <si>
    <t>Direct Billed</t>
  </si>
  <si>
    <t>RV</t>
  </si>
  <si>
    <t>City</t>
  </si>
  <si>
    <t>Septic</t>
  </si>
  <si>
    <t>Other</t>
  </si>
  <si>
    <t>Park Owned Homes (POH)</t>
  </si>
  <si>
    <t>--&gt; POH to be sold</t>
  </si>
  <si>
    <t>Park Owned Home NOI Summary</t>
  </si>
  <si>
    <t>Home P&amp;I Calculator</t>
  </si>
  <si>
    <t>POH Rent</t>
  </si>
  <si>
    <t>$ Total</t>
  </si>
  <si>
    <t>$ / Home / Mo.</t>
  </si>
  <si>
    <t>Home Value</t>
  </si>
  <si>
    <t>Term (years)</t>
  </si>
  <si>
    <t>Return Metrics Summary</t>
  </si>
  <si>
    <t>3 Year</t>
  </si>
  <si>
    <t>5 Year</t>
  </si>
  <si>
    <t>10 Year</t>
  </si>
  <si>
    <t>Investor BVG Split</t>
  </si>
  <si>
    <t>Income</t>
  </si>
  <si>
    <t>LTV (%)</t>
  </si>
  <si>
    <t>Term (months)</t>
  </si>
  <si>
    <t>Gross IRR - Unl.</t>
  </si>
  <si>
    <t>Investor %</t>
  </si>
  <si>
    <t>Insurance</t>
  </si>
  <si>
    <t>Loan Amt</t>
  </si>
  <si>
    <t>Interest Rate</t>
  </si>
  <si>
    <t>Gross IRR - Lev.</t>
  </si>
  <si>
    <t>BVG %</t>
  </si>
  <si>
    <t>Total Exp Ratio</t>
  </si>
  <si>
    <t>Maintenance</t>
  </si>
  <si>
    <t>Investor IRR</t>
  </si>
  <si>
    <t>Investor Pref. Return (Yr 1)</t>
  </si>
  <si>
    <t>P&amp;I</t>
  </si>
  <si>
    <t>Monthly payment</t>
  </si>
  <si>
    <t>Investor EM</t>
  </si>
  <si>
    <t>Investor Pref. Return (After Yr 1)</t>
  </si>
  <si>
    <t>NOI</t>
  </si>
  <si>
    <t>Total Inv. Distrib.</t>
  </si>
  <si>
    <t>POH Cap Rate</t>
  </si>
  <si>
    <t>Total Value</t>
  </si>
  <si>
    <t>Per Home</t>
  </si>
  <si>
    <t>BVG Cash</t>
  </si>
  <si>
    <t>Yr 10 Value</t>
  </si>
  <si>
    <t>Year 10 $/Pad</t>
  </si>
  <si>
    <t>Value $ / Pad</t>
  </si>
  <si>
    <t>GL Acct</t>
  </si>
  <si>
    <t>Yr 1 Total</t>
  </si>
  <si>
    <t>Monthly Operating Summary</t>
  </si>
  <si>
    <t>Base Year</t>
  </si>
  <si>
    <t>BVG Budget</t>
  </si>
  <si>
    <t>Rental Rate by Category</t>
  </si>
  <si>
    <t>Gross Rental Income by Category</t>
  </si>
  <si>
    <t>Spaces</t>
  </si>
  <si>
    <t>Total Vac. Spaces</t>
  </si>
  <si>
    <t>Net Rental Income</t>
  </si>
  <si>
    <t>Water % PT</t>
  </si>
  <si>
    <t>Sewer % PT</t>
  </si>
  <si>
    <t>W&amp;S % PT</t>
  </si>
  <si>
    <t>Trash % PT</t>
  </si>
  <si>
    <t>Elec % PT</t>
  </si>
  <si>
    <t>Gas % PT</t>
  </si>
  <si>
    <t>Total % PT</t>
  </si>
  <si>
    <t>Wat $/ Occ Pad</t>
  </si>
  <si>
    <t>Sewer $/Occ Pad</t>
  </si>
  <si>
    <t xml:space="preserve">W&amp;S $/ Occ Pad </t>
  </si>
  <si>
    <t>Trash $/ Occ Pad</t>
  </si>
  <si>
    <t>Elec $/ Occ Pad</t>
  </si>
  <si>
    <t>Gas $/ Occ Pad</t>
  </si>
  <si>
    <t>Total $/ Occ Pad</t>
  </si>
  <si>
    <t>Other Income</t>
  </si>
  <si>
    <t>Annualized</t>
  </si>
  <si>
    <t>Electric</t>
  </si>
  <si>
    <t>Gas / Propane</t>
  </si>
  <si>
    <t>Trash</t>
  </si>
  <si>
    <t>Other, misc.</t>
  </si>
  <si>
    <t>Total Other Income</t>
  </si>
  <si>
    <t>Free Rent/Utilities to Manager</t>
  </si>
  <si>
    <t>Total Income (Monthly)</t>
  </si>
  <si>
    <t>Historical Exp.</t>
  </si>
  <si>
    <t>Water $/Pad</t>
  </si>
  <si>
    <t>Sewer $/Pad</t>
  </si>
  <si>
    <t xml:space="preserve">W&amp;S $/Pad </t>
  </si>
  <si>
    <t>Trash $/Pad</t>
  </si>
  <si>
    <t>Elec $/Pad</t>
  </si>
  <si>
    <t>Gas $/Pad</t>
  </si>
  <si>
    <t>Total $/Pad</t>
  </si>
  <si>
    <t>Yr 1 $/Pad</t>
  </si>
  <si>
    <t>Monthly Expenses</t>
  </si>
  <si>
    <t>Payroll Taxes</t>
  </si>
  <si>
    <t>Workers Comp</t>
  </si>
  <si>
    <t>Gas/Propane</t>
  </si>
  <si>
    <t>Sewer-septic</t>
  </si>
  <si>
    <t xml:space="preserve">Water </t>
  </si>
  <si>
    <t>Phone/Cable/Internet</t>
  </si>
  <si>
    <t>Auto expense &amp; travel</t>
  </si>
  <si>
    <t>Outside Services -plumbing, electrical, etc</t>
  </si>
  <si>
    <t>Landscape, pool, &amp; sweeping maintenance &amp; supplies</t>
  </si>
  <si>
    <r>
      <t>Property Taxes (</t>
    </r>
    <r>
      <rPr>
        <i/>
        <sz val="10"/>
        <rFont val="Arial"/>
        <family val="2"/>
      </rPr>
      <t>Add Description of Assumptions</t>
    </r>
    <r>
      <rPr>
        <sz val="10"/>
        <rFont val="Arial"/>
        <family val="2"/>
      </rPr>
      <t>)</t>
    </r>
  </si>
  <si>
    <t xml:space="preserve">Insurance </t>
  </si>
  <si>
    <t>Billing Software</t>
  </si>
  <si>
    <t>Legal Expenses</t>
  </si>
  <si>
    <t>LLC/LP Tax</t>
  </si>
  <si>
    <t>Advertising</t>
  </si>
  <si>
    <t>Tax Return Preparation/accounting</t>
  </si>
  <si>
    <t>Licenses and Permits</t>
  </si>
  <si>
    <t>Banking and Merchant fees (est)</t>
  </si>
  <si>
    <t>Office Supplies, Postage, Pager, Printing, dues, subscr, Misc.</t>
  </si>
  <si>
    <t>Total Operating Expense (Monthly)</t>
  </si>
  <si>
    <t>Net Operating Income (Monthly)</t>
  </si>
  <si>
    <t>Net Operating Income (Annual)</t>
  </si>
  <si>
    <t xml:space="preserve">Return On Cost </t>
  </si>
  <si>
    <t>Initial</t>
  </si>
  <si>
    <t>Refi</t>
  </si>
  <si>
    <t>LTV</t>
  </si>
  <si>
    <t>Debt service</t>
  </si>
  <si>
    <t>Additional debt/Refinance</t>
  </si>
  <si>
    <t>Amort.</t>
  </si>
  <si>
    <t>Payment</t>
  </si>
  <si>
    <t>Rate</t>
  </si>
  <si>
    <t>Principal</t>
  </si>
  <si>
    <t>Interest</t>
  </si>
  <si>
    <t>1st Refi at Year</t>
  </si>
  <si>
    <t>2nd Refi at Year</t>
  </si>
  <si>
    <t>Ending balance</t>
  </si>
  <si>
    <t>Years of IO</t>
  </si>
  <si>
    <t>DSCR</t>
  </si>
  <si>
    <t>This line isn't needed but was helpful when looking at POH Income</t>
  </si>
  <si>
    <t>DSCR w/POH Income</t>
  </si>
  <si>
    <t>Refinance Valuation</t>
  </si>
  <si>
    <t>REFI CAP RATE</t>
  </si>
  <si>
    <t>AVG PRICE EA</t>
  </si>
  <si>
    <t>Net Operating Cash Flow From POH</t>
  </si>
  <si>
    <t>Income from rehabbin and filling vacant POH</t>
  </si>
  <si>
    <t>POH Seller Carry Note</t>
  </si>
  <si>
    <t>Return of Capital (other)</t>
  </si>
  <si>
    <t>Sale Proceeds at Exit</t>
  </si>
  <si>
    <t>Pretax Income Available for Distribution</t>
  </si>
  <si>
    <t>Leveraged Return On Initial Equity</t>
  </si>
  <si>
    <r>
      <t xml:space="preserve">Gross IRR </t>
    </r>
    <r>
      <rPr>
        <sz val="10"/>
        <rFont val="Arial"/>
        <family val="2"/>
      </rPr>
      <t>(par return)</t>
    </r>
  </si>
  <si>
    <t>Distributions</t>
  </si>
  <si>
    <t>Investor Preferred Return</t>
  </si>
  <si>
    <t>Beginning balance</t>
  </si>
  <si>
    <t>Preferred return</t>
  </si>
  <si>
    <t>Available</t>
  </si>
  <si>
    <t>Split</t>
  </si>
  <si>
    <t>Investor</t>
  </si>
  <si>
    <t>BVG</t>
  </si>
  <si>
    <t>Total Project Cash Flow</t>
  </si>
  <si>
    <t>Investor Pretax Leveraged Return On Initial Equity</t>
  </si>
  <si>
    <t>Total Investor Cash (5 Years)</t>
  </si>
  <si>
    <t>Total BVG Cash (5 Years)</t>
  </si>
  <si>
    <t>Investor Return Inclusive of Depreciation</t>
  </si>
  <si>
    <t>Estimated Annual Depreciation (100% investors until refi)</t>
  </si>
  <si>
    <t>Estimated Amount of Taxable Income</t>
  </si>
  <si>
    <t>Depreciation Tax Shield</t>
  </si>
  <si>
    <t>Investor Cash Flow with Tax Shield</t>
  </si>
  <si>
    <t>Investor IRR with Depreciation Tax Shield</t>
  </si>
  <si>
    <t>BVG INTERNAL METRICS BELOW (automatically hidden in Investor version)</t>
  </si>
  <si>
    <t xml:space="preserve">In Place NOI </t>
  </si>
  <si>
    <t>Cost of Sale</t>
  </si>
  <si>
    <t>Monthly</t>
  </si>
  <si>
    <t>Less Free Rent To Manager</t>
  </si>
  <si>
    <t>=Total Income</t>
  </si>
  <si>
    <t>Less Year 1 Operating Expenses</t>
  </si>
  <si>
    <t>=In Place Net Operating Income</t>
  </si>
  <si>
    <t>Internal Return Metrics</t>
  </si>
  <si>
    <t>Gross IRR - Unleveraged</t>
  </si>
  <si>
    <t>Gross IRR - Leveraged</t>
  </si>
  <si>
    <t>Investor Equity Multiple</t>
  </si>
  <si>
    <t>Investor Cash</t>
  </si>
  <si>
    <t>3, 5, 10 YEAR HOLD UNLEVERED CALCULATIONS</t>
  </si>
  <si>
    <t>Year 7</t>
  </si>
  <si>
    <t>Year 8</t>
  </si>
  <si>
    <t>Year 9</t>
  </si>
  <si>
    <t>Year 10</t>
  </si>
  <si>
    <t>Below The Line Items</t>
  </si>
  <si>
    <t>Yr 3 Sale Proceeds</t>
  </si>
  <si>
    <t>3 Year Hold Unlevered Cash Flows</t>
  </si>
  <si>
    <t>3 Year Hold Unlevered IRR</t>
  </si>
  <si>
    <t>Yr 5 Sale Proceeds</t>
  </si>
  <si>
    <t>5 Year Hold Unlevered Cash Flows</t>
  </si>
  <si>
    <t>5 Year Hold Unlevered IRR</t>
  </si>
  <si>
    <t>Yr 10 Sale Proceeds</t>
  </si>
  <si>
    <t>10 Year Hold Unlevered Cash Flows</t>
  </si>
  <si>
    <t>10 Year Hold Unlevered IRR</t>
  </si>
  <si>
    <t xml:space="preserve">3 Year Hold Waterfall </t>
  </si>
  <si>
    <t>Refinance Valuation (from Proforma above)</t>
  </si>
  <si>
    <t>Repay Outstanding Loan</t>
  </si>
  <si>
    <t>Leveraged Gross IRR (3 year hold)</t>
  </si>
  <si>
    <t>Available After Pref / Return Of Capital</t>
  </si>
  <si>
    <t>Investor IRR (3 Year Hold)</t>
  </si>
  <si>
    <t>Total Investor Cash Flow</t>
  </si>
  <si>
    <t>5 Year Hold Waterfall</t>
  </si>
  <si>
    <t>Leveraged Gross IRR (5 year hold)</t>
  </si>
  <si>
    <t>Investor IRR (5 Year Hold)</t>
  </si>
  <si>
    <t>Total BVG Cash Flow</t>
  </si>
  <si>
    <t>10 Year Hold Waterfall</t>
  </si>
  <si>
    <t>Leveraged Gross IRR (10 year hold)</t>
  </si>
  <si>
    <t>Investor IRR (10 Year Hold)</t>
  </si>
  <si>
    <t>BVG Internal "to be hidden section" ends here</t>
  </si>
  <si>
    <t>Additional Cash Needs at Close of Escrow</t>
  </si>
  <si>
    <t>Analysis Assumptions / Notes / Questions</t>
  </si>
  <si>
    <t>Closing Costs</t>
  </si>
  <si>
    <t>Escrow, Title, Other</t>
  </si>
  <si>
    <t>Loan Origination Fees</t>
  </si>
  <si>
    <t>Appraisal, Phase I, Survey</t>
  </si>
  <si>
    <t>Reimbursable Direct Due Diligence Costs</t>
  </si>
  <si>
    <t>Loan Legal</t>
  </si>
  <si>
    <t>Buyer's Broker Fee</t>
  </si>
  <si>
    <t>Other Closing Costs</t>
  </si>
  <si>
    <t>Subtotal Closing Costs</t>
  </si>
  <si>
    <t>Immediate Capital Needs</t>
  </si>
  <si>
    <t>Park Entrance Upgrades</t>
  </si>
  <si>
    <t>Signage Upgrades</t>
  </si>
  <si>
    <t>Landscaping</t>
  </si>
  <si>
    <t>Roads / Asphalt</t>
  </si>
  <si>
    <t>Tree Work</t>
  </si>
  <si>
    <t>Office / Clubhouse</t>
  </si>
  <si>
    <t># of Spaces</t>
  </si>
  <si>
    <t>$/Space</t>
  </si>
  <si>
    <t>Water Meter Installation</t>
  </si>
  <si>
    <t>Manager's Residence</t>
  </si>
  <si>
    <t># of Homes</t>
  </si>
  <si>
    <t>$/Home</t>
  </si>
  <si>
    <t>Home Removal</t>
  </si>
  <si>
    <t>Lot Preparation</t>
  </si>
  <si>
    <t>New Home Installation</t>
  </si>
  <si>
    <t>Used Home Remodel</t>
  </si>
  <si>
    <t>Operating Capital</t>
  </si>
  <si>
    <t>Utility Deposits</t>
  </si>
  <si>
    <t>Other Capital Needs</t>
  </si>
  <si>
    <t>Subtotal Immediate Capital Needs</t>
  </si>
  <si>
    <t>Total Additional Cash at Close of Escrow</t>
  </si>
  <si>
    <t>Property Tax Detail</t>
  </si>
  <si>
    <t>Budgeted Employee Expense</t>
  </si>
  <si>
    <t>Value</t>
  </si>
  <si>
    <t>Old</t>
  </si>
  <si>
    <t>New</t>
  </si>
  <si>
    <t>Hrs / Week</t>
  </si>
  <si>
    <t>$ Per Hour</t>
  </si>
  <si>
    <t>Total $/Mo</t>
  </si>
  <si>
    <t>Count</t>
  </si>
  <si>
    <t>FTE</t>
  </si>
  <si>
    <t xml:space="preserve"> APN</t>
  </si>
  <si>
    <t>Management</t>
  </si>
  <si>
    <t>Indirect Fees</t>
  </si>
  <si>
    <t>Manager</t>
  </si>
  <si>
    <t>Asst Manager</t>
  </si>
  <si>
    <t>Subtotal Management</t>
  </si>
  <si>
    <t>Maintenance Engineer</t>
  </si>
  <si>
    <t>Asst. Maintenance Eng.</t>
  </si>
  <si>
    <t>Other Employees</t>
  </si>
  <si>
    <t>Other 1</t>
  </si>
  <si>
    <t>Other 2</t>
  </si>
  <si>
    <t>total indirect fees</t>
  </si>
  <si>
    <t>Other 3</t>
  </si>
  <si>
    <t>Direct Levies</t>
  </si>
  <si>
    <t>Subtotal Other</t>
  </si>
  <si>
    <t>TOTALS</t>
  </si>
  <si>
    <t>analysis</t>
  </si>
  <si>
    <t>difference</t>
  </si>
  <si>
    <t>per space/mo</t>
  </si>
  <si>
    <t>Depreciation</t>
  </si>
  <si>
    <t>Category</t>
  </si>
  <si>
    <t>Schedule</t>
  </si>
  <si>
    <t>Land Allocation (20%)</t>
  </si>
  <si>
    <t>Buildings Non-Residential</t>
  </si>
  <si>
    <t>39 years</t>
  </si>
  <si>
    <t>Clubhouse</t>
  </si>
  <si>
    <t>Office</t>
  </si>
  <si>
    <t>Laundry</t>
  </si>
  <si>
    <t>Subtotal Non-Residential</t>
  </si>
  <si>
    <t>Buildings Residential</t>
  </si>
  <si>
    <t>27.5 years</t>
  </si>
  <si>
    <t>avg value each</t>
  </si>
  <si>
    <t>POH (qty)</t>
  </si>
  <si>
    <t>Subtotal Residential</t>
  </si>
  <si>
    <t>Infrastructure</t>
  </si>
  <si>
    <t>15 years</t>
  </si>
  <si>
    <t xml:space="preserve">First Year Bonus Depreciation </t>
  </si>
  <si>
    <t>Year 1 NOI</t>
  </si>
  <si>
    <t>Year 1 Taxable income</t>
  </si>
  <si>
    <t>Housing / Economic Summary</t>
  </si>
  <si>
    <t>Historical Population</t>
  </si>
  <si>
    <t>MH Affordability Analysis</t>
  </si>
  <si>
    <t>Zillow Home Value Index</t>
  </si>
  <si>
    <t>MH Pmt Inputs</t>
  </si>
  <si>
    <t>Siet Built Home Pmts.</t>
  </si>
  <si>
    <t>2 Bd Apt Rent</t>
  </si>
  <si>
    <t>Apartment Rents</t>
  </si>
  <si>
    <t>1bd</t>
  </si>
  <si>
    <t>2bd</t>
  </si>
  <si>
    <t>3bd</t>
  </si>
  <si>
    <t>Home Price</t>
  </si>
  <si>
    <t>Down Pmt</t>
  </si>
  <si>
    <t>Med. Home Price</t>
  </si>
  <si>
    <t>Avg. Rents</t>
  </si>
  <si>
    <t>Down Payment</t>
  </si>
  <si>
    <t xml:space="preserve">Median Home Price </t>
  </si>
  <si>
    <t>Population</t>
  </si>
  <si>
    <t>Amortization</t>
  </si>
  <si>
    <t>Median HH Income</t>
  </si>
  <si>
    <t>MH Taxes (Monthly)</t>
  </si>
  <si>
    <t>Prop Taxes/Mo.</t>
  </si>
  <si>
    <t>Major Employers</t>
  </si>
  <si>
    <t>In-Place</t>
  </si>
  <si>
    <t>Manufactured</t>
  </si>
  <si>
    <t>Mortgage</t>
  </si>
  <si>
    <t>Total MH Pmt</t>
  </si>
  <si>
    <t xml:space="preserve">2 Bedroom </t>
  </si>
  <si>
    <t>Favorable</t>
  </si>
  <si>
    <t>Med. Home</t>
  </si>
  <si>
    <t>Space Rent</t>
  </si>
  <si>
    <t>Apt Rent</t>
  </si>
  <si>
    <t>(Unfavorable)</t>
  </si>
  <si>
    <t>Historical Income / Expense Data Entry Form</t>
  </si>
  <si>
    <t>List Data for Proforma (Do Not Change)</t>
  </si>
  <si>
    <t>Deal Name</t>
  </si>
  <si>
    <t>Current Year</t>
  </si>
  <si>
    <t>Three Past Years</t>
  </si>
  <si>
    <t>Date of Statement</t>
  </si>
  <si>
    <t># of Months for YTD</t>
  </si>
  <si>
    <t>BVG Defaults</t>
  </si>
  <si>
    <t>Historical Income Data Entry</t>
  </si>
  <si>
    <t xml:space="preserve">BVG </t>
  </si>
  <si>
    <t>YTD</t>
  </si>
  <si>
    <t xml:space="preserve">Annualized </t>
  </si>
  <si>
    <t>Broker</t>
  </si>
  <si>
    <t>Historical Income Entry</t>
  </si>
  <si>
    <t>Account#</t>
  </si>
  <si>
    <t>Projection</t>
  </si>
  <si>
    <t>Defaults</t>
  </si>
  <si>
    <t>BVG Account Name</t>
  </si>
  <si>
    <t>MH Space Rent Tier 1</t>
  </si>
  <si>
    <t>RV Space Rent Permanent</t>
  </si>
  <si>
    <t>RV Space Rent Temporary</t>
  </si>
  <si>
    <t>Vacancy Loss</t>
  </si>
  <si>
    <t>Free Rent to Manager</t>
  </si>
  <si>
    <t>Totals for Checksum</t>
  </si>
  <si>
    <t>Historical Expenses Data Entry</t>
  </si>
  <si>
    <t>Historical Expenses Entry</t>
  </si>
  <si>
    <t>Manager/Maint (Fill In Description of Assumptions))</t>
  </si>
  <si>
    <t>This can be tricky on YTD statements as is often paid twice per year.</t>
  </si>
  <si>
    <t xml:space="preserve">Maintenance $250 per space </t>
  </si>
  <si>
    <t>Property Taxes (Add Description of Assumptions)</t>
  </si>
  <si>
    <t>Biling Software</t>
  </si>
  <si>
    <t>Professional Mgmt ($2,000/mo or 5%)</t>
  </si>
  <si>
    <t>Historical Income Analysis Summary</t>
  </si>
  <si>
    <t>Broker Projection</t>
  </si>
  <si>
    <t>BVG Default</t>
  </si>
  <si>
    <t>BVG Yr 1</t>
  </si>
  <si>
    <t>BVG Projection vs.</t>
  </si>
  <si>
    <t>Income Item</t>
  </si>
  <si>
    <t>Max T12 / Latest CY</t>
  </si>
  <si>
    <t>Notes / Comments</t>
  </si>
  <si>
    <t>Gross Rental Income</t>
  </si>
  <si>
    <t xml:space="preserve"> </t>
  </si>
  <si>
    <t xml:space="preserve">    Less Vacancy Loss</t>
  </si>
  <si>
    <t>YOY Change</t>
  </si>
  <si>
    <t>Less Free Rent / Utilities To Manager</t>
  </si>
  <si>
    <t>Total Income</t>
  </si>
  <si>
    <t>Historical Expense Analysis Summary</t>
  </si>
  <si>
    <t>Expense Item</t>
  </si>
  <si>
    <t>BVG Yr 1 Projection</t>
  </si>
  <si>
    <t>Average Historical</t>
  </si>
  <si>
    <t>Lookup</t>
  </si>
  <si>
    <t>Salary Exp (0.00 FTE Mgr, 0.00 FTE Maintenance)</t>
  </si>
  <si>
    <t>Maintenance / Capital Reserve ($250 per space / year)</t>
  </si>
  <si>
    <t>Landscaping, Grounds Maintenance, Outside Services</t>
  </si>
  <si>
    <t>Equipment and Supplies</t>
  </si>
  <si>
    <t>Professional Mgmt ($2,000/mo or 5.0%)</t>
  </si>
  <si>
    <t>Total Expenses</t>
  </si>
  <si>
    <t>Operating Expense / Income Ratio</t>
  </si>
  <si>
    <t>Net Operating Income</t>
  </si>
  <si>
    <t>Utility Leakage Analysis</t>
  </si>
  <si>
    <t>Overall Utility Leakage</t>
  </si>
  <si>
    <t>Utility Reimbursement Income</t>
  </si>
  <si>
    <t>Utility Expense</t>
  </si>
  <si>
    <t>Utility Leakage</t>
  </si>
  <si>
    <t>% Utility Reimbursed</t>
  </si>
  <si>
    <t>Electricity Leakage</t>
  </si>
  <si>
    <t>Electricity Reimbursement Income</t>
  </si>
  <si>
    <t>Electricity Expense</t>
  </si>
  <si>
    <t>Electrcity Leakage</t>
  </si>
  <si>
    <t>% Electricity Reimbursed</t>
  </si>
  <si>
    <t>Gas Leakage</t>
  </si>
  <si>
    <t>Gas Reimbursement Income</t>
  </si>
  <si>
    <t>Gas Expense</t>
  </si>
  <si>
    <t>% Gas Reimbursed</t>
  </si>
  <si>
    <t>Trash Leakage</t>
  </si>
  <si>
    <t>Trash Reimbursement Income</t>
  </si>
  <si>
    <t>Trash Expense</t>
  </si>
  <si>
    <t>% Trash Reimbursed</t>
  </si>
  <si>
    <t>Sewer Leakage</t>
  </si>
  <si>
    <t>Sewer Reimbursement Income</t>
  </si>
  <si>
    <t>Sewer Expense</t>
  </si>
  <si>
    <t>% Sewer Reimbursed</t>
  </si>
  <si>
    <t>Water Leakage</t>
  </si>
  <si>
    <t>Water Reimbursement Income</t>
  </si>
  <si>
    <t>Water Expense</t>
  </si>
  <si>
    <t>% Water Reimbursed</t>
  </si>
  <si>
    <t>Combined Sewer/Water Leakage</t>
  </si>
  <si>
    <t>Combined Sewer/Water Reimbursement Income</t>
  </si>
  <si>
    <t>Combined Sewer/Water Expense</t>
  </si>
  <si>
    <t>% Combined Sewer/Water Reimbursed</t>
  </si>
  <si>
    <t>don't delete - needed for chart names</t>
  </si>
  <si>
    <t>Income Account Codes</t>
  </si>
  <si>
    <t>May be included with Mobile Home income under a single line item</t>
  </si>
  <si>
    <t>Other Rental Income</t>
  </si>
  <si>
    <r>
      <rPr>
        <sz val="11"/>
        <color rgb="FFFF0000"/>
        <rFont val="Calibri"/>
        <family val="2"/>
        <scheme val="minor"/>
      </rPr>
      <t>Enter as a negative amount.</t>
    </r>
    <r>
      <rPr>
        <sz val="10"/>
        <rFont val="Arial"/>
        <family val="2"/>
      </rPr>
      <t xml:space="preserve"> Usually will not be shown on historical financial statements. Will appear on broker projections</t>
    </r>
  </si>
  <si>
    <t>Income from passing through utility costs to the residents</t>
  </si>
  <si>
    <t>Other income. Would include storage income</t>
  </si>
  <si>
    <t>Enter this as a negative amount</t>
  </si>
  <si>
    <t>The BoaVida Group - Chart of Expense Accounts</t>
  </si>
  <si>
    <t>Acct#</t>
  </si>
  <si>
    <t>Name</t>
  </si>
  <si>
    <t>Description</t>
  </si>
  <si>
    <t>Manager/Maint Salary Expense</t>
  </si>
  <si>
    <t>Actual wages paid. May or may not include benefits and payroll taxes</t>
  </si>
  <si>
    <t>Usually will not see these in historical financial statements</t>
  </si>
  <si>
    <t>Usually will not see this in historical financial statements</t>
  </si>
  <si>
    <t>This can be either / both electricity provided to the mobile home or electricity for common area items (like streetlights)</t>
  </si>
  <si>
    <t>Gas</t>
  </si>
  <si>
    <t>This is usually expense for natural gas provided to the homes</t>
  </si>
  <si>
    <t>Expense for trash collection (can also be called rubbish or sanitation)</t>
  </si>
  <si>
    <t>Expense for sewer costs to the mobile home park</t>
  </si>
  <si>
    <t>Expense for water costs to the mobile home park</t>
  </si>
  <si>
    <t xml:space="preserve">Phone/Cable </t>
  </si>
  <si>
    <t>Expenses for phone service and/or internet service for the park or the park office</t>
  </si>
  <si>
    <t>Miscellaneous travel services</t>
  </si>
  <si>
    <t>Repairs &amp; Maintenance / Capex Reserve</t>
  </si>
  <si>
    <t>This is a "reserve" account for future capital expenditures. We usually will not see this on historical financial statements</t>
  </si>
  <si>
    <t>Mainly expenses for repairs where an outside contractor (i.e. not a park employee) is used</t>
  </si>
  <si>
    <t>Mainly expenses for landcaping, etc where an outside contractor (i.e. not a park employee) is used</t>
  </si>
  <si>
    <t xml:space="preserve">Property Taxes </t>
  </si>
  <si>
    <t>This is a internal expense, and we will usually not see this on historical financial statements.</t>
  </si>
  <si>
    <t>Expenses for outside lawyers. Often will not be included on historical financial statements</t>
  </si>
  <si>
    <t>Expense for the ownership entity. Usually will not be included on historical financial statements.</t>
  </si>
  <si>
    <t>Expense for adverstising for the park. Often will not be included on historial financial statements.</t>
  </si>
  <si>
    <t>This may or may not be found on historical financial statements.</t>
  </si>
  <si>
    <t>This expense is usually related to license fees paid to government agencies and municipalities.</t>
  </si>
  <si>
    <t>These are bank fees and credit card fees. These often will not be included on historical financial statements.</t>
  </si>
  <si>
    <t>This account is kind of a "catch all" for other expenses (usually small)</t>
  </si>
  <si>
    <t>This expense is for 3rd party management and will often be called "Management Fee"</t>
  </si>
  <si>
    <t>PARTNERSHIP LEVEL RETURNS - EQUITY WATERFALL</t>
  </si>
  <si>
    <t>Promote Structure Method</t>
  </si>
  <si>
    <t>IRR</t>
  </si>
  <si>
    <t>Exit Year</t>
  </si>
  <si>
    <t>Return of Capital</t>
  </si>
  <si>
    <t>Pari Passu</t>
  </si>
  <si>
    <t>Refi Year</t>
  </si>
  <si>
    <t>Do not refi in exit year</t>
  </si>
  <si>
    <t>Equity Contributions</t>
  </si>
  <si>
    <t>%</t>
  </si>
  <si>
    <t>Amount</t>
  </si>
  <si>
    <t>Exit Cap Rate</t>
  </si>
  <si>
    <t>matches refi rate on proforma</t>
  </si>
  <si>
    <t>GP</t>
  </si>
  <si>
    <t>Error Check:</t>
  </si>
  <si>
    <t>LP Investors</t>
  </si>
  <si>
    <t>Profit Dist.:</t>
  </si>
  <si>
    <t>Total Equity</t>
  </si>
  <si>
    <t>Net BTCF:</t>
  </si>
  <si>
    <t>Promote Structure Incentive Breakdown</t>
  </si>
  <si>
    <t>Distribution as %</t>
  </si>
  <si>
    <t>GP %</t>
  </si>
  <si>
    <t>LP %</t>
  </si>
  <si>
    <t>Hurdle 1 (Preferred Return)</t>
  </si>
  <si>
    <t>Equity Multiple</t>
  </si>
  <si>
    <t>Pref</t>
  </si>
  <si>
    <t>GP Promote</t>
  </si>
  <si>
    <t>Hurdle 2</t>
  </si>
  <si>
    <t>Hurdle 3</t>
  </si>
  <si>
    <t>Hurdle 4</t>
  </si>
  <si>
    <t>Summary of Investor Level Returns</t>
  </si>
  <si>
    <t>Limited Partner (LP) Returns</t>
  </si>
  <si>
    <t>Total LP Distributions</t>
  </si>
  <si>
    <t>Total LP Contributions</t>
  </si>
  <si>
    <t>Total LP Profit</t>
  </si>
  <si>
    <t>LP IRR</t>
  </si>
  <si>
    <t>LP Equity Multiple</t>
  </si>
  <si>
    <t>GP Returns</t>
  </si>
  <si>
    <t>Total GP Distributions (Co-Inv. &amp; Promote)</t>
  </si>
  <si>
    <t>Total GP Co-Invest Distributions</t>
  </si>
  <si>
    <t>Total GP Promote Distributions</t>
  </si>
  <si>
    <t>Total GP Fees</t>
  </si>
  <si>
    <t>Total GP Contributions</t>
  </si>
  <si>
    <t>Total GP Profit</t>
  </si>
  <si>
    <t>GP IRR</t>
  </si>
  <si>
    <t>GP Equity Multiple</t>
  </si>
  <si>
    <t>Net Cash Flow For Distribution</t>
  </si>
  <si>
    <t>Year Ending</t>
  </si>
  <si>
    <t>Net Levered Before Tax Cash Flow</t>
  </si>
  <si>
    <t>Asset Management Fees</t>
  </si>
  <si>
    <t>Acquisition Fees</t>
  </si>
  <si>
    <t>Disposition Fees</t>
  </si>
  <si>
    <t>CS (Investor Fee)</t>
  </si>
  <si>
    <t># of investors ($200/yr)</t>
  </si>
  <si>
    <t>CS (Solution Deployment Fee)</t>
  </si>
  <si>
    <t>Sales Commission (Expense)</t>
  </si>
  <si>
    <t>Closing Cost (Expense)</t>
  </si>
  <si>
    <t>Adjusted Levered Before Tax Cash Flow</t>
  </si>
  <si>
    <t>Levered IRR</t>
  </si>
  <si>
    <t>Return of Capital &amp; Hurdle 1 (Preferred Return)</t>
  </si>
  <si>
    <t>Return Threshold - Up to:</t>
  </si>
  <si>
    <t>Beginning Balance (LP Capital Account)</t>
  </si>
  <si>
    <t>LP Return of Capital</t>
  </si>
  <si>
    <t>Req'd Return by LP to hit Hurdle 1</t>
  </si>
  <si>
    <t>Contributions from LP</t>
  </si>
  <si>
    <t>Distributions to LP (Hurdle 1)</t>
  </si>
  <si>
    <t>Ending Balance (LP Capital Account)</t>
  </si>
  <si>
    <t>Distribution to LP</t>
  </si>
  <si>
    <t>Beginning Balance (GP Capital Account)</t>
  </si>
  <si>
    <t>Req'd Return by GP (Pref)</t>
  </si>
  <si>
    <t>Contributions from GP</t>
  </si>
  <si>
    <t>Distribution to GP</t>
  </si>
  <si>
    <t>Ending Balance (GP Capital Account)</t>
  </si>
  <si>
    <t>Cash Flow Remaining</t>
  </si>
  <si>
    <t>Req'd Return by LP to hit Hurdle 2</t>
  </si>
  <si>
    <t>Prior Distributions</t>
  </si>
  <si>
    <t>.</t>
  </si>
  <si>
    <t>Req'd Return by LP to hit Hurdle 3</t>
  </si>
  <si>
    <t>Return Threshold - Greater than:</t>
  </si>
  <si>
    <t xml:space="preserve">Septic sewer </t>
  </si>
  <si>
    <t>New paved roads</t>
  </si>
  <si>
    <t>Parks were redeveloped in 2019</t>
  </si>
  <si>
    <t>Very little deferred maintanence</t>
  </si>
  <si>
    <t>Newer home stock - 2019 and newer</t>
  </si>
  <si>
    <t>Purchased out of receivership at auction</t>
  </si>
  <si>
    <t>Strong market close to major processing companies</t>
  </si>
  <si>
    <t>High number of vacant POH offers immediate upside</t>
  </si>
  <si>
    <t>Direct billed public water</t>
  </si>
  <si>
    <t>Waynesville Estates- 81 Milan Drive, Lumberton, NC 28358</t>
  </si>
  <si>
    <t>$15K approved by Isaac and Eli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</si>
</sst>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6" formatCode="&quot;$&quot;#,##0_);[Red]\(&quot;$&quot;#,##0\)"/>
    <numFmt numFmtId="8" formatCode="&quot;$&quot;#,##0.00_);[Red]\(&quot;$&quot;#,##0.00\)"/>
    <numFmt numFmtId="44" formatCode="_(&quot;$&quot;* #,##0.00_);_(&quot;$&quot;* \(#,##0.00\);_(&quot;$&quot;* &quot;-&quot;??_);_(@_)"/>
    <numFmt numFmtId="43" formatCode="_(* #,##0.00_);_(* \(#,##0.00\);_(* &quot;-&quot;??_);_(@_)"/>
    <numFmt numFmtId="164" formatCode="0.0%"/>
    <numFmt numFmtId="165" formatCode="_(* #,##0_);_(* \(#,##0\);_(* &quot;-&quot;??_);_(@_)"/>
    <numFmt numFmtId="166" formatCode="_(&quot;$&quot;* #,##0_);_(&quot;$&quot;* \(#,##0\);_(&quot;$&quot;* &quot;-&quot;??_);_(@_)"/>
    <numFmt numFmtId="167" formatCode="0.000000%"/>
    <numFmt numFmtId="168" formatCode="0.000000000%"/>
    <numFmt numFmtId="169" formatCode="0%\ &quot;LTV&quot;"/>
    <numFmt numFmtId="170" formatCode="_-&quot;$&quot;* #,##0_-;\-&quot;$&quot;* #,##0_-;_-&quot;$&quot;* &quot;-&quot;??_-;_-@_-"/>
    <numFmt numFmtId="171" formatCode="0.0&quot;x&quot;"/>
    <numFmt numFmtId="172" formatCode="&quot;Year&quot;\ 0"/>
    <numFmt numFmtId="173" formatCode="0.0"/>
    <numFmt numFmtId="174" formatCode="_(&quot;$&quot;* #,##0_);_(&quot;$&quot;* \(#,##0\);_(&quot;$&quot;* &quot;-&quot;?_);_(@_)"/>
    <numFmt numFmtId="175" formatCode="&quot;Vac. Sp=&quot;0.0"/>
    <numFmt numFmtId="176" formatCode="#,##0.0"/>
    <numFmt numFmtId="177" formatCode="0.00&quot;X&quot;"/>
    <numFmt numFmtId="178" formatCode="&quot;v&quot;0.00"/>
    <numFmt numFmtId="179" formatCode="0.000&quot;MM&quot;"/>
    <numFmt numFmtId="180" formatCode="&quot; Up to &quot;0.0%\ \I\R\R&quot; to LP&quot;"/>
    <numFmt numFmtId="181" formatCode="&quot;&gt;&quot;\ 0.00&quot;X EM to LP&quot;"/>
    <numFmt numFmtId="182" formatCode="&quot;&gt;&quot;\ 0.0%\ \I\R\R&quot; to LP&quot;"/>
    <numFmt numFmtId="183" formatCode="&quot; up to &quot;0.0%\ \I\R\R&quot; to LP&quot;"/>
    <numFmt numFmtId="184" formatCode="0.00&quot;x&quot;"/>
    <numFmt numFmtId="185" formatCode="[$-409]d\-mmm\-yy;@"/>
    <numFmt numFmtId="186" formatCode="&quot;IRR Error Check -&quot;\ 0.0%"/>
    <numFmt numFmtId="187" formatCode="&quot;$&quot;#,##0.00"/>
    <numFmt numFmtId="188" formatCode="#,##0.00\x"/>
    <numFmt numFmtId="189" formatCode="0.000000000000000"/>
    <numFmt numFmtId="190" formatCode="_(* #,##0.0000_);_(* \(#,##0.0000\);_(* &quot;-&quot;??_);_(@_)"/>
  </numFmts>
  <fonts count="107" x14ac:knownFonts="1">
    <font>
      <sz val="10"/>
      <name val="Arial"/>
    </font>
    <font>
      <sz val="11"/>
      <color theme="1"/>
      <name val="Calibri"/>
      <family val="2"/>
      <scheme val="minor"/>
    </font>
    <font>
      <sz val="10"/>
      <name val="Arial"/>
      <family val="2"/>
    </font>
    <font>
      <sz val="10"/>
      <name val="Arial"/>
      <family val="2"/>
    </font>
    <font>
      <sz val="11"/>
      <color theme="1"/>
      <name val="Calibri"/>
      <family val="2"/>
      <scheme val="minor"/>
    </font>
    <font>
      <sz val="10"/>
      <color theme="1"/>
      <name val="Arial"/>
      <family val="2"/>
    </font>
    <font>
      <sz val="11"/>
      <color theme="1"/>
      <name val="Calibri"/>
      <family val="2"/>
      <scheme val="minor"/>
    </font>
    <font>
      <sz val="10"/>
      <name val="Arial"/>
      <family val="2"/>
    </font>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b/>
      <sz val="10"/>
      <name val="Arial"/>
      <family val="2"/>
    </font>
    <font>
      <sz val="9"/>
      <name val="Arial"/>
      <family val="2"/>
    </font>
    <font>
      <sz val="10"/>
      <color rgb="FF0000FF"/>
      <name val="Arial"/>
      <family val="2"/>
    </font>
    <font>
      <i/>
      <sz val="9"/>
      <name val="Arial"/>
      <family val="2"/>
    </font>
    <font>
      <sz val="11"/>
      <name val="Calibri"/>
      <family val="2"/>
    </font>
    <font>
      <b/>
      <sz val="11"/>
      <color theme="0"/>
      <name val="Arial"/>
      <family val="2"/>
    </font>
    <font>
      <b/>
      <sz val="10"/>
      <color theme="0"/>
      <name val="Arial"/>
      <family val="2"/>
    </font>
    <font>
      <sz val="10"/>
      <color theme="0"/>
      <name val="Arial"/>
      <family val="2"/>
    </font>
    <font>
      <b/>
      <sz val="10"/>
      <color theme="1"/>
      <name val="Arial"/>
      <family val="2"/>
    </font>
    <font>
      <i/>
      <sz val="8"/>
      <name val="Arial"/>
      <family val="2"/>
    </font>
    <font>
      <b/>
      <i/>
      <sz val="9"/>
      <name val="Arial"/>
      <family val="2"/>
    </font>
    <font>
      <i/>
      <u val="singleAccounting"/>
      <sz val="9"/>
      <name val="Arial"/>
      <family val="2"/>
    </font>
    <font>
      <i/>
      <u/>
      <sz val="9"/>
      <name val="Arial"/>
      <family val="2"/>
    </font>
    <font>
      <sz val="11"/>
      <color theme="1"/>
      <name val="Arial"/>
      <family val="2"/>
    </font>
    <font>
      <sz val="11"/>
      <name val="Calibri"/>
      <family val="2"/>
      <scheme val="minor"/>
    </font>
    <font>
      <i/>
      <sz val="10"/>
      <name val="Arial"/>
      <family val="2"/>
    </font>
    <font>
      <sz val="10"/>
      <color theme="4"/>
      <name val="Arial"/>
      <family val="2"/>
    </font>
    <font>
      <b/>
      <i/>
      <sz val="8"/>
      <name val="Arial"/>
      <family val="2"/>
    </font>
    <font>
      <sz val="10"/>
      <color theme="1" tint="0.499984740745262"/>
      <name val="Arial"/>
      <family val="2"/>
    </font>
    <font>
      <sz val="10"/>
      <name val="Calibri"/>
      <family val="2"/>
      <scheme val="minor"/>
    </font>
    <font>
      <sz val="10"/>
      <color rgb="FF000000"/>
      <name val="Times New Roman"/>
      <family val="1"/>
    </font>
    <font>
      <b/>
      <sz val="14"/>
      <color theme="0"/>
      <name val="Arial"/>
      <family val="2"/>
    </font>
    <font>
      <b/>
      <sz val="11"/>
      <name val="Calibri"/>
      <family val="2"/>
      <scheme val="minor"/>
    </font>
    <font>
      <b/>
      <sz val="11"/>
      <color rgb="FFC00000"/>
      <name val="Calibri"/>
      <family val="2"/>
      <scheme val="minor"/>
    </font>
    <font>
      <b/>
      <i/>
      <sz val="11"/>
      <color rgb="FFC00000"/>
      <name val="Calibri"/>
      <family val="2"/>
      <scheme val="minor"/>
    </font>
    <font>
      <i/>
      <sz val="9"/>
      <name val="Calibri"/>
      <family val="2"/>
      <scheme val="minor"/>
    </font>
    <font>
      <b/>
      <sz val="10"/>
      <name val="Calibri"/>
      <family val="2"/>
      <scheme val="minor"/>
    </font>
    <font>
      <b/>
      <u/>
      <sz val="11"/>
      <name val="Calibri"/>
      <family val="2"/>
    </font>
    <font>
      <b/>
      <sz val="10"/>
      <name val="Calibri"/>
      <family val="2"/>
    </font>
    <font>
      <u val="singleAccounting"/>
      <sz val="10"/>
      <name val="Calibri"/>
      <family val="2"/>
      <scheme val="minor"/>
    </font>
    <font>
      <b/>
      <sz val="10"/>
      <color rgb="FFFFFF00"/>
      <name val="Arial"/>
      <family val="2"/>
    </font>
    <font>
      <b/>
      <i/>
      <sz val="9"/>
      <color theme="0"/>
      <name val="Arial"/>
      <family val="2"/>
    </font>
    <font>
      <b/>
      <sz val="11"/>
      <color rgb="FFFFFF00"/>
      <name val="Arial"/>
      <family val="2"/>
    </font>
    <font>
      <sz val="9"/>
      <color indexed="81"/>
      <name val="Tahoma"/>
      <family val="2"/>
    </font>
    <font>
      <b/>
      <sz val="9"/>
      <color indexed="81"/>
      <name val="Tahoma"/>
      <family val="2"/>
    </font>
    <font>
      <u/>
      <sz val="10"/>
      <color theme="10"/>
      <name val="Arial"/>
      <family val="2"/>
    </font>
    <font>
      <sz val="10"/>
      <color rgb="FF7030A0"/>
      <name val="Arial"/>
      <family val="2"/>
    </font>
    <font>
      <b/>
      <sz val="11"/>
      <color theme="0"/>
      <name val="Calibri"/>
      <family val="2"/>
      <scheme val="minor"/>
    </font>
    <font>
      <sz val="11"/>
      <color theme="0"/>
      <name val="Calibri"/>
      <family val="2"/>
      <scheme val="minor"/>
    </font>
    <font>
      <b/>
      <sz val="9"/>
      <name val="Arial"/>
      <family val="2"/>
    </font>
    <font>
      <sz val="11"/>
      <color rgb="FFFF0000"/>
      <name val="Calibri"/>
      <family val="2"/>
      <scheme val="minor"/>
    </font>
    <font>
      <b/>
      <sz val="11"/>
      <color theme="1"/>
      <name val="Calibri"/>
      <family val="2"/>
      <scheme val="minor"/>
    </font>
    <font>
      <b/>
      <sz val="11"/>
      <color theme="4"/>
      <name val="Calibri"/>
      <family val="2"/>
      <scheme val="minor"/>
    </font>
    <font>
      <i/>
      <sz val="11"/>
      <color theme="1"/>
      <name val="Calibri"/>
      <family val="2"/>
      <scheme val="minor"/>
    </font>
    <font>
      <i/>
      <sz val="11"/>
      <color rgb="FF7030A0"/>
      <name val="Calibri"/>
      <family val="2"/>
      <scheme val="minor"/>
    </font>
    <font>
      <b/>
      <i/>
      <sz val="11"/>
      <color rgb="FF7030A0"/>
      <name val="Calibri"/>
      <family val="2"/>
      <scheme val="minor"/>
    </font>
    <font>
      <sz val="11"/>
      <color rgb="FF7030A0"/>
      <name val="Calibri"/>
      <family val="2"/>
      <scheme val="minor"/>
    </font>
    <font>
      <sz val="9"/>
      <color theme="9" tint="-0.249977111117893"/>
      <name val="Calibri"/>
      <family val="2"/>
      <scheme val="minor"/>
    </font>
    <font>
      <sz val="9"/>
      <color theme="9" tint="-0.249977111117893"/>
      <name val="Arial"/>
      <family val="2"/>
    </font>
    <font>
      <sz val="9"/>
      <name val="Calibri"/>
      <family val="2"/>
      <scheme val="minor"/>
    </font>
    <font>
      <sz val="11"/>
      <color theme="9" tint="-0.249977111117893"/>
      <name val="Calibri"/>
      <family val="2"/>
      <scheme val="minor"/>
    </font>
    <font>
      <sz val="9"/>
      <color rgb="FF7030A0"/>
      <name val="Calibri"/>
      <family val="2"/>
      <scheme val="minor"/>
    </font>
    <font>
      <b/>
      <i/>
      <sz val="8"/>
      <color theme="0"/>
      <name val="Arial"/>
      <family val="2"/>
    </font>
    <font>
      <b/>
      <i/>
      <sz val="11"/>
      <color theme="1"/>
      <name val="Calibri"/>
      <family val="2"/>
      <scheme val="minor"/>
    </font>
    <font>
      <i/>
      <sz val="6"/>
      <color theme="0"/>
      <name val="Arial"/>
      <family val="2"/>
    </font>
    <font>
      <sz val="10"/>
      <color theme="3" tint="-0.249977111117893"/>
      <name val="Arial"/>
      <family val="2"/>
    </font>
    <font>
      <b/>
      <sz val="10"/>
      <color rgb="FFFF0000"/>
      <name val="Arial"/>
      <family val="2"/>
    </font>
    <font>
      <sz val="11"/>
      <name val="Arial"/>
      <family val="1"/>
    </font>
    <font>
      <sz val="11"/>
      <color indexed="8"/>
      <name val="Calibri"/>
      <family val="2"/>
      <scheme val="minor"/>
    </font>
    <font>
      <i/>
      <sz val="8"/>
      <color theme="4" tint="-0.249977111117893"/>
      <name val="Arial"/>
      <family val="2"/>
    </font>
    <font>
      <b/>
      <i/>
      <u/>
      <sz val="10"/>
      <name val="Arial"/>
      <family val="2"/>
    </font>
    <font>
      <i/>
      <sz val="9"/>
      <color theme="4" tint="-0.249977111117893"/>
      <name val="Arial"/>
      <family val="2"/>
    </font>
    <font>
      <i/>
      <sz val="8"/>
      <color rgb="FFFF0000"/>
      <name val="Arial"/>
      <family val="2"/>
    </font>
    <font>
      <sz val="10"/>
      <color theme="0" tint="-0.14999847407452621"/>
      <name val="Arial"/>
      <family val="2"/>
    </font>
    <font>
      <i/>
      <sz val="10"/>
      <color theme="0" tint="-0.14999847407452621"/>
      <name val="Arial"/>
      <family val="2"/>
    </font>
    <font>
      <b/>
      <sz val="14"/>
      <color theme="0"/>
      <name val="Calibri"/>
      <family val="2"/>
      <scheme val="minor"/>
    </font>
    <font>
      <b/>
      <sz val="12"/>
      <name val="Calibri"/>
      <family val="2"/>
      <scheme val="minor"/>
    </font>
    <font>
      <sz val="11"/>
      <color indexed="12"/>
      <name val="Calibri"/>
      <family val="2"/>
      <scheme val="minor"/>
    </font>
    <font>
      <u/>
      <sz val="11"/>
      <name val="Calibri"/>
      <family val="2"/>
      <scheme val="minor"/>
    </font>
    <font>
      <b/>
      <sz val="12"/>
      <color theme="1"/>
      <name val="Calibri"/>
      <family val="2"/>
      <scheme val="minor"/>
    </font>
    <font>
      <sz val="9"/>
      <color theme="1"/>
      <name val="Calibri"/>
      <family val="2"/>
      <scheme val="minor"/>
    </font>
    <font>
      <b/>
      <sz val="9"/>
      <color rgb="FFFF0000"/>
      <name val="Calibri"/>
      <family val="2"/>
      <scheme val="minor"/>
    </font>
    <font>
      <b/>
      <u/>
      <sz val="11"/>
      <color theme="1"/>
      <name val="Calibri"/>
      <family val="2"/>
      <scheme val="minor"/>
    </font>
    <font>
      <u/>
      <sz val="11"/>
      <color theme="1"/>
      <name val="Calibri"/>
      <family val="2"/>
      <scheme val="minor"/>
    </font>
    <font>
      <b/>
      <u/>
      <sz val="11"/>
      <name val="Calibri"/>
      <family val="2"/>
      <scheme val="minor"/>
    </font>
    <font>
      <sz val="11"/>
      <color rgb="FF124579"/>
      <name val="Calibri"/>
      <family val="2"/>
      <scheme val="minor"/>
    </font>
    <font>
      <sz val="10"/>
      <color rgb="FF124579"/>
      <name val="Arial"/>
      <family val="2"/>
    </font>
    <font>
      <b/>
      <sz val="9"/>
      <name val="Calibri"/>
      <family val="2"/>
      <scheme val="minor"/>
    </font>
    <font>
      <i/>
      <sz val="10"/>
      <color rgb="FFFF0000"/>
      <name val="Calibri"/>
      <family val="2"/>
      <scheme val="minor"/>
    </font>
    <font>
      <sz val="9"/>
      <color theme="4" tint="-0.499984740745262"/>
      <name val="Arial"/>
      <family val="2"/>
    </font>
    <font>
      <i/>
      <sz val="9"/>
      <color theme="4" tint="-0.499984740745262"/>
      <name val="Arial"/>
      <family val="2"/>
    </font>
    <font>
      <sz val="9"/>
      <color theme="9" tint="-0.499984740745262"/>
      <name val="Arial"/>
      <family val="2"/>
    </font>
    <font>
      <sz val="9"/>
      <color theme="0"/>
      <name val="Calibri"/>
      <family val="2"/>
      <scheme val="minor"/>
    </font>
    <font>
      <sz val="9"/>
      <color theme="1"/>
      <name val="Arial"/>
      <family val="2"/>
    </font>
    <font>
      <b/>
      <sz val="9"/>
      <color theme="0"/>
      <name val="Calibri"/>
      <family val="2"/>
      <scheme val="minor"/>
    </font>
    <font>
      <i/>
      <sz val="9"/>
      <color theme="3"/>
      <name val="Arial"/>
      <family val="2"/>
    </font>
    <font>
      <sz val="9"/>
      <color theme="3"/>
      <name val="Arial"/>
      <family val="2"/>
    </font>
    <font>
      <u/>
      <sz val="11"/>
      <color theme="10"/>
      <name val="Calibri"/>
      <family val="2"/>
      <scheme val="minor"/>
    </font>
    <font>
      <u/>
      <sz val="10"/>
      <name val="Arial"/>
      <family val="2"/>
    </font>
    <font>
      <sz val="8"/>
      <color theme="3"/>
      <name val="Arial"/>
      <family val="2"/>
    </font>
    <font>
      <sz val="13"/>
      <color theme="0"/>
      <name val="Calibri"/>
      <family val="2"/>
      <scheme val="minor"/>
    </font>
    <font>
      <b/>
      <sz val="12"/>
      <color theme="0"/>
      <name val="Calibri"/>
      <family val="2"/>
      <scheme val="minor"/>
    </font>
    <font>
      <i/>
      <sz val="10"/>
      <color rgb="FFFF0000"/>
      <name val="Arial"/>
      <family val="2"/>
    </font>
  </fonts>
  <fills count="31">
    <fill>
      <patternFill patternType="none"/>
    </fill>
    <fill>
      <patternFill patternType="gray125"/>
    </fill>
    <fill>
      <patternFill patternType="solid">
        <fgColor indexed="9"/>
        <bgColor indexed="64"/>
      </patternFill>
    </fill>
    <fill>
      <patternFill patternType="solid">
        <fgColor rgb="FFFFFF00"/>
        <bgColor indexed="64"/>
      </patternFill>
    </fill>
    <fill>
      <patternFill patternType="solid">
        <fgColor theme="9" tint="0.79998168889431442"/>
        <bgColor indexed="64"/>
      </patternFill>
    </fill>
    <fill>
      <patternFill patternType="solid">
        <fgColor theme="3" tint="-0.249977111117893"/>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indexed="63"/>
        <bgColor indexed="64"/>
      </patternFill>
    </fill>
    <fill>
      <patternFill patternType="solid">
        <fgColor indexed="57"/>
        <bgColor indexed="64"/>
      </patternFill>
    </fill>
    <fill>
      <patternFill patternType="solid">
        <fgColor theme="3" tint="0.79998168889431442"/>
        <bgColor indexed="64"/>
      </patternFill>
    </fill>
    <fill>
      <patternFill patternType="solid">
        <fgColor theme="0"/>
        <bgColor indexed="64"/>
      </patternFill>
    </fill>
    <fill>
      <patternFill patternType="solid">
        <fgColor theme="1" tint="0.34998626667073579"/>
        <bgColor indexed="64"/>
      </patternFill>
    </fill>
    <fill>
      <patternFill patternType="solid">
        <fgColor theme="9"/>
      </patternFill>
    </fill>
    <fill>
      <patternFill patternType="solid">
        <fgColor theme="4"/>
      </patternFill>
    </fill>
    <fill>
      <patternFill patternType="solid">
        <fgColor theme="4" tint="0.59999389629810485"/>
        <bgColor indexed="65"/>
      </patternFill>
    </fill>
    <fill>
      <patternFill patternType="solid">
        <fgColor indexed="22"/>
        <bgColor indexed="64"/>
      </patternFill>
    </fill>
    <fill>
      <patternFill patternType="solid">
        <fgColor rgb="FF002060"/>
        <bgColor indexed="64"/>
      </patternFill>
    </fill>
    <fill>
      <patternFill patternType="solid">
        <fgColor theme="4" tint="0.79998168889431442"/>
        <bgColor indexed="65"/>
      </patternFill>
    </fill>
    <fill>
      <patternFill patternType="solid">
        <fgColor theme="7"/>
      </patternFill>
    </fill>
    <fill>
      <patternFill patternType="solid">
        <fgColor theme="5" tint="-0.249977111117893"/>
        <bgColor indexed="64"/>
      </patternFill>
    </fill>
    <fill>
      <patternFill patternType="solid">
        <fgColor theme="0" tint="-0.249977111117893"/>
        <bgColor indexed="64"/>
      </patternFill>
    </fill>
    <fill>
      <patternFill patternType="solid">
        <fgColor theme="4" tint="0.79998168889431442"/>
        <bgColor indexed="64"/>
      </patternFill>
    </fill>
    <fill>
      <patternFill patternType="solid">
        <fgColor rgb="FFFF9E42"/>
        <bgColor indexed="64"/>
      </patternFill>
    </fill>
    <fill>
      <patternFill patternType="solid">
        <fgColor rgb="FF124579"/>
        <bgColor indexed="64"/>
      </patternFill>
    </fill>
    <fill>
      <patternFill patternType="solid">
        <fgColor theme="6" tint="0.59999389629810485"/>
        <bgColor indexed="65"/>
      </patternFill>
    </fill>
    <fill>
      <patternFill patternType="solid">
        <fgColor theme="9" tint="0.39997558519241921"/>
        <bgColor indexed="65"/>
      </patternFill>
    </fill>
    <fill>
      <patternFill patternType="solid">
        <fgColor theme="4" tint="0.59999389629810485"/>
        <bgColor indexed="64"/>
      </patternFill>
    </fill>
    <fill>
      <patternFill patternType="solid">
        <fgColor theme="4"/>
        <bgColor indexed="64"/>
      </patternFill>
    </fill>
    <fill>
      <patternFill patternType="solid">
        <fgColor theme="0" tint="-0.14999847407452621"/>
        <bgColor indexed="64"/>
      </patternFill>
    </fill>
    <fill>
      <patternFill patternType="solid">
        <fgColor theme="4" tint="-0.499984740745262"/>
        <bgColor indexed="64"/>
      </patternFill>
    </fill>
  </fills>
  <borders count="62">
    <border>
      <left/>
      <right/>
      <top/>
      <bottom/>
      <diagonal/>
    </border>
    <border>
      <left/>
      <right/>
      <top/>
      <bottom style="thin">
        <color auto="1"/>
      </bottom>
      <diagonal/>
    </border>
    <border>
      <left/>
      <right style="thin">
        <color auto="1"/>
      </right>
      <top/>
      <bottom/>
      <diagonal/>
    </border>
    <border>
      <left style="medium">
        <color auto="1"/>
      </left>
      <right/>
      <top/>
      <bottom/>
      <diagonal/>
    </border>
    <border>
      <left/>
      <right style="medium">
        <color auto="1"/>
      </right>
      <top/>
      <bottom style="medium">
        <color auto="1"/>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right style="thin">
        <color auto="1"/>
      </right>
      <top/>
      <bottom style="thin">
        <color auto="1"/>
      </bottom>
      <diagonal/>
    </border>
    <border>
      <left style="thin">
        <color indexed="55"/>
      </left>
      <right style="thin">
        <color indexed="55"/>
      </right>
      <top style="thin">
        <color indexed="55"/>
      </top>
      <bottom style="thin">
        <color indexed="55"/>
      </bottom>
      <diagonal/>
    </border>
    <border>
      <left style="thin">
        <color indexed="58"/>
      </left>
      <right style="thin">
        <color indexed="58"/>
      </right>
      <top style="thin">
        <color indexed="58"/>
      </top>
      <bottom style="thin">
        <color indexed="58"/>
      </bottom>
      <diagonal/>
    </border>
    <border>
      <left style="medium">
        <color auto="1"/>
      </left>
      <right/>
      <top/>
      <bottom style="medium">
        <color auto="1"/>
      </bottom>
      <diagonal/>
    </border>
    <border>
      <left style="thin">
        <color auto="1"/>
      </left>
      <right style="thin">
        <color auto="1"/>
      </right>
      <top/>
      <bottom style="thin">
        <color auto="1"/>
      </bottom>
      <diagonal/>
    </border>
    <border>
      <left style="thin">
        <color auto="1"/>
      </left>
      <right/>
      <top/>
      <bottom/>
      <diagonal/>
    </border>
    <border>
      <left style="thin">
        <color auto="1"/>
      </left>
      <right/>
      <top/>
      <bottom style="thin">
        <color auto="1"/>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right style="medium">
        <color auto="1"/>
      </right>
      <top/>
      <bottom/>
      <diagonal/>
    </border>
    <border>
      <left style="medium">
        <color rgb="FFC00000"/>
      </left>
      <right style="medium">
        <color rgb="FFC00000"/>
      </right>
      <top style="medium">
        <color rgb="FFC00000"/>
      </top>
      <bottom style="medium">
        <color rgb="FFC00000"/>
      </bottom>
      <diagonal/>
    </border>
    <border>
      <left/>
      <right/>
      <top/>
      <bottom style="medium">
        <color auto="1"/>
      </bottom>
      <diagonal/>
    </border>
    <border>
      <left style="thin">
        <color indexed="64"/>
      </left>
      <right style="thin">
        <color indexed="64"/>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style="thin">
        <color theme="0" tint="-0.34998626667073579"/>
      </right>
      <top/>
      <bottom style="thin">
        <color theme="0" tint="-0.34998626667073579"/>
      </bottom>
      <diagonal/>
    </border>
    <border>
      <left/>
      <right style="thin">
        <color indexed="64"/>
      </right>
      <top/>
      <bottom style="medium">
        <color auto="1"/>
      </bottom>
      <diagonal/>
    </border>
    <border>
      <left/>
      <right style="hair">
        <color auto="1"/>
      </right>
      <top/>
      <bottom/>
      <diagonal/>
    </border>
    <border>
      <left style="hair">
        <color auto="1"/>
      </left>
      <right/>
      <top/>
      <bottom/>
      <diagonal/>
    </border>
    <border>
      <left/>
      <right style="hair">
        <color auto="1"/>
      </right>
      <top/>
      <bottom style="thin">
        <color auto="1"/>
      </bottom>
      <diagonal/>
    </border>
    <border>
      <left style="hair">
        <color auto="1"/>
      </left>
      <right/>
      <top/>
      <bottom style="thin">
        <color auto="1"/>
      </bottom>
      <diagonal/>
    </border>
    <border>
      <left style="hair">
        <color auto="1"/>
      </left>
      <right/>
      <top style="thin">
        <color auto="1"/>
      </top>
      <bottom/>
      <diagonal/>
    </border>
    <border>
      <left/>
      <right/>
      <top/>
      <bottom style="double">
        <color indexed="64"/>
      </bottom>
      <diagonal/>
    </border>
    <border>
      <left style="medium">
        <color theme="1" tint="0.499984740745262"/>
      </left>
      <right/>
      <top style="medium">
        <color theme="1" tint="0.499984740745262"/>
      </top>
      <bottom/>
      <diagonal/>
    </border>
    <border>
      <left/>
      <right/>
      <top style="medium">
        <color theme="1" tint="0.499984740745262"/>
      </top>
      <bottom/>
      <diagonal/>
    </border>
    <border>
      <left/>
      <right/>
      <top style="medium">
        <color theme="1" tint="0.499984740745262"/>
      </top>
      <bottom style="medium">
        <color auto="1"/>
      </bottom>
      <diagonal/>
    </border>
    <border>
      <left/>
      <right style="medium">
        <color theme="1" tint="0.499984740745262"/>
      </right>
      <top style="medium">
        <color theme="1" tint="0.499984740745262"/>
      </top>
      <bottom style="medium">
        <color indexed="64"/>
      </bottom>
      <diagonal/>
    </border>
    <border>
      <left/>
      <right style="medium">
        <color theme="1" tint="0.499984740745262"/>
      </right>
      <top/>
      <bottom/>
      <diagonal/>
    </border>
    <border>
      <left/>
      <right style="medium">
        <color theme="0" tint="-0.499984740745262"/>
      </right>
      <top/>
      <bottom/>
      <diagonal/>
    </border>
    <border>
      <left style="medium">
        <color theme="0" tint="-0.499984740745262"/>
      </left>
      <right/>
      <top/>
      <bottom/>
      <diagonal/>
    </border>
    <border>
      <left style="thin">
        <color theme="0" tint="-0.34998626667073579"/>
      </left>
      <right/>
      <top/>
      <bottom style="thin">
        <color indexed="64"/>
      </bottom>
      <diagonal/>
    </border>
    <border>
      <left style="medium">
        <color theme="0" tint="-0.499984740745262"/>
      </left>
      <right/>
      <top style="medium">
        <color theme="0" tint="-0.499984740745262"/>
      </top>
      <bottom/>
      <diagonal/>
    </border>
    <border>
      <left/>
      <right style="medium">
        <color theme="0" tint="-0.499984740745262"/>
      </right>
      <top style="medium">
        <color theme="0" tint="-0.499984740745262"/>
      </top>
      <bottom/>
      <diagonal/>
    </border>
    <border>
      <left style="thin">
        <color indexed="64"/>
      </left>
      <right style="thin">
        <color auto="1"/>
      </right>
      <top/>
      <bottom style="medium">
        <color auto="1"/>
      </bottom>
      <diagonal/>
    </border>
    <border>
      <left style="thin">
        <color indexed="64"/>
      </left>
      <right style="thin">
        <color auto="1"/>
      </right>
      <top style="medium">
        <color auto="1"/>
      </top>
      <bottom style="thin">
        <color indexed="64"/>
      </bottom>
      <diagonal/>
    </border>
    <border>
      <left/>
      <right/>
      <top style="thin">
        <color indexed="64"/>
      </top>
      <bottom style="double">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auto="1"/>
      </right>
      <top style="thin">
        <color auto="1"/>
      </top>
      <bottom style="double">
        <color auto="1"/>
      </bottom>
      <diagonal/>
    </border>
    <border>
      <left/>
      <right style="thick">
        <color theme="0"/>
      </right>
      <top style="thin">
        <color auto="1"/>
      </top>
      <bottom style="double">
        <color auto="1"/>
      </bottom>
      <diagonal/>
    </border>
    <border>
      <left style="thick">
        <color theme="0"/>
      </left>
      <right style="thick">
        <color theme="0"/>
      </right>
      <top style="thin">
        <color auto="1"/>
      </top>
      <bottom style="double">
        <color auto="1"/>
      </bottom>
      <diagonal/>
    </border>
    <border>
      <left style="thick">
        <color theme="0"/>
      </left>
      <right/>
      <top style="thin">
        <color auto="1"/>
      </top>
      <bottom style="double">
        <color auto="1"/>
      </bottom>
      <diagonal/>
    </border>
    <border>
      <left style="medium">
        <color indexed="64"/>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thin">
        <color auto="1"/>
      </left>
      <right style="thin">
        <color auto="1"/>
      </right>
      <top style="thin">
        <color auto="1"/>
      </top>
      <bottom style="thin">
        <color auto="1"/>
      </bottom>
      <diagonal/>
    </border>
    <border>
      <left style="medium">
        <color indexed="64"/>
      </left>
      <right style="medium">
        <color indexed="64"/>
      </right>
      <top style="medium">
        <color indexed="64"/>
      </top>
      <bottom style="medium">
        <color indexed="64"/>
      </bottom>
      <diagonal/>
    </border>
    <border>
      <left/>
      <right/>
      <top style="thin">
        <color indexed="64"/>
      </top>
      <bottom/>
      <diagonal/>
    </border>
    <border>
      <left/>
      <right style="thin">
        <color indexed="64"/>
      </right>
      <top style="thin">
        <color indexed="64"/>
      </top>
      <bottom/>
      <diagonal/>
    </border>
    <border>
      <left style="thin">
        <color auto="1"/>
      </left>
      <right/>
      <top style="thin">
        <color indexed="64"/>
      </top>
      <bottom/>
      <diagonal/>
    </border>
    <border>
      <left style="thin">
        <color indexed="64"/>
      </left>
      <right style="thin">
        <color indexed="64"/>
      </right>
      <top style="thin">
        <color indexed="64"/>
      </top>
      <bottom/>
      <diagonal/>
    </border>
    <border>
      <left style="thick">
        <color theme="0"/>
      </left>
      <right style="thick">
        <color theme="0"/>
      </right>
      <top style="thin">
        <color auto="1"/>
      </top>
      <bottom/>
      <diagonal/>
    </border>
  </borders>
  <cellStyleXfs count="51">
    <xf numFmtId="0" fontId="0" fillId="0" borderId="0"/>
    <xf numFmtId="43"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9" fontId="12" fillId="0" borderId="0" applyFont="0" applyFill="0" applyBorder="0" applyAlignment="0" applyProtection="0"/>
    <xf numFmtId="0" fontId="13" fillId="0" borderId="0"/>
    <xf numFmtId="43" fontId="13" fillId="0" borderId="0" applyFont="0" applyFill="0" applyBorder="0" applyAlignment="0" applyProtection="0"/>
    <xf numFmtId="9" fontId="13" fillId="0" borderId="0" applyFont="0" applyFill="0" applyBorder="0" applyAlignment="0" applyProtection="0"/>
    <xf numFmtId="0" fontId="13" fillId="0" borderId="0"/>
    <xf numFmtId="0" fontId="12" fillId="0" borderId="0"/>
    <xf numFmtId="0" fontId="12" fillId="0" borderId="0"/>
    <xf numFmtId="43" fontId="12" fillId="0" borderId="0" applyFont="0" applyFill="0" applyBorder="0" applyAlignment="0" applyProtection="0"/>
    <xf numFmtId="9" fontId="12" fillId="0" borderId="0" applyFont="0" applyFill="0" applyBorder="0" applyAlignment="0" applyProtection="0"/>
    <xf numFmtId="43" fontId="27" fillId="0" borderId="0" applyFont="0" applyFill="0" applyBorder="0" applyAlignment="0" applyProtection="0"/>
    <xf numFmtId="44" fontId="27" fillId="0" borderId="0" applyFont="0" applyFill="0" applyBorder="0" applyAlignment="0" applyProtection="0"/>
    <xf numFmtId="9" fontId="27" fillId="0" borderId="0" applyFont="0" applyFill="0" applyBorder="0" applyAlignment="0" applyProtection="0"/>
    <xf numFmtId="0" fontId="12" fillId="2" borderId="8" applyNumberFormat="0" applyFont="0" applyProtection="0">
      <alignment horizontal="left" vertical="center"/>
    </xf>
    <xf numFmtId="0" fontId="12" fillId="8" borderId="8" applyNumberFormat="0" applyFont="0" applyProtection="0">
      <alignment horizontal="left" vertical="center"/>
    </xf>
    <xf numFmtId="0" fontId="12" fillId="2" borderId="9" applyNumberFormat="0" applyFont="0" applyProtection="0">
      <alignment horizontal="left" vertical="center"/>
    </xf>
    <xf numFmtId="0" fontId="12" fillId="9" borderId="9" applyNumberFormat="0" applyFont="0" applyProtection="0">
      <alignment horizontal="left" vertical="center"/>
    </xf>
    <xf numFmtId="0" fontId="12" fillId="2" borderId="9" applyNumberFormat="0" applyFont="0" applyProtection="0">
      <alignment horizontal="left" vertical="center"/>
    </xf>
    <xf numFmtId="0" fontId="12" fillId="9" borderId="9" applyNumberFormat="0" applyFont="0" applyProtection="0">
      <alignment horizontal="left" vertical="center"/>
    </xf>
    <xf numFmtId="0" fontId="34" fillId="0" borderId="0"/>
    <xf numFmtId="43" fontId="34" fillId="0" borderId="0" applyFont="0" applyFill="0" applyBorder="0" applyAlignment="0" applyProtection="0"/>
    <xf numFmtId="0" fontId="49" fillId="0" borderId="0" applyNumberFormat="0" applyFill="0" applyBorder="0" applyAlignment="0" applyProtection="0"/>
    <xf numFmtId="0" fontId="52" fillId="13" borderId="0" applyNumberFormat="0" applyBorder="0" applyAlignment="0" applyProtection="0"/>
    <xf numFmtId="0" fontId="52" fillId="14" borderId="0" applyNumberFormat="0" applyBorder="0" applyAlignment="0" applyProtection="0"/>
    <xf numFmtId="0" fontId="11" fillId="15" borderId="0" applyNumberFormat="0" applyBorder="0" applyAlignment="0" applyProtection="0"/>
    <xf numFmtId="0" fontId="11" fillId="0" borderId="0"/>
    <xf numFmtId="0" fontId="71" fillId="0" borderId="0"/>
    <xf numFmtId="0" fontId="72" fillId="0" borderId="0"/>
    <xf numFmtId="44" fontId="71" fillId="0" borderId="0" applyFont="0" applyFill="0" applyBorder="0" applyAlignment="0" applyProtection="0"/>
    <xf numFmtId="0" fontId="10" fillId="18" borderId="0" applyNumberFormat="0" applyBorder="0" applyAlignment="0" applyProtection="0"/>
    <xf numFmtId="0" fontId="52" fillId="19" borderId="0" applyNumberFormat="0" applyBorder="0" applyAlignment="0" applyProtection="0"/>
    <xf numFmtId="0" fontId="9" fillId="0" borderId="0"/>
    <xf numFmtId="0" fontId="8" fillId="25" borderId="0" applyNumberFormat="0" applyBorder="0" applyAlignment="0" applyProtection="0"/>
    <xf numFmtId="0" fontId="6" fillId="0" borderId="0"/>
    <xf numFmtId="43"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5" fillId="26" borderId="0" applyNumberFormat="0" applyBorder="0" applyAlignment="0" applyProtection="0"/>
    <xf numFmtId="0" fontId="4" fillId="0" borderId="0"/>
    <xf numFmtId="0" fontId="101" fillId="0" borderId="0" applyNumberFormat="0" applyFill="0" applyBorder="0" applyAlignment="0" applyProtection="0"/>
    <xf numFmtId="0" fontId="5" fillId="0" borderId="0"/>
    <xf numFmtId="43" fontId="4" fillId="0" borderId="0" applyFont="0" applyFill="0" applyBorder="0" applyAlignment="0" applyProtection="0"/>
    <xf numFmtId="9" fontId="4"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cellStyleXfs>
  <cellXfs count="790">
    <xf numFmtId="0" fontId="0" fillId="0" borderId="0" xfId="0"/>
    <xf numFmtId="0" fontId="17" fillId="0" borderId="0" xfId="5" applyFont="1" applyAlignment="1">
      <alignment horizontal="left" indent="1"/>
    </xf>
    <xf numFmtId="6" fontId="18" fillId="0" borderId="6" xfId="0" applyNumberFormat="1" applyFont="1" applyBorder="1" applyAlignment="1">
      <alignment horizontal="center" vertical="center" wrapText="1"/>
    </xf>
    <xf numFmtId="10" fontId="18" fillId="0" borderId="4" xfId="0" applyNumberFormat="1" applyFont="1" applyBorder="1" applyAlignment="1">
      <alignment horizontal="center" vertical="center" wrapText="1"/>
    </xf>
    <xf numFmtId="0" fontId="18" fillId="0" borderId="0" xfId="0" applyFont="1" applyAlignment="1">
      <alignment horizontal="left" vertical="center"/>
    </xf>
    <xf numFmtId="0" fontId="18" fillId="0" borderId="0" xfId="0" applyFont="1" applyAlignment="1">
      <alignment horizontal="left" vertical="center" indent="2"/>
    </xf>
    <xf numFmtId="0" fontId="20" fillId="5" borderId="0" xfId="5" applyFont="1" applyFill="1" applyAlignment="1">
      <alignment horizontal="left"/>
    </xf>
    <xf numFmtId="0" fontId="12" fillId="0" borderId="0" xfId="5" applyFont="1"/>
    <xf numFmtId="0" fontId="22" fillId="0" borderId="0" xfId="5" applyFont="1"/>
    <xf numFmtId="0" fontId="17" fillId="0" borderId="0" xfId="0" applyFont="1"/>
    <xf numFmtId="0" fontId="12" fillId="0" borderId="0" xfId="0" applyFont="1"/>
    <xf numFmtId="0" fontId="14" fillId="0" borderId="0" xfId="0" applyFont="1"/>
    <xf numFmtId="165" fontId="12" fillId="0" borderId="0" xfId="1" applyNumberFormat="1"/>
    <xf numFmtId="166" fontId="12" fillId="0" borderId="0" xfId="2" applyNumberFormat="1"/>
    <xf numFmtId="0" fontId="23" fillId="0" borderId="0" xfId="0" applyFont="1" applyAlignment="1">
      <alignment horizontal="right"/>
    </xf>
    <xf numFmtId="44" fontId="12" fillId="0" borderId="0" xfId="2"/>
    <xf numFmtId="9" fontId="12" fillId="0" borderId="0" xfId="4"/>
    <xf numFmtId="0" fontId="17" fillId="0" borderId="0" xfId="0" applyFont="1" applyAlignment="1">
      <alignment horizontal="center"/>
    </xf>
    <xf numFmtId="165" fontId="12" fillId="0" borderId="0" xfId="1" applyNumberFormat="1" applyAlignment="1">
      <alignment horizontal="center"/>
    </xf>
    <xf numFmtId="166" fontId="14" fillId="0" borderId="0" xfId="5" applyNumberFormat="1" applyFont="1"/>
    <xf numFmtId="0" fontId="20" fillId="6" borderId="0" xfId="5" applyFont="1" applyFill="1" applyAlignment="1">
      <alignment horizontal="left"/>
    </xf>
    <xf numFmtId="0" fontId="20" fillId="6" borderId="0" xfId="5" applyFont="1" applyFill="1" applyAlignment="1">
      <alignment horizontal="center"/>
    </xf>
    <xf numFmtId="0" fontId="14" fillId="0" borderId="0" xfId="5" applyFont="1"/>
    <xf numFmtId="0" fontId="0" fillId="0" borderId="0" xfId="0" applyAlignment="1">
      <alignment horizontal="left" indent="2"/>
    </xf>
    <xf numFmtId="172" fontId="20" fillId="6" borderId="1" xfId="0" applyNumberFormat="1" applyFont="1" applyFill="1" applyBorder="1" applyAlignment="1">
      <alignment horizontal="center"/>
    </xf>
    <xf numFmtId="166" fontId="17" fillId="7" borderId="0" xfId="2" applyNumberFormat="1" applyFont="1" applyFill="1"/>
    <xf numFmtId="166" fontId="25" fillId="7" borderId="0" xfId="2" applyNumberFormat="1" applyFont="1" applyFill="1" applyAlignment="1">
      <alignment horizontal="center"/>
    </xf>
    <xf numFmtId="10" fontId="12" fillId="0" borderId="0" xfId="4" applyNumberFormat="1" applyAlignment="1">
      <alignment horizontal="center"/>
    </xf>
    <xf numFmtId="166" fontId="23" fillId="0" borderId="0" xfId="0" applyNumberFormat="1" applyFont="1"/>
    <xf numFmtId="0" fontId="12" fillId="0" borderId="0" xfId="10" applyAlignment="1">
      <alignment horizontal="left" indent="1"/>
    </xf>
    <xf numFmtId="0" fontId="20" fillId="5" borderId="0" xfId="5" applyFont="1" applyFill="1" applyAlignment="1">
      <alignment horizontal="center"/>
    </xf>
    <xf numFmtId="9" fontId="0" fillId="0" borderId="0" xfId="15" applyFont="1"/>
    <xf numFmtId="0" fontId="0" fillId="0" borderId="0" xfId="0" applyAlignment="1">
      <alignment horizontal="left" indent="1"/>
    </xf>
    <xf numFmtId="165" fontId="0" fillId="0" borderId="0" xfId="13" applyNumberFormat="1" applyFont="1"/>
    <xf numFmtId="173" fontId="23" fillId="0" borderId="0" xfId="0" applyNumberFormat="1" applyFont="1" applyAlignment="1">
      <alignment horizontal="right"/>
    </xf>
    <xf numFmtId="0" fontId="23" fillId="0" borderId="0" xfId="0" applyFont="1"/>
    <xf numFmtId="165" fontId="0" fillId="10" borderId="1" xfId="13" applyNumberFormat="1" applyFont="1" applyFill="1" applyBorder="1"/>
    <xf numFmtId="164" fontId="14" fillId="0" borderId="0" xfId="0" applyNumberFormat="1" applyFont="1"/>
    <xf numFmtId="164" fontId="17" fillId="0" borderId="0" xfId="7" applyNumberFormat="1" applyFont="1" applyAlignment="1">
      <alignment horizontal="right"/>
    </xf>
    <xf numFmtId="165" fontId="0" fillId="0" borderId="0" xfId="0" applyNumberFormat="1"/>
    <xf numFmtId="0" fontId="20" fillId="5" borderId="0" xfId="10" applyFont="1" applyFill="1" applyAlignment="1">
      <alignment horizontal="centerContinuous"/>
    </xf>
    <xf numFmtId="0" fontId="14" fillId="0" borderId="0" xfId="0" applyFont="1" applyAlignment="1">
      <alignment horizontal="left" indent="1"/>
    </xf>
    <xf numFmtId="0" fontId="20" fillId="5" borderId="0" xfId="10" applyFont="1" applyFill="1" applyAlignment="1">
      <alignment horizontal="left"/>
    </xf>
    <xf numFmtId="0" fontId="20" fillId="5" borderId="0" xfId="10" applyFont="1" applyFill="1" applyAlignment="1">
      <alignment horizontal="center"/>
    </xf>
    <xf numFmtId="0" fontId="12" fillId="0" borderId="0" xfId="10"/>
    <xf numFmtId="0" fontId="14" fillId="0" borderId="0" xfId="10" applyFont="1" applyAlignment="1">
      <alignment horizontal="left"/>
    </xf>
    <xf numFmtId="0" fontId="14" fillId="0" borderId="1" xfId="10" applyFont="1" applyBorder="1" applyAlignment="1">
      <alignment horizontal="center"/>
    </xf>
    <xf numFmtId="170" fontId="12" fillId="0" borderId="0" xfId="10" applyNumberFormat="1"/>
    <xf numFmtId="166" fontId="14" fillId="0" borderId="0" xfId="3" applyNumberFormat="1" applyFont="1" applyAlignment="1">
      <alignment horizontal="right"/>
    </xf>
    <xf numFmtId="0" fontId="14" fillId="0" borderId="0" xfId="10" applyFont="1" applyAlignment="1">
      <alignment horizontal="left" indent="1"/>
    </xf>
    <xf numFmtId="164" fontId="12" fillId="0" borderId="0" xfId="10" applyNumberFormat="1"/>
    <xf numFmtId="171" fontId="12" fillId="0" borderId="0" xfId="10" applyNumberFormat="1"/>
    <xf numFmtId="0" fontId="17" fillId="0" borderId="0" xfId="10" applyFont="1" applyAlignment="1">
      <alignment horizontal="left" indent="2"/>
    </xf>
    <xf numFmtId="10" fontId="17" fillId="0" borderId="0" xfId="10" applyNumberFormat="1" applyFont="1"/>
    <xf numFmtId="0" fontId="14" fillId="0" borderId="0" xfId="5" applyFont="1" applyAlignment="1">
      <alignment horizontal="left" indent="1"/>
    </xf>
    <xf numFmtId="169" fontId="15" fillId="0" borderId="0" xfId="7" applyNumberFormat="1" applyFont="1" applyAlignment="1">
      <alignment horizontal="left"/>
    </xf>
    <xf numFmtId="9" fontId="17" fillId="0" borderId="0" xfId="7" applyFont="1"/>
    <xf numFmtId="164" fontId="17" fillId="0" borderId="0" xfId="7" applyNumberFormat="1" applyFont="1"/>
    <xf numFmtId="170" fontId="14" fillId="0" borderId="0" xfId="5" applyNumberFormat="1" applyFont="1"/>
    <xf numFmtId="166" fontId="15" fillId="0" borderId="0" xfId="0" applyNumberFormat="1" applyFont="1"/>
    <xf numFmtId="0" fontId="15" fillId="0" borderId="0" xfId="0" applyFont="1"/>
    <xf numFmtId="0" fontId="14" fillId="0" borderId="1" xfId="5" applyFont="1" applyBorder="1"/>
    <xf numFmtId="0" fontId="14" fillId="0" borderId="1" xfId="5" applyFont="1" applyBorder="1" applyAlignment="1">
      <alignment horizontal="center"/>
    </xf>
    <xf numFmtId="0" fontId="23" fillId="0" borderId="0" xfId="0" applyFont="1" applyAlignment="1">
      <alignment horizontal="center"/>
    </xf>
    <xf numFmtId="0" fontId="14" fillId="0" borderId="1" xfId="0" applyFont="1" applyBorder="1" applyAlignment="1">
      <alignment horizontal="center"/>
    </xf>
    <xf numFmtId="6" fontId="18" fillId="0" borderId="4" xfId="0" applyNumberFormat="1" applyFont="1" applyBorder="1" applyAlignment="1">
      <alignment horizontal="center" vertical="center" wrapText="1"/>
    </xf>
    <xf numFmtId="0" fontId="33" fillId="0" borderId="0" xfId="0" applyFont="1"/>
    <xf numFmtId="0" fontId="18" fillId="0" borderId="0" xfId="0" applyFont="1" applyAlignment="1">
      <alignment vertical="center"/>
    </xf>
    <xf numFmtId="164" fontId="12" fillId="0" borderId="1" xfId="4" applyNumberFormat="1" applyBorder="1" applyAlignment="1">
      <alignment horizontal="center"/>
    </xf>
    <xf numFmtId="0" fontId="0" fillId="0" borderId="1" xfId="0" applyBorder="1"/>
    <xf numFmtId="0" fontId="0" fillId="0" borderId="0" xfId="0" applyAlignment="1">
      <alignment horizontal="right"/>
    </xf>
    <xf numFmtId="9" fontId="16" fillId="0" borderId="0" xfId="12" applyFont="1"/>
    <xf numFmtId="9" fontId="17" fillId="0" borderId="0" xfId="0" applyNumberFormat="1" applyFont="1" applyAlignment="1">
      <alignment wrapText="1"/>
    </xf>
    <xf numFmtId="9" fontId="14" fillId="0" borderId="0" xfId="0" applyNumberFormat="1" applyFont="1"/>
    <xf numFmtId="164" fontId="12" fillId="0" borderId="0" xfId="4" applyNumberFormat="1" applyAlignment="1">
      <alignment vertical="center"/>
    </xf>
    <xf numFmtId="0" fontId="0" fillId="12" borderId="0" xfId="0" applyFill="1"/>
    <xf numFmtId="0" fontId="35" fillId="12" borderId="0" xfId="0" applyFont="1" applyFill="1" applyAlignment="1">
      <alignment vertical="center"/>
    </xf>
    <xf numFmtId="0" fontId="20" fillId="12" borderId="0" xfId="0" applyFont="1" applyFill="1" applyAlignment="1">
      <alignment vertical="center"/>
    </xf>
    <xf numFmtId="0" fontId="35" fillId="5" borderId="14" xfId="10" applyFont="1" applyFill="1" applyBorder="1" applyAlignment="1">
      <alignment horizontal="left" indent="1"/>
    </xf>
    <xf numFmtId="0" fontId="20" fillId="5" borderId="15" xfId="10" applyFont="1" applyFill="1" applyBorder="1" applyAlignment="1">
      <alignment horizontal="left"/>
    </xf>
    <xf numFmtId="0" fontId="20" fillId="5" borderId="16" xfId="10" applyFont="1" applyFill="1" applyBorder="1" applyAlignment="1">
      <alignment horizontal="left"/>
    </xf>
    <xf numFmtId="0" fontId="12" fillId="0" borderId="3" xfId="10" applyBorder="1"/>
    <xf numFmtId="170" fontId="33" fillId="0" borderId="0" xfId="10" applyNumberFormat="1" applyFont="1"/>
    <xf numFmtId="165" fontId="33" fillId="0" borderId="0" xfId="1" applyNumberFormat="1" applyFont="1"/>
    <xf numFmtId="43" fontId="33" fillId="0" borderId="0" xfId="10" applyNumberFormat="1" applyFont="1"/>
    <xf numFmtId="0" fontId="33" fillId="0" borderId="0" xfId="10" applyFont="1" applyAlignment="1">
      <alignment horizontal="left" vertical="top" wrapText="1"/>
    </xf>
    <xf numFmtId="0" fontId="33" fillId="0" borderId="17" xfId="10" applyFont="1" applyBorder="1" applyAlignment="1">
      <alignment horizontal="left" vertical="top" wrapText="1"/>
    </xf>
    <xf numFmtId="166" fontId="33" fillId="0" borderId="0" xfId="0" applyNumberFormat="1" applyFont="1"/>
    <xf numFmtId="166" fontId="33" fillId="0" borderId="17" xfId="0" applyNumberFormat="1" applyFont="1" applyBorder="1"/>
    <xf numFmtId="164" fontId="39" fillId="0" borderId="0" xfId="4" applyNumberFormat="1" applyFont="1"/>
    <xf numFmtId="164" fontId="39" fillId="0" borderId="17" xfId="4" applyNumberFormat="1" applyFont="1" applyBorder="1"/>
    <xf numFmtId="0" fontId="33" fillId="0" borderId="17" xfId="0" applyFont="1" applyBorder="1"/>
    <xf numFmtId="166" fontId="33" fillId="0" borderId="0" xfId="2" applyNumberFormat="1" applyFont="1"/>
    <xf numFmtId="166" fontId="33" fillId="0" borderId="17" xfId="2" applyNumberFormat="1" applyFont="1" applyBorder="1"/>
    <xf numFmtId="0" fontId="0" fillId="0" borderId="19" xfId="0" applyBorder="1"/>
    <xf numFmtId="166" fontId="32" fillId="0" borderId="0" xfId="2" applyNumberFormat="1" applyFont="1"/>
    <xf numFmtId="10" fontId="33" fillId="0" borderId="0" xfId="4" applyNumberFormat="1" applyFont="1"/>
    <xf numFmtId="0" fontId="40" fillId="0" borderId="3" xfId="0" applyFont="1" applyBorder="1" applyAlignment="1">
      <alignment horizontal="left" indent="1"/>
    </xf>
    <xf numFmtId="0" fontId="40" fillId="0" borderId="0" xfId="0" applyFont="1" applyAlignment="1">
      <alignment horizontal="right"/>
    </xf>
    <xf numFmtId="0" fontId="40" fillId="0" borderId="17" xfId="0" applyFont="1" applyBorder="1" applyAlignment="1">
      <alignment horizontal="left"/>
    </xf>
    <xf numFmtId="0" fontId="40" fillId="0" borderId="3" xfId="10" applyFont="1" applyBorder="1" applyAlignment="1">
      <alignment horizontal="left" indent="1"/>
    </xf>
    <xf numFmtId="0" fontId="40" fillId="0" borderId="3" xfId="10" applyFont="1" applyBorder="1" applyAlignment="1">
      <alignment horizontal="left" vertical="top" indent="1"/>
    </xf>
    <xf numFmtId="0" fontId="40" fillId="3" borderId="3" xfId="10" applyFont="1" applyFill="1" applyBorder="1" applyAlignment="1">
      <alignment horizontal="left" indent="1"/>
    </xf>
    <xf numFmtId="0" fontId="33" fillId="3" borderId="0" xfId="0" applyFont="1" applyFill="1"/>
    <xf numFmtId="166" fontId="33" fillId="3" borderId="18" xfId="10" applyNumberFormat="1" applyFont="1" applyFill="1" applyBorder="1"/>
    <xf numFmtId="0" fontId="41" fillId="0" borderId="0" xfId="0" applyFont="1" applyAlignment="1">
      <alignment vertical="center"/>
    </xf>
    <xf numFmtId="0" fontId="42" fillId="0" borderId="5" xfId="0" applyFont="1" applyBorder="1" applyAlignment="1">
      <alignment horizontal="center" vertical="center" wrapText="1"/>
    </xf>
    <xf numFmtId="0" fontId="42" fillId="0" borderId="5" xfId="0" applyFont="1" applyBorder="1" applyAlignment="1">
      <alignment horizontal="centerContinuous" vertical="center" wrapText="1"/>
    </xf>
    <xf numFmtId="0" fontId="14" fillId="0" borderId="5" xfId="0" applyFont="1" applyBorder="1" applyAlignment="1">
      <alignment horizontal="centerContinuous"/>
    </xf>
    <xf numFmtId="166" fontId="33" fillId="0" borderId="0" xfId="0" applyNumberFormat="1" applyFont="1" applyAlignment="1">
      <alignment horizontal="left"/>
    </xf>
    <xf numFmtId="0" fontId="40" fillId="0" borderId="0" xfId="0" applyFont="1" applyAlignment="1">
      <alignment horizontal="right" indent="1"/>
    </xf>
    <xf numFmtId="164" fontId="33" fillId="0" borderId="17" xfId="4" applyNumberFormat="1" applyFont="1" applyBorder="1" applyAlignment="1">
      <alignment horizontal="left"/>
    </xf>
    <xf numFmtId="166" fontId="43" fillId="0" borderId="0" xfId="2" applyNumberFormat="1" applyFont="1"/>
    <xf numFmtId="0" fontId="0" fillId="0" borderId="4" xfId="0" applyBorder="1"/>
    <xf numFmtId="0" fontId="44" fillId="6" borderId="0" xfId="0" applyFont="1" applyFill="1" applyAlignment="1">
      <alignment horizontal="left" indent="1"/>
    </xf>
    <xf numFmtId="9" fontId="45" fillId="6" borderId="0" xfId="0" applyNumberFormat="1" applyFont="1" applyFill="1"/>
    <xf numFmtId="164" fontId="20" fillId="6" borderId="0" xfId="4" applyNumberFormat="1" applyFont="1" applyFill="1"/>
    <xf numFmtId="165" fontId="20" fillId="6" borderId="0" xfId="1" applyNumberFormat="1" applyFont="1" applyFill="1"/>
    <xf numFmtId="0" fontId="46" fillId="6" borderId="0" xfId="0" applyFont="1" applyFill="1" applyAlignment="1">
      <alignment horizontal="left" indent="1"/>
    </xf>
    <xf numFmtId="165" fontId="19" fillId="6" borderId="0" xfId="1" applyNumberFormat="1" applyFont="1" applyFill="1"/>
    <xf numFmtId="0" fontId="14" fillId="0" borderId="12" xfId="0" applyFont="1" applyBorder="1"/>
    <xf numFmtId="0" fontId="0" fillId="0" borderId="12" xfId="0" applyBorder="1" applyAlignment="1">
      <alignment horizontal="left" indent="1"/>
    </xf>
    <xf numFmtId="0" fontId="14" fillId="0" borderId="13" xfId="0" applyFont="1" applyBorder="1"/>
    <xf numFmtId="0" fontId="14" fillId="0" borderId="1" xfId="0" applyFont="1" applyBorder="1"/>
    <xf numFmtId="0" fontId="0" fillId="0" borderId="12" xfId="0" applyBorder="1"/>
    <xf numFmtId="167" fontId="12" fillId="0" borderId="12" xfId="4" applyNumberFormat="1" applyBorder="1" applyAlignment="1">
      <alignment horizontal="right"/>
    </xf>
    <xf numFmtId="0" fontId="0" fillId="0" borderId="2" xfId="0" applyBorder="1"/>
    <xf numFmtId="0" fontId="0" fillId="0" borderId="13" xfId="0" applyBorder="1"/>
    <xf numFmtId="167" fontId="0" fillId="0" borderId="0" xfId="4" applyNumberFormat="1" applyFont="1"/>
    <xf numFmtId="166" fontId="0" fillId="0" borderId="2" xfId="2" applyNumberFormat="1" applyFont="1" applyBorder="1"/>
    <xf numFmtId="166" fontId="0" fillId="0" borderId="20" xfId="2" applyNumberFormat="1" applyFont="1" applyBorder="1"/>
    <xf numFmtId="166" fontId="0" fillId="0" borderId="11" xfId="0" applyNumberFormat="1" applyBorder="1"/>
    <xf numFmtId="166" fontId="0" fillId="0" borderId="20" xfId="0" applyNumberFormat="1" applyBorder="1"/>
    <xf numFmtId="165" fontId="17" fillId="7" borderId="0" xfId="1" applyNumberFormat="1" applyFont="1" applyFill="1"/>
    <xf numFmtId="165" fontId="12" fillId="7" borderId="0" xfId="1" applyNumberFormat="1" applyFill="1"/>
    <xf numFmtId="165" fontId="25" fillId="7" borderId="0" xfId="1" applyNumberFormat="1" applyFont="1" applyFill="1" applyAlignment="1">
      <alignment horizontal="center"/>
    </xf>
    <xf numFmtId="165" fontId="12" fillId="7" borderId="0" xfId="1" applyNumberFormat="1" applyFill="1" applyAlignment="1">
      <alignment horizontal="center"/>
    </xf>
    <xf numFmtId="165" fontId="17" fillId="7" borderId="1" xfId="1" applyNumberFormat="1" applyFont="1" applyFill="1" applyBorder="1"/>
    <xf numFmtId="165" fontId="24" fillId="7" borderId="0" xfId="1" applyNumberFormat="1" applyFont="1" applyFill="1"/>
    <xf numFmtId="165" fontId="23" fillId="7" borderId="0" xfId="1" applyNumberFormat="1" applyFont="1" applyFill="1"/>
    <xf numFmtId="165" fontId="0" fillId="10" borderId="1" xfId="1" applyNumberFormat="1" applyFont="1" applyFill="1" applyBorder="1"/>
    <xf numFmtId="165" fontId="0" fillId="0" borderId="0" xfId="1" applyNumberFormat="1" applyFont="1"/>
    <xf numFmtId="165" fontId="12" fillId="0" borderId="0" xfId="1" applyNumberFormat="1" applyAlignment="1">
      <alignment horizontal="right" vertical="center"/>
    </xf>
    <xf numFmtId="164" fontId="16" fillId="0" borderId="0" xfId="15" applyNumberFormat="1" applyFont="1"/>
    <xf numFmtId="6" fontId="16" fillId="0" borderId="2" xfId="12" applyNumberFormat="1" applyFont="1" applyBorder="1" applyAlignment="1">
      <alignment horizontal="right"/>
    </xf>
    <xf numFmtId="6" fontId="16" fillId="0" borderId="0" xfId="15" applyNumberFormat="1" applyFont="1"/>
    <xf numFmtId="6" fontId="16" fillId="0" borderId="0" xfId="12" applyNumberFormat="1" applyFont="1"/>
    <xf numFmtId="6" fontId="12" fillId="0" borderId="0" xfId="12" applyNumberFormat="1"/>
    <xf numFmtId="0" fontId="53" fillId="0" borderId="19" xfId="0" applyFont="1" applyBorder="1" applyAlignment="1">
      <alignment horizontal="center"/>
    </xf>
    <xf numFmtId="0" fontId="14" fillId="0" borderId="19" xfId="0" applyFont="1" applyBorder="1" applyAlignment="1">
      <alignment horizontal="center"/>
    </xf>
    <xf numFmtId="0" fontId="11" fillId="0" borderId="0" xfId="28"/>
    <xf numFmtId="0" fontId="56" fillId="0" borderId="0" xfId="28" applyFont="1"/>
    <xf numFmtId="0" fontId="51" fillId="0" borderId="0" xfId="26" applyFont="1" applyFill="1" applyAlignment="1">
      <alignment horizontal="center"/>
    </xf>
    <xf numFmtId="0" fontId="56" fillId="0" borderId="0" xfId="28" applyFont="1" applyAlignment="1">
      <alignment horizontal="center"/>
    </xf>
    <xf numFmtId="0" fontId="11" fillId="0" borderId="0" xfId="28" applyAlignment="1">
      <alignment horizontal="center"/>
    </xf>
    <xf numFmtId="0" fontId="57" fillId="0" borderId="0" xfId="28" applyFont="1" applyAlignment="1">
      <alignment horizontal="right"/>
    </xf>
    <xf numFmtId="14" fontId="56" fillId="0" borderId="0" xfId="28" applyNumberFormat="1" applyFont="1"/>
    <xf numFmtId="0" fontId="57" fillId="0" borderId="0" xfId="28" applyFont="1"/>
    <xf numFmtId="0" fontId="58" fillId="0" borderId="0" xfId="28" applyFont="1" applyAlignment="1">
      <alignment horizontal="right"/>
    </xf>
    <xf numFmtId="0" fontId="58" fillId="0" borderId="0" xfId="28" applyFont="1" applyAlignment="1">
      <alignment horizontal="left"/>
    </xf>
    <xf numFmtId="0" fontId="55" fillId="0" borderId="0" xfId="28" applyFont="1"/>
    <xf numFmtId="0" fontId="55" fillId="0" borderId="0" xfId="28" applyFont="1" applyAlignment="1">
      <alignment horizontal="center"/>
    </xf>
    <xf numFmtId="0" fontId="55" fillId="0" borderId="19" xfId="28" applyFont="1" applyBorder="1" applyAlignment="1">
      <alignment horizontal="center"/>
    </xf>
    <xf numFmtId="0" fontId="55" fillId="0" borderId="19" xfId="28" applyFont="1" applyBorder="1"/>
    <xf numFmtId="6" fontId="11" fillId="0" borderId="11" xfId="28" applyNumberFormat="1" applyBorder="1"/>
    <xf numFmtId="0" fontId="11" fillId="4" borderId="11" xfId="28" applyFill="1" applyBorder="1"/>
    <xf numFmtId="0" fontId="11" fillId="10" borderId="11" xfId="28" applyFill="1" applyBorder="1" applyAlignment="1">
      <alignment horizontal="center"/>
    </xf>
    <xf numFmtId="6" fontId="11" fillId="4" borderId="11" xfId="28" applyNumberFormat="1" applyFill="1" applyBorder="1"/>
    <xf numFmtId="0" fontId="11" fillId="0" borderId="11" xfId="28" applyBorder="1"/>
    <xf numFmtId="0" fontId="59" fillId="0" borderId="0" xfId="28" applyFont="1"/>
    <xf numFmtId="0" fontId="59" fillId="0" borderId="0" xfId="28" applyFont="1" applyAlignment="1">
      <alignment horizontal="center"/>
    </xf>
    <xf numFmtId="6" fontId="59" fillId="0" borderId="0" xfId="28" applyNumberFormat="1" applyFont="1"/>
    <xf numFmtId="0" fontId="51" fillId="0" borderId="0" xfId="26" applyFont="1" applyFill="1"/>
    <xf numFmtId="0" fontId="36" fillId="0" borderId="0" xfId="26" applyFont="1" applyFill="1"/>
    <xf numFmtId="0" fontId="60" fillId="0" borderId="0" xfId="28" applyFont="1"/>
    <xf numFmtId="0" fontId="28" fillId="0" borderId="0" xfId="28" applyFont="1"/>
    <xf numFmtId="0" fontId="50" fillId="0" borderId="0" xfId="28" applyFont="1" applyAlignment="1">
      <alignment horizontal="center"/>
    </xf>
    <xf numFmtId="6" fontId="28" fillId="0" borderId="0" xfId="28" applyNumberFormat="1" applyFont="1" applyAlignment="1">
      <alignment horizontal="right"/>
    </xf>
    <xf numFmtId="6" fontId="28" fillId="0" borderId="0" xfId="26" applyNumberFormat="1" applyFont="1" applyFill="1" applyAlignment="1">
      <alignment horizontal="right"/>
    </xf>
    <xf numFmtId="6" fontId="28" fillId="4" borderId="21" xfId="26" applyNumberFormat="1" applyFont="1" applyFill="1" applyBorder="1" applyAlignment="1">
      <alignment horizontal="right"/>
    </xf>
    <xf numFmtId="0" fontId="61" fillId="0" borderId="0" xfId="28" applyFont="1"/>
    <xf numFmtId="6" fontId="28" fillId="4" borderId="22" xfId="26" applyNumberFormat="1" applyFont="1" applyFill="1" applyBorder="1" applyAlignment="1">
      <alignment horizontal="right"/>
    </xf>
    <xf numFmtId="164" fontId="61" fillId="0" borderId="0" xfId="28" applyNumberFormat="1" applyFont="1"/>
    <xf numFmtId="0" fontId="14" fillId="0" borderId="0" xfId="28" applyFont="1" applyAlignment="1">
      <alignment horizontal="left" indent="1"/>
    </xf>
    <xf numFmtId="6" fontId="61" fillId="0" borderId="0" xfId="28" applyNumberFormat="1" applyFont="1"/>
    <xf numFmtId="0" fontId="62" fillId="0" borderId="0" xfId="28" applyFont="1" applyAlignment="1">
      <alignment horizontal="right" indent="1"/>
    </xf>
    <xf numFmtId="0" fontId="36" fillId="0" borderId="0" xfId="26" applyFont="1" applyFill="1" applyAlignment="1">
      <alignment horizontal="right"/>
    </xf>
    <xf numFmtId="0" fontId="14" fillId="0" borderId="0" xfId="28" applyFont="1" applyAlignment="1">
      <alignment horizontal="left"/>
    </xf>
    <xf numFmtId="0" fontId="28" fillId="0" borderId="0" xfId="26" applyFont="1" applyFill="1"/>
    <xf numFmtId="6" fontId="28" fillId="4" borderId="0" xfId="26" applyNumberFormat="1" applyFont="1" applyFill="1" applyAlignment="1">
      <alignment horizontal="right"/>
    </xf>
    <xf numFmtId="0" fontId="63" fillId="0" borderId="0" xfId="28" applyFont="1"/>
    <xf numFmtId="0" fontId="28" fillId="0" borderId="0" xfId="28" applyFont="1" applyAlignment="1">
      <alignment horizontal="center"/>
    </xf>
    <xf numFmtId="0" fontId="55" fillId="0" borderId="19" xfId="28" applyFont="1" applyBorder="1" applyAlignment="1">
      <alignment wrapText="1"/>
    </xf>
    <xf numFmtId="6" fontId="11" fillId="0" borderId="23" xfId="28" applyNumberFormat="1" applyBorder="1"/>
    <xf numFmtId="6" fontId="11" fillId="4" borderId="23" xfId="28" applyNumberFormat="1" applyFill="1" applyBorder="1"/>
    <xf numFmtId="6" fontId="28" fillId="0" borderId="0" xfId="28" applyNumberFormat="1" applyFont="1"/>
    <xf numFmtId="6" fontId="11" fillId="0" borderId="21" xfId="28" applyNumberFormat="1" applyBorder="1"/>
    <xf numFmtId="6" fontId="11" fillId="4" borderId="21" xfId="28" applyNumberFormat="1" applyFill="1" applyBorder="1"/>
    <xf numFmtId="0" fontId="11" fillId="0" borderId="21" xfId="28" applyBorder="1" applyAlignment="1">
      <alignment horizontal="left" indent="1"/>
    </xf>
    <xf numFmtId="6" fontId="11" fillId="0" borderId="0" xfId="28" applyNumberFormat="1"/>
    <xf numFmtId="0" fontId="14" fillId="0" borderId="21" xfId="28" applyFont="1" applyBorder="1" applyAlignment="1">
      <alignment horizontal="left"/>
    </xf>
    <xf numFmtId="6" fontId="64" fillId="0" borderId="0" xfId="28" applyNumberFormat="1" applyFont="1"/>
    <xf numFmtId="0" fontId="61" fillId="0" borderId="0" xfId="28" applyFont="1" applyAlignment="1">
      <alignment horizontal="right" indent="1"/>
    </xf>
    <xf numFmtId="164" fontId="64" fillId="0" borderId="0" xfId="28" applyNumberFormat="1" applyFont="1"/>
    <xf numFmtId="164" fontId="11" fillId="0" borderId="0" xfId="28" applyNumberFormat="1"/>
    <xf numFmtId="0" fontId="65" fillId="0" borderId="0" xfId="28" applyFont="1" applyAlignment="1">
      <alignment horizontal="right" indent="1"/>
    </xf>
    <xf numFmtId="9" fontId="65" fillId="0" borderId="0" xfId="28" applyNumberFormat="1" applyFont="1"/>
    <xf numFmtId="164" fontId="60" fillId="0" borderId="0" xfId="28" applyNumberFormat="1" applyFont="1"/>
    <xf numFmtId="0" fontId="11" fillId="16" borderId="0" xfId="28" applyFill="1"/>
    <xf numFmtId="0" fontId="54" fillId="0" borderId="0" xfId="28" applyFont="1"/>
    <xf numFmtId="0" fontId="11" fillId="0" borderId="19" xfId="28" applyBorder="1"/>
    <xf numFmtId="0" fontId="11" fillId="16" borderId="0" xfId="28" applyFill="1" applyAlignment="1">
      <alignment horizontal="left" indent="1"/>
    </xf>
    <xf numFmtId="0" fontId="29" fillId="0" borderId="0" xfId="0" applyFont="1" applyAlignment="1">
      <alignment horizontal="center"/>
    </xf>
    <xf numFmtId="165" fontId="23" fillId="0" borderId="0" xfId="1" applyNumberFormat="1" applyFont="1" applyAlignment="1">
      <alignment horizontal="right"/>
    </xf>
    <xf numFmtId="0" fontId="12" fillId="5" borderId="0" xfId="0" applyFont="1" applyFill="1"/>
    <xf numFmtId="44" fontId="12" fillId="5" borderId="0" xfId="2" applyFill="1"/>
    <xf numFmtId="8" fontId="11" fillId="0" borderId="0" xfId="28" applyNumberFormat="1"/>
    <xf numFmtId="9" fontId="11" fillId="0" borderId="0" xfId="28" applyNumberFormat="1"/>
    <xf numFmtId="0" fontId="55" fillId="0" borderId="1" xfId="28" applyFont="1" applyBorder="1"/>
    <xf numFmtId="0" fontId="68" fillId="0" borderId="0" xfId="10" applyFont="1" applyAlignment="1">
      <alignment horizontal="center"/>
    </xf>
    <xf numFmtId="165" fontId="12" fillId="0" borderId="0" xfId="10" applyNumberFormat="1"/>
    <xf numFmtId="166" fontId="24" fillId="0" borderId="0" xfId="10" applyNumberFormat="1" applyFont="1" applyAlignment="1">
      <alignment horizontal="center"/>
    </xf>
    <xf numFmtId="0" fontId="23" fillId="0" borderId="0" xfId="10" applyFont="1" applyAlignment="1">
      <alignment horizontal="right"/>
    </xf>
    <xf numFmtId="2" fontId="23" fillId="0" borderId="0" xfId="10" applyNumberFormat="1" applyFont="1" applyAlignment="1">
      <alignment horizontal="right"/>
    </xf>
    <xf numFmtId="166" fontId="0" fillId="0" borderId="0" xfId="2" applyNumberFormat="1" applyFont="1"/>
    <xf numFmtId="0" fontId="14" fillId="0" borderId="7" xfId="0" applyFont="1" applyBorder="1" applyAlignment="1">
      <alignment horizontal="center"/>
    </xf>
    <xf numFmtId="167" fontId="0" fillId="0" borderId="20" xfId="4" applyNumberFormat="1" applyFont="1" applyBorder="1"/>
    <xf numFmtId="44" fontId="0" fillId="0" borderId="20" xfId="2" applyFont="1" applyBorder="1"/>
    <xf numFmtId="167" fontId="0" fillId="0" borderId="11" xfId="4" applyNumberFormat="1" applyFont="1" applyBorder="1"/>
    <xf numFmtId="44" fontId="0" fillId="0" borderId="11" xfId="2" applyFont="1" applyBorder="1"/>
    <xf numFmtId="9" fontId="0" fillId="0" borderId="2" xfId="0" applyNumberFormat="1" applyBorder="1"/>
    <xf numFmtId="168" fontId="0" fillId="0" borderId="13" xfId="0" applyNumberFormat="1" applyBorder="1"/>
    <xf numFmtId="44" fontId="0" fillId="0" borderId="1" xfId="2" applyFont="1" applyBorder="1"/>
    <xf numFmtId="44" fontId="0" fillId="0" borderId="7" xfId="0" applyNumberFormat="1" applyBorder="1"/>
    <xf numFmtId="174" fontId="0" fillId="0" borderId="20" xfId="0" applyNumberFormat="1" applyBorder="1"/>
    <xf numFmtId="0" fontId="0" fillId="0" borderId="1" xfId="0" applyBorder="1" applyAlignment="1">
      <alignment horizontal="right"/>
    </xf>
    <xf numFmtId="0" fontId="0" fillId="0" borderId="11" xfId="0" applyBorder="1"/>
    <xf numFmtId="0" fontId="14" fillId="0" borderId="12" xfId="0" applyFont="1" applyBorder="1" applyAlignment="1">
      <alignment horizontal="right"/>
    </xf>
    <xf numFmtId="165" fontId="12" fillId="0" borderId="20" xfId="1" applyNumberFormat="1" applyBorder="1"/>
    <xf numFmtId="166" fontId="70" fillId="0" borderId="7" xfId="0" applyNumberFormat="1" applyFont="1" applyBorder="1"/>
    <xf numFmtId="166" fontId="0" fillId="0" borderId="0" xfId="0" applyNumberFormat="1"/>
    <xf numFmtId="44" fontId="0" fillId="0" borderId="0" xfId="2" applyFont="1"/>
    <xf numFmtId="44" fontId="14" fillId="0" borderId="0" xfId="2" applyFont="1"/>
    <xf numFmtId="9" fontId="0" fillId="0" borderId="0" xfId="0" applyNumberFormat="1"/>
    <xf numFmtId="44" fontId="0" fillId="0" borderId="0" xfId="0" applyNumberFormat="1"/>
    <xf numFmtId="166" fontId="20" fillId="0" borderId="0" xfId="2" applyNumberFormat="1" applyFont="1"/>
    <xf numFmtId="0" fontId="14" fillId="0" borderId="0" xfId="0" applyFont="1" applyAlignment="1">
      <alignment horizontal="right"/>
    </xf>
    <xf numFmtId="174" fontId="0" fillId="0" borderId="0" xfId="0" applyNumberFormat="1"/>
    <xf numFmtId="166" fontId="70" fillId="0" borderId="0" xfId="0" applyNumberFormat="1" applyFont="1"/>
    <xf numFmtId="0" fontId="14" fillId="0" borderId="1" xfId="0" applyFont="1" applyBorder="1" applyAlignment="1">
      <alignment horizontal="right"/>
    </xf>
    <xf numFmtId="8" fontId="0" fillId="0" borderId="0" xfId="0" applyNumberFormat="1"/>
    <xf numFmtId="166" fontId="16" fillId="0" borderId="0" xfId="2" applyNumberFormat="1" applyFont="1"/>
    <xf numFmtId="0" fontId="29" fillId="0" borderId="3" xfId="0" applyFont="1" applyBorder="1" applyAlignment="1">
      <alignment horizontal="center"/>
    </xf>
    <xf numFmtId="0" fontId="11" fillId="0" borderId="17" xfId="28" applyBorder="1"/>
    <xf numFmtId="0" fontId="11" fillId="0" borderId="4" xfId="28" applyBorder="1"/>
    <xf numFmtId="166" fontId="16" fillId="0" borderId="20" xfId="2" applyNumberFormat="1" applyFont="1" applyBorder="1"/>
    <xf numFmtId="166" fontId="0" fillId="0" borderId="0" xfId="2" applyNumberFormat="1" applyFont="1" applyBorder="1"/>
    <xf numFmtId="0" fontId="0" fillId="0" borderId="20" xfId="0" applyBorder="1"/>
    <xf numFmtId="167" fontId="14" fillId="0" borderId="0" xfId="4" applyNumberFormat="1" applyFont="1" applyBorder="1"/>
    <xf numFmtId="10" fontId="0" fillId="0" borderId="20" xfId="4" applyNumberFormat="1" applyFont="1" applyBorder="1"/>
    <xf numFmtId="10" fontId="0" fillId="0" borderId="2" xfId="4" applyNumberFormat="1" applyFont="1" applyBorder="1"/>
    <xf numFmtId="166" fontId="16" fillId="0" borderId="2" xfId="2" applyNumberFormat="1" applyFont="1" applyBorder="1"/>
    <xf numFmtId="166" fontId="16" fillId="0" borderId="2" xfId="2" applyNumberFormat="1" applyFont="1" applyBorder="1" applyAlignment="1">
      <alignment horizontal="right"/>
    </xf>
    <xf numFmtId="166" fontId="16" fillId="0" borderId="7" xfId="0" applyNumberFormat="1" applyFont="1" applyBorder="1"/>
    <xf numFmtId="165" fontId="12" fillId="0" borderId="0" xfId="1" applyNumberFormat="1" applyFill="1"/>
    <xf numFmtId="165" fontId="23" fillId="0" borderId="0" xfId="1" applyNumberFormat="1" applyFont="1" applyFill="1" applyAlignment="1">
      <alignment horizontal="right"/>
    </xf>
    <xf numFmtId="164" fontId="16" fillId="0" borderId="2" xfId="12" applyNumberFormat="1" applyFont="1" applyFill="1" applyBorder="1" applyAlignment="1">
      <alignment horizontal="right"/>
    </xf>
    <xf numFmtId="164" fontId="16" fillId="0" borderId="7" xfId="12" applyNumberFormat="1" applyFont="1" applyFill="1" applyBorder="1" applyAlignment="1">
      <alignment horizontal="right"/>
    </xf>
    <xf numFmtId="0" fontId="66" fillId="0" borderId="0" xfId="0" applyFont="1" applyAlignment="1">
      <alignment horizontal="right"/>
    </xf>
    <xf numFmtId="0" fontId="66" fillId="0" borderId="0" xfId="0" applyFont="1"/>
    <xf numFmtId="9" fontId="12" fillId="0" borderId="0" xfId="4" applyFill="1"/>
    <xf numFmtId="164" fontId="17" fillId="0" borderId="0" xfId="4" applyNumberFormat="1" applyFont="1" applyFill="1"/>
    <xf numFmtId="166" fontId="23" fillId="0" borderId="0" xfId="0" applyNumberFormat="1" applyFont="1" applyAlignment="1">
      <alignment horizontal="right"/>
    </xf>
    <xf numFmtId="166" fontId="14" fillId="0" borderId="0" xfId="0" applyNumberFormat="1" applyFont="1"/>
    <xf numFmtId="165" fontId="0" fillId="0" borderId="0" xfId="13" applyNumberFormat="1" applyFont="1" applyFill="1"/>
    <xf numFmtId="165" fontId="23" fillId="7" borderId="0" xfId="1" applyNumberFormat="1" applyFont="1" applyFill="1" applyAlignment="1">
      <alignment horizontal="right"/>
    </xf>
    <xf numFmtId="175" fontId="73" fillId="0" borderId="2" xfId="0" applyNumberFormat="1" applyFont="1" applyBorder="1" applyAlignment="1">
      <alignment horizontal="right"/>
    </xf>
    <xf numFmtId="175" fontId="73" fillId="0" borderId="0" xfId="1" applyNumberFormat="1" applyFont="1" applyFill="1"/>
    <xf numFmtId="0" fontId="17" fillId="0" borderId="0" xfId="0" applyFont="1" applyAlignment="1">
      <alignment horizontal="right"/>
    </xf>
    <xf numFmtId="9" fontId="15" fillId="0" borderId="0" xfId="4" applyFont="1"/>
    <xf numFmtId="44" fontId="15" fillId="0" borderId="0" xfId="2" applyFont="1"/>
    <xf numFmtId="0" fontId="16" fillId="0" borderId="11" xfId="10" applyFont="1" applyBorder="1" applyAlignment="1">
      <alignment horizontal="center"/>
    </xf>
    <xf numFmtId="0" fontId="16" fillId="0" borderId="13" xfId="10" applyFont="1" applyBorder="1" applyAlignment="1">
      <alignment horizontal="center"/>
    </xf>
    <xf numFmtId="10" fontId="16" fillId="0" borderId="11" xfId="4" applyNumberFormat="1" applyFont="1" applyBorder="1" applyAlignment="1">
      <alignment horizontal="center"/>
    </xf>
    <xf numFmtId="10" fontId="16" fillId="0" borderId="11" xfId="12" applyNumberFormat="1" applyFont="1" applyBorder="1" applyAlignment="1">
      <alignment horizontal="center"/>
    </xf>
    <xf numFmtId="9" fontId="16" fillId="0" borderId="11" xfId="4" applyFont="1" applyBorder="1" applyAlignment="1">
      <alignment horizontal="center"/>
    </xf>
    <xf numFmtId="9" fontId="23" fillId="0" borderId="0" xfId="4" applyFont="1" applyFill="1" applyAlignment="1">
      <alignment horizontal="right"/>
    </xf>
    <xf numFmtId="166" fontId="17" fillId="0" borderId="0" xfId="0" applyNumberFormat="1" applyFont="1" applyAlignment="1">
      <alignment horizontal="right"/>
    </xf>
    <xf numFmtId="164" fontId="17" fillId="0" borderId="0" xfId="4" applyNumberFormat="1" applyFont="1" applyAlignment="1">
      <alignment horizontal="right"/>
    </xf>
    <xf numFmtId="166" fontId="15" fillId="0" borderId="0" xfId="0" applyNumberFormat="1" applyFont="1" applyAlignment="1">
      <alignment horizontal="right"/>
    </xf>
    <xf numFmtId="0" fontId="15" fillId="0" borderId="0" xfId="0" applyFont="1" applyAlignment="1">
      <alignment horizontal="right"/>
    </xf>
    <xf numFmtId="164" fontId="17" fillId="0" borderId="0" xfId="0" applyNumberFormat="1" applyFont="1" applyAlignment="1">
      <alignment horizontal="right"/>
    </xf>
    <xf numFmtId="3" fontId="12" fillId="0" borderId="0" xfId="2" applyNumberFormat="1"/>
    <xf numFmtId="0" fontId="21" fillId="0" borderId="0" xfId="0" applyFont="1"/>
    <xf numFmtId="166" fontId="16" fillId="0" borderId="2" xfId="0" applyNumberFormat="1" applyFont="1" applyBorder="1"/>
    <xf numFmtId="165" fontId="16" fillId="0" borderId="2" xfId="1" applyNumberFormat="1" applyFont="1" applyBorder="1"/>
    <xf numFmtId="0" fontId="10" fillId="18" borderId="0" xfId="32" applyBorder="1"/>
    <xf numFmtId="0" fontId="55" fillId="18" borderId="0" xfId="32" applyFont="1" applyBorder="1" applyAlignment="1">
      <alignment vertical="center"/>
    </xf>
    <xf numFmtId="0" fontId="10" fillId="18" borderId="2" xfId="32" applyBorder="1"/>
    <xf numFmtId="0" fontId="14" fillId="0" borderId="0" xfId="0" applyFont="1" applyAlignment="1">
      <alignment horizontal="left"/>
    </xf>
    <xf numFmtId="166" fontId="14" fillId="0" borderId="7" xfId="0" applyNumberFormat="1" applyFont="1" applyBorder="1"/>
    <xf numFmtId="0" fontId="0" fillId="0" borderId="0" xfId="0" applyAlignment="1">
      <alignment horizontal="center"/>
    </xf>
    <xf numFmtId="0" fontId="0" fillId="0" borderId="2" xfId="0" applyBorder="1" applyAlignment="1">
      <alignment horizontal="center"/>
    </xf>
    <xf numFmtId="6" fontId="0" fillId="0" borderId="0" xfId="0" applyNumberFormat="1"/>
    <xf numFmtId="0" fontId="51" fillId="0" borderId="0" xfId="33" applyFont="1" applyFill="1" applyAlignment="1">
      <alignment horizontal="center"/>
    </xf>
    <xf numFmtId="44" fontId="12" fillId="0" borderId="0" xfId="2" applyFill="1"/>
    <xf numFmtId="0" fontId="74" fillId="0" borderId="12" xfId="0" applyFont="1" applyBorder="1"/>
    <xf numFmtId="8" fontId="16" fillId="0" borderId="0" xfId="0" applyNumberFormat="1" applyFont="1"/>
    <xf numFmtId="0" fontId="17" fillId="20" borderId="0" xfId="0" applyFont="1" applyFill="1"/>
    <xf numFmtId="0" fontId="12" fillId="20" borderId="0" xfId="0" applyFont="1" applyFill="1"/>
    <xf numFmtId="0" fontId="20" fillId="20" borderId="0" xfId="0" applyFont="1" applyFill="1"/>
    <xf numFmtId="10" fontId="73" fillId="0" borderId="0" xfId="1" applyNumberFormat="1" applyFont="1" applyFill="1"/>
    <xf numFmtId="0" fontId="25" fillId="7" borderId="0" xfId="2" applyNumberFormat="1" applyFont="1" applyFill="1" applyAlignment="1">
      <alignment horizontal="center"/>
    </xf>
    <xf numFmtId="0" fontId="29" fillId="7" borderId="0" xfId="0" applyFont="1" applyFill="1" applyAlignment="1">
      <alignment horizontal="center"/>
    </xf>
    <xf numFmtId="165" fontId="73" fillId="0" borderId="0" xfId="1" applyNumberFormat="1" applyFont="1" applyFill="1" applyAlignment="1">
      <alignment horizontal="right"/>
    </xf>
    <xf numFmtId="0" fontId="75" fillId="0" borderId="0" xfId="0" applyFont="1" applyAlignment="1">
      <alignment horizontal="right"/>
    </xf>
    <xf numFmtId="10" fontId="12" fillId="0" borderId="0" xfId="2" applyNumberFormat="1"/>
    <xf numFmtId="10" fontId="17" fillId="0" borderId="0" xfId="0" applyNumberFormat="1" applyFont="1" applyAlignment="1">
      <alignment horizontal="center"/>
    </xf>
    <xf numFmtId="0" fontId="26" fillId="0" borderId="2" xfId="0" applyFont="1" applyBorder="1" applyAlignment="1">
      <alignment horizontal="right"/>
    </xf>
    <xf numFmtId="1" fontId="12" fillId="0" borderId="2" xfId="12" applyNumberFormat="1" applyFill="1" applyBorder="1" applyAlignment="1">
      <alignment horizontal="right"/>
    </xf>
    <xf numFmtId="165" fontId="69" fillId="0" borderId="0" xfId="1" applyNumberFormat="1" applyFont="1" applyFill="1"/>
    <xf numFmtId="165" fontId="23" fillId="0" borderId="0" xfId="1" applyNumberFormat="1" applyFont="1" applyFill="1"/>
    <xf numFmtId="165" fontId="12" fillId="0" borderId="2" xfId="1" applyNumberFormat="1" applyFill="1" applyBorder="1"/>
    <xf numFmtId="0" fontId="26" fillId="0" borderId="2" xfId="0" applyFont="1" applyBorder="1" applyAlignment="1">
      <alignment horizontal="center"/>
    </xf>
    <xf numFmtId="165" fontId="15" fillId="0" borderId="2" xfId="1" applyNumberFormat="1" applyFont="1" applyFill="1" applyBorder="1"/>
    <xf numFmtId="165" fontId="12" fillId="0" borderId="12" xfId="1" applyNumberFormat="1" applyFill="1" applyBorder="1"/>
    <xf numFmtId="165" fontId="12" fillId="0" borderId="13" xfId="1" applyNumberFormat="1" applyFill="1" applyBorder="1"/>
    <xf numFmtId="166" fontId="12" fillId="0" borderId="0" xfId="2" applyNumberFormat="1" applyFill="1"/>
    <xf numFmtId="9" fontId="23" fillId="0" borderId="0" xfId="4" applyFont="1" applyFill="1"/>
    <xf numFmtId="165" fontId="12" fillId="0" borderId="7" xfId="1" applyNumberFormat="1" applyFill="1" applyBorder="1"/>
    <xf numFmtId="0" fontId="16" fillId="0" borderId="0" xfId="0" applyFont="1" applyAlignment="1">
      <alignment horizontal="center"/>
    </xf>
    <xf numFmtId="8" fontId="16" fillId="0" borderId="0" xfId="0" applyNumberFormat="1" applyFont="1" applyAlignment="1">
      <alignment horizontal="center"/>
    </xf>
    <xf numFmtId="166" fontId="23" fillId="0" borderId="20" xfId="10" applyNumberFormat="1" applyFont="1" applyBorder="1"/>
    <xf numFmtId="0" fontId="76" fillId="0" borderId="0" xfId="0" applyFont="1" applyAlignment="1">
      <alignment horizontal="right"/>
    </xf>
    <xf numFmtId="0" fontId="77" fillId="0" borderId="0" xfId="0" applyFont="1"/>
    <xf numFmtId="0" fontId="78" fillId="0" borderId="0" xfId="0" applyFont="1"/>
    <xf numFmtId="0" fontId="77" fillId="0" borderId="0" xfId="0" applyFont="1" applyAlignment="1">
      <alignment horizontal="left"/>
    </xf>
    <xf numFmtId="0" fontId="8" fillId="25" borderId="0" xfId="35"/>
    <xf numFmtId="164" fontId="8" fillId="25" borderId="0" xfId="35" applyNumberFormat="1" applyAlignment="1">
      <alignment horizontal="center"/>
    </xf>
    <xf numFmtId="0" fontId="12" fillId="0" borderId="0" xfId="2" applyNumberFormat="1"/>
    <xf numFmtId="10" fontId="16" fillId="0" borderId="0" xfId="0" applyNumberFormat="1" applyFont="1"/>
    <xf numFmtId="6" fontId="11" fillId="0" borderId="30" xfId="28" applyNumberFormat="1" applyBorder="1"/>
    <xf numFmtId="0" fontId="91" fillId="0" borderId="19" xfId="28" applyFont="1" applyBorder="1"/>
    <xf numFmtId="0" fontId="40" fillId="0" borderId="10" xfId="0" applyFont="1" applyBorder="1" applyAlignment="1">
      <alignment horizontal="left" indent="1"/>
    </xf>
    <xf numFmtId="188" fontId="33" fillId="0" borderId="19" xfId="0" applyNumberFormat="1" applyFont="1" applyBorder="1" applyAlignment="1">
      <alignment horizontal="right"/>
    </xf>
    <xf numFmtId="0" fontId="40" fillId="10" borderId="3" xfId="0" applyFont="1" applyFill="1" applyBorder="1" applyAlignment="1">
      <alignment horizontal="left" indent="1"/>
    </xf>
    <xf numFmtId="0" fontId="0" fillId="10" borderId="0" xfId="0" applyFill="1"/>
    <xf numFmtId="166" fontId="33" fillId="10" borderId="0" xfId="0" applyNumberFormat="1" applyFont="1" applyFill="1" applyAlignment="1">
      <alignment horizontal="left"/>
    </xf>
    <xf numFmtId="0" fontId="0" fillId="0" borderId="17" xfId="0" applyBorder="1"/>
    <xf numFmtId="0" fontId="6" fillId="21" borderId="0" xfId="36" applyFill="1"/>
    <xf numFmtId="0" fontId="6" fillId="21" borderId="0" xfId="36" applyFill="1" applyAlignment="1">
      <alignment horizontal="center"/>
    </xf>
    <xf numFmtId="0" fontId="79" fillId="24" borderId="0" xfId="36" applyFont="1" applyFill="1"/>
    <xf numFmtId="0" fontId="52" fillId="24" borderId="0" xfId="36" applyFont="1" applyFill="1"/>
    <xf numFmtId="0" fontId="52" fillId="24" borderId="0" xfId="36" applyFont="1" applyFill="1" applyAlignment="1">
      <alignment horizontal="center"/>
    </xf>
    <xf numFmtId="178" fontId="52" fillId="24" borderId="0" xfId="36" applyNumberFormat="1" applyFont="1" applyFill="1" applyAlignment="1">
      <alignment horizontal="right"/>
    </xf>
    <xf numFmtId="0" fontId="80" fillId="11" borderId="0" xfId="36" applyFont="1" applyFill="1"/>
    <xf numFmtId="0" fontId="52" fillId="11" borderId="0" xfId="36" applyFont="1" applyFill="1"/>
    <xf numFmtId="0" fontId="52" fillId="11" borderId="0" xfId="36" applyFont="1" applyFill="1" applyAlignment="1">
      <alignment horizontal="center"/>
    </xf>
    <xf numFmtId="0" fontId="89" fillId="22" borderId="0" xfId="36" applyFont="1" applyFill="1" applyAlignment="1">
      <alignment horizontal="right"/>
    </xf>
    <xf numFmtId="187" fontId="6" fillId="11" borderId="0" xfId="36" applyNumberFormat="1" applyFill="1" applyAlignment="1" applyProtection="1">
      <alignment horizontal="center"/>
      <protection locked="0"/>
    </xf>
    <xf numFmtId="187" fontId="6" fillId="11" borderId="0" xfId="36" applyNumberFormat="1" applyFill="1" applyAlignment="1" applyProtection="1">
      <alignment horizontal="right"/>
      <protection locked="0"/>
    </xf>
    <xf numFmtId="0" fontId="89" fillId="22" borderId="0" xfId="37" applyNumberFormat="1" applyFont="1" applyFill="1" applyAlignment="1">
      <alignment horizontal="center" vertical="center"/>
    </xf>
    <xf numFmtId="44" fontId="14" fillId="11" borderId="0" xfId="38" applyFont="1" applyFill="1" applyAlignment="1">
      <alignment horizontal="right"/>
    </xf>
    <xf numFmtId="0" fontId="28" fillId="0" borderId="0" xfId="36" applyFont="1" applyAlignment="1">
      <alignment horizontal="right"/>
    </xf>
    <xf numFmtId="0" fontId="81" fillId="22" borderId="0" xfId="36" applyFont="1" applyFill="1" applyAlignment="1">
      <alignment horizontal="right"/>
    </xf>
    <xf numFmtId="0" fontId="55" fillId="11" borderId="0" xfId="36" applyFont="1" applyFill="1" applyAlignment="1">
      <alignment horizontal="center"/>
    </xf>
    <xf numFmtId="0" fontId="6" fillId="0" borderId="0" xfId="36" applyAlignment="1">
      <alignment horizontal="center"/>
    </xf>
    <xf numFmtId="9" fontId="28" fillId="11" borderId="0" xfId="36" applyNumberFormat="1" applyFont="1" applyFill="1" applyAlignment="1">
      <alignment horizontal="left"/>
    </xf>
    <xf numFmtId="0" fontId="6" fillId="11" borderId="0" xfId="36" applyFill="1"/>
    <xf numFmtId="0" fontId="6" fillId="11" borderId="0" xfId="36" applyFill="1" applyAlignment="1">
      <alignment horizontal="right"/>
    </xf>
    <xf numFmtId="0" fontId="6" fillId="11" borderId="0" xfId="36" applyFill="1" applyAlignment="1">
      <alignment horizontal="center"/>
    </xf>
    <xf numFmtId="0" fontId="83" fillId="11" borderId="0" xfId="36" applyFont="1" applyFill="1"/>
    <xf numFmtId="0" fontId="55" fillId="11" borderId="0" xfId="36" applyFont="1" applyFill="1" applyAlignment="1">
      <alignment horizontal="right"/>
    </xf>
    <xf numFmtId="10" fontId="28" fillId="11" borderId="0" xfId="36" applyNumberFormat="1" applyFont="1" applyFill="1" applyAlignment="1">
      <alignment horizontal="center"/>
    </xf>
    <xf numFmtId="164" fontId="89" fillId="22" borderId="0" xfId="36" applyNumberFormat="1" applyFont="1" applyFill="1" applyAlignment="1" applyProtection="1">
      <alignment horizontal="right"/>
      <protection locked="0"/>
    </xf>
    <xf numFmtId="3" fontId="28" fillId="11" borderId="0" xfId="36" applyNumberFormat="1" applyFont="1" applyFill="1" applyAlignment="1">
      <alignment horizontal="right"/>
    </xf>
    <xf numFmtId="0" fontId="6" fillId="11" borderId="0" xfId="36" applyFill="1" applyAlignment="1">
      <alignment horizontal="left"/>
    </xf>
    <xf numFmtId="0" fontId="84" fillId="11" borderId="14" xfId="36" applyFont="1" applyFill="1" applyBorder="1" applyAlignment="1">
      <alignment horizontal="right" vertical="center"/>
    </xf>
    <xf numFmtId="0" fontId="85" fillId="11" borderId="16" xfId="36" applyFont="1" applyFill="1" applyBorder="1" applyAlignment="1">
      <alignment horizontal="left" vertical="center"/>
    </xf>
    <xf numFmtId="164" fontId="6" fillId="11" borderId="0" xfId="36" applyNumberFormat="1" applyFill="1" applyAlignment="1">
      <alignment horizontal="right"/>
    </xf>
    <xf numFmtId="3" fontId="82" fillId="11" borderId="0" xfId="36" applyNumberFormat="1" applyFont="1" applyFill="1" applyAlignment="1">
      <alignment horizontal="right"/>
    </xf>
    <xf numFmtId="9" fontId="81" fillId="11" borderId="0" xfId="36" applyNumberFormat="1" applyFont="1" applyFill="1" applyAlignment="1">
      <alignment horizontal="center"/>
    </xf>
    <xf numFmtId="0" fontId="84" fillId="11" borderId="3" xfId="36" applyFont="1" applyFill="1" applyBorder="1" applyAlignment="1">
      <alignment horizontal="right" vertical="center"/>
    </xf>
    <xf numFmtId="179" fontId="84" fillId="11" borderId="17" xfId="36" applyNumberFormat="1" applyFont="1" applyFill="1" applyBorder="1" applyAlignment="1">
      <alignment horizontal="left" vertical="center"/>
    </xf>
    <xf numFmtId="165" fontId="6" fillId="11" borderId="0" xfId="36" applyNumberFormat="1" applyFill="1"/>
    <xf numFmtId="164" fontId="6" fillId="11" borderId="0" xfId="36" applyNumberFormat="1" applyFill="1" applyAlignment="1">
      <alignment horizontal="center"/>
    </xf>
    <xf numFmtId="0" fontId="84" fillId="11" borderId="10" xfId="36" applyFont="1" applyFill="1" applyBorder="1" applyAlignment="1">
      <alignment horizontal="right" vertical="center"/>
    </xf>
    <xf numFmtId="179" fontId="84" fillId="11" borderId="4" xfId="36" applyNumberFormat="1" applyFont="1" applyFill="1" applyBorder="1" applyAlignment="1">
      <alignment horizontal="left" vertical="center"/>
    </xf>
    <xf numFmtId="189" fontId="6" fillId="11" borderId="0" xfId="36" applyNumberFormat="1" applyFill="1" applyAlignment="1">
      <alignment horizontal="center"/>
    </xf>
    <xf numFmtId="6" fontId="28" fillId="11" borderId="0" xfId="36" applyNumberFormat="1" applyFont="1" applyFill="1" applyAlignment="1">
      <alignment horizontal="right"/>
    </xf>
    <xf numFmtId="0" fontId="6" fillId="11" borderId="26" xfId="36" applyFill="1" applyBorder="1" applyAlignment="1">
      <alignment horizontal="center"/>
    </xf>
    <xf numFmtId="0" fontId="83" fillId="11" borderId="1" xfId="36" applyFont="1" applyFill="1" applyBorder="1"/>
    <xf numFmtId="0" fontId="6" fillId="11" borderId="1" xfId="36" applyFill="1" applyBorder="1"/>
    <xf numFmtId="0" fontId="6" fillId="11" borderId="1" xfId="36" applyFill="1" applyBorder="1" applyAlignment="1">
      <alignment horizontal="right"/>
    </xf>
    <xf numFmtId="0" fontId="55" fillId="11" borderId="1" xfId="36" applyFont="1" applyFill="1" applyBorder="1" applyAlignment="1">
      <alignment horizontal="right"/>
    </xf>
    <xf numFmtId="0" fontId="55" fillId="11" borderId="1" xfId="36" applyFont="1" applyFill="1" applyBorder="1" applyAlignment="1">
      <alignment horizontal="left"/>
    </xf>
    <xf numFmtId="0" fontId="55" fillId="11" borderId="28" xfId="36" applyFont="1" applyFill="1" applyBorder="1" applyAlignment="1">
      <alignment horizontal="left"/>
    </xf>
    <xf numFmtId="0" fontId="6" fillId="11" borderId="1" xfId="36" applyFill="1" applyBorder="1" applyAlignment="1">
      <alignment horizontal="center"/>
    </xf>
    <xf numFmtId="0" fontId="86" fillId="11" borderId="0" xfId="36" applyFont="1" applyFill="1" applyAlignment="1">
      <alignment horizontal="center"/>
    </xf>
    <xf numFmtId="0" fontId="86" fillId="11" borderId="0" xfId="36" applyFont="1" applyFill="1" applyAlignment="1">
      <alignment horizontal="right"/>
    </xf>
    <xf numFmtId="180" fontId="28" fillId="11" borderId="0" xfId="36" applyNumberFormat="1" applyFont="1" applyFill="1" applyAlignment="1">
      <alignment horizontal="left"/>
    </xf>
    <xf numFmtId="164" fontId="87" fillId="11" borderId="0" xfId="36" applyNumberFormat="1" applyFont="1" applyFill="1" applyAlignment="1">
      <alignment horizontal="left"/>
    </xf>
    <xf numFmtId="164" fontId="87" fillId="11" borderId="25" xfId="36" applyNumberFormat="1" applyFont="1" applyFill="1" applyBorder="1" applyAlignment="1">
      <alignment horizontal="center"/>
    </xf>
    <xf numFmtId="164" fontId="89" fillId="22" borderId="0" xfId="36" applyNumberFormat="1" applyFont="1" applyFill="1" applyAlignment="1">
      <alignment horizontal="center"/>
    </xf>
    <xf numFmtId="3" fontId="6" fillId="11" borderId="0" xfId="36" applyNumberFormat="1" applyFill="1"/>
    <xf numFmtId="181" fontId="81" fillId="22" borderId="0" xfId="36" applyNumberFormat="1" applyFont="1" applyFill="1" applyAlignment="1">
      <alignment horizontal="right"/>
    </xf>
    <xf numFmtId="182" fontId="89" fillId="22" borderId="0" xfId="36" applyNumberFormat="1" applyFont="1" applyFill="1" applyAlignment="1" applyProtection="1">
      <alignment horizontal="right"/>
      <protection locked="0"/>
    </xf>
    <xf numFmtId="183" fontId="28" fillId="11" borderId="0" xfId="36" applyNumberFormat="1" applyFont="1" applyFill="1" applyAlignment="1">
      <alignment horizontal="left"/>
    </xf>
    <xf numFmtId="164" fontId="6" fillId="11" borderId="25" xfId="36" applyNumberFormat="1" applyFill="1" applyBorder="1" applyAlignment="1">
      <alignment horizontal="center"/>
    </xf>
    <xf numFmtId="164" fontId="28" fillId="11" borderId="0" xfId="36" applyNumberFormat="1" applyFont="1" applyFill="1" applyAlignment="1">
      <alignment horizontal="center"/>
    </xf>
    <xf numFmtId="189" fontId="6" fillId="11" borderId="0" xfId="36" applyNumberFormat="1" applyFill="1"/>
    <xf numFmtId="182" fontId="81" fillId="11" borderId="0" xfId="36" applyNumberFormat="1" applyFont="1" applyFill="1"/>
    <xf numFmtId="9" fontId="28" fillId="11" borderId="0" xfId="36" applyNumberFormat="1" applyFont="1" applyFill="1" applyAlignment="1">
      <alignment horizontal="center"/>
    </xf>
    <xf numFmtId="10" fontId="6" fillId="11" borderId="0" xfId="36" applyNumberFormat="1" applyFill="1" applyAlignment="1">
      <alignment horizontal="center"/>
    </xf>
    <xf numFmtId="182" fontId="81" fillId="11" borderId="1" xfId="36" applyNumberFormat="1" applyFont="1" applyFill="1" applyBorder="1"/>
    <xf numFmtId="183" fontId="28" fillId="11" borderId="1" xfId="36" applyNumberFormat="1" applyFont="1" applyFill="1" applyBorder="1" applyAlignment="1">
      <alignment horizontal="left"/>
    </xf>
    <xf numFmtId="172" fontId="6" fillId="11" borderId="1" xfId="36" applyNumberFormat="1" applyFill="1" applyBorder="1" applyAlignment="1">
      <alignment horizontal="right"/>
    </xf>
    <xf numFmtId="0" fontId="67" fillId="11" borderId="0" xfId="36" applyFont="1" applyFill="1" applyAlignment="1">
      <alignment horizontal="left"/>
    </xf>
    <xf numFmtId="9" fontId="81" fillId="11" borderId="0" xfId="36" applyNumberFormat="1" applyFont="1" applyFill="1" applyAlignment="1">
      <alignment horizontal="right"/>
    </xf>
    <xf numFmtId="9" fontId="28" fillId="11" borderId="0" xfId="36" applyNumberFormat="1" applyFont="1" applyFill="1" applyAlignment="1">
      <alignment horizontal="right"/>
    </xf>
    <xf numFmtId="10" fontId="6" fillId="11" borderId="0" xfId="36" applyNumberFormat="1" applyFill="1" applyAlignment="1">
      <alignment horizontal="right"/>
    </xf>
    <xf numFmtId="0" fontId="6" fillId="11" borderId="0" xfId="36" applyFill="1" applyAlignment="1">
      <alignment horizontal="left" indent="1"/>
    </xf>
    <xf numFmtId="165" fontId="89" fillId="23" borderId="0" xfId="37" applyNumberFormat="1" applyFont="1" applyFill="1" applyAlignment="1">
      <alignment horizontal="center"/>
    </xf>
    <xf numFmtId="10" fontId="89" fillId="23" borderId="0" xfId="39" applyNumberFormat="1" applyFont="1" applyFill="1" applyAlignment="1">
      <alignment horizontal="right"/>
    </xf>
    <xf numFmtId="2" fontId="89" fillId="23" borderId="0" xfId="36" applyNumberFormat="1" applyFont="1" applyFill="1" applyAlignment="1">
      <alignment horizontal="right"/>
    </xf>
    <xf numFmtId="0" fontId="58" fillId="11" borderId="0" xfId="36" applyFont="1" applyFill="1" applyAlignment="1">
      <alignment horizontal="left" indent="1"/>
    </xf>
    <xf numFmtId="0" fontId="58" fillId="11" borderId="0" xfId="36" applyFont="1" applyFill="1"/>
    <xf numFmtId="165" fontId="58" fillId="23" borderId="0" xfId="37" applyNumberFormat="1" applyFont="1" applyFill="1" applyAlignment="1">
      <alignment horizontal="center"/>
    </xf>
    <xf numFmtId="183" fontId="58" fillId="11" borderId="0" xfId="36" applyNumberFormat="1" applyFont="1" applyFill="1" applyAlignment="1">
      <alignment horizontal="left"/>
    </xf>
    <xf numFmtId="3" fontId="58" fillId="11" borderId="0" xfId="36" applyNumberFormat="1" applyFont="1" applyFill="1" applyAlignment="1">
      <alignment horizontal="right"/>
    </xf>
    <xf numFmtId="0" fontId="58" fillId="21" borderId="0" xfId="36" applyFont="1" applyFill="1"/>
    <xf numFmtId="0" fontId="54" fillId="11" borderId="0" xfId="36" applyFont="1" applyFill="1" applyAlignment="1">
      <alignment horizontal="left" indent="1"/>
    </xf>
    <xf numFmtId="0" fontId="54" fillId="11" borderId="0" xfId="36" applyFont="1" applyFill="1"/>
    <xf numFmtId="6" fontId="54" fillId="11" borderId="0" xfId="36" applyNumberFormat="1" applyFont="1" applyFill="1"/>
    <xf numFmtId="0" fontId="28" fillId="21" borderId="0" xfId="36" applyFont="1" applyFill="1"/>
    <xf numFmtId="185" fontId="6" fillId="22" borderId="0" xfId="36" applyNumberFormat="1" applyFill="1" applyAlignment="1" applyProtection="1">
      <alignment horizontal="right"/>
      <protection locked="0"/>
    </xf>
    <xf numFmtId="185" fontId="6" fillId="11" borderId="0" xfId="36" applyNumberFormat="1" applyFill="1" applyAlignment="1">
      <alignment horizontal="right"/>
    </xf>
    <xf numFmtId="0" fontId="28" fillId="11" borderId="0" xfId="36" applyFont="1" applyFill="1"/>
    <xf numFmtId="3" fontId="28" fillId="11" borderId="0" xfId="36" applyNumberFormat="1" applyFont="1" applyFill="1" applyAlignment="1" applyProtection="1">
      <alignment horizontal="right"/>
      <protection locked="0"/>
    </xf>
    <xf numFmtId="10" fontId="89" fillId="22" borderId="0" xfId="36" applyNumberFormat="1" applyFont="1" applyFill="1" applyAlignment="1">
      <alignment horizontal="right"/>
    </xf>
    <xf numFmtId="10" fontId="89" fillId="22" borderId="0" xfId="36" applyNumberFormat="1" applyFont="1" applyFill="1"/>
    <xf numFmtId="0" fontId="28" fillId="11" borderId="0" xfId="37" applyNumberFormat="1" applyFont="1" applyFill="1" applyAlignment="1"/>
    <xf numFmtId="0" fontId="92" fillId="11" borderId="0" xfId="36" applyFont="1" applyFill="1"/>
    <xf numFmtId="177" fontId="6" fillId="11" borderId="0" xfId="36" applyNumberFormat="1" applyFill="1" applyAlignment="1">
      <alignment horizontal="right"/>
    </xf>
    <xf numFmtId="3" fontId="54" fillId="11" borderId="0" xfId="36" applyNumberFormat="1" applyFont="1" applyFill="1" applyAlignment="1">
      <alignment horizontal="right"/>
    </xf>
    <xf numFmtId="0" fontId="57" fillId="11" borderId="1" xfId="36" applyFont="1" applyFill="1" applyBorder="1" applyAlignment="1">
      <alignment horizontal="right"/>
    </xf>
    <xf numFmtId="164" fontId="57" fillId="11" borderId="1" xfId="36" applyNumberFormat="1" applyFont="1" applyFill="1" applyBorder="1" applyAlignment="1">
      <alignment horizontal="left"/>
    </xf>
    <xf numFmtId="3" fontId="6" fillId="11" borderId="0" xfId="36" applyNumberFormat="1" applyFill="1" applyAlignment="1">
      <alignment horizontal="right"/>
    </xf>
    <xf numFmtId="3" fontId="36" fillId="11" borderId="0" xfId="36" applyNumberFormat="1" applyFont="1" applyFill="1" applyAlignment="1">
      <alignment horizontal="right"/>
    </xf>
    <xf numFmtId="4" fontId="6" fillId="11" borderId="0" xfId="36" applyNumberFormat="1" applyFill="1" applyAlignment="1">
      <alignment horizontal="left"/>
    </xf>
    <xf numFmtId="10" fontId="88" fillId="0" borderId="0" xfId="36" applyNumberFormat="1" applyFont="1" applyAlignment="1">
      <alignment horizontal="right"/>
    </xf>
    <xf numFmtId="186" fontId="6" fillId="11" borderId="0" xfId="36" applyNumberFormat="1" applyFill="1" applyAlignment="1">
      <alignment horizontal="left"/>
    </xf>
    <xf numFmtId="0" fontId="52" fillId="11" borderId="0" xfId="36" applyFont="1" applyFill="1" applyAlignment="1">
      <alignment horizontal="right"/>
    </xf>
    <xf numFmtId="0" fontId="93" fillId="0" borderId="0" xfId="0" applyFont="1"/>
    <xf numFmtId="6" fontId="93" fillId="0" borderId="0" xfId="0" applyNumberFormat="1" applyFont="1"/>
    <xf numFmtId="6" fontId="94" fillId="0" borderId="0" xfId="0" applyNumberFormat="1" applyFont="1"/>
    <xf numFmtId="6" fontId="93" fillId="0" borderId="0" xfId="0" applyNumberFormat="1" applyFont="1" applyAlignment="1">
      <alignment horizontal="right"/>
    </xf>
    <xf numFmtId="6" fontId="93" fillId="0" borderId="1" xfId="0" applyNumberFormat="1" applyFont="1" applyBorder="1" applyAlignment="1">
      <alignment horizontal="right"/>
    </xf>
    <xf numFmtId="0" fontId="93" fillId="0" borderId="0" xfId="0" applyFont="1" applyAlignment="1">
      <alignment horizontal="right"/>
    </xf>
    <xf numFmtId="0" fontId="93" fillId="20" borderId="0" xfId="0" applyFont="1" applyFill="1"/>
    <xf numFmtId="44" fontId="96" fillId="13" borderId="0" xfId="25" applyNumberFormat="1" applyFont="1" applyAlignment="1">
      <alignment horizontal="center"/>
    </xf>
    <xf numFmtId="44" fontId="96" fillId="13" borderId="0" xfId="25" applyNumberFormat="1" applyFont="1" applyBorder="1" applyAlignment="1">
      <alignment horizontal="center"/>
    </xf>
    <xf numFmtId="44" fontId="97" fillId="26" borderId="0" xfId="40" applyNumberFormat="1" applyFont="1" applyAlignment="1">
      <alignment horizontal="center"/>
    </xf>
    <xf numFmtId="44" fontId="97" fillId="26" borderId="0" xfId="40" applyNumberFormat="1" applyFont="1" applyBorder="1" applyAlignment="1">
      <alignment horizontal="center"/>
    </xf>
    <xf numFmtId="6" fontId="95" fillId="0" borderId="0" xfId="0" applyNumberFormat="1" applyFont="1" applyAlignment="1">
      <alignment horizontal="center"/>
    </xf>
    <xf numFmtId="9" fontId="95" fillId="0" borderId="0" xfId="0" applyNumberFormat="1" applyFont="1" applyAlignment="1">
      <alignment horizontal="center"/>
    </xf>
    <xf numFmtId="0" fontId="20" fillId="5" borderId="31" xfId="5" applyFont="1" applyFill="1" applyBorder="1" applyAlignment="1">
      <alignment horizontal="center"/>
    </xf>
    <xf numFmtId="44" fontId="98" fillId="13" borderId="0" xfId="25" applyNumberFormat="1" applyFont="1" applyAlignment="1">
      <alignment horizontal="center"/>
    </xf>
    <xf numFmtId="0" fontId="16" fillId="0" borderId="0" xfId="1" applyNumberFormat="1" applyFont="1" applyAlignment="1">
      <alignment horizontal="center"/>
    </xf>
    <xf numFmtId="0" fontId="99" fillId="0" borderId="32" xfId="0" applyFont="1" applyBorder="1"/>
    <xf numFmtId="0" fontId="100" fillId="0" borderId="33" xfId="0" applyFont="1" applyBorder="1" applyAlignment="1">
      <alignment horizontal="center"/>
    </xf>
    <xf numFmtId="0" fontId="100" fillId="0" borderId="34" xfId="0" applyFont="1" applyBorder="1" applyAlignment="1">
      <alignment horizontal="center"/>
    </xf>
    <xf numFmtId="0" fontId="99" fillId="0" borderId="0" xfId="0" applyFont="1" applyAlignment="1">
      <alignment horizontal="right"/>
    </xf>
    <xf numFmtId="10" fontId="100" fillId="0" borderId="0" xfId="0" applyNumberFormat="1" applyFont="1" applyAlignment="1">
      <alignment horizontal="center"/>
    </xf>
    <xf numFmtId="10" fontId="100" fillId="0" borderId="35" xfId="0" applyNumberFormat="1" applyFont="1" applyBorder="1" applyAlignment="1">
      <alignment horizontal="center"/>
    </xf>
    <xf numFmtId="176" fontId="100" fillId="0" borderId="0" xfId="0" applyNumberFormat="1" applyFont="1" applyAlignment="1">
      <alignment horizontal="center"/>
    </xf>
    <xf numFmtId="176" fontId="100" fillId="0" borderId="36" xfId="0" applyNumberFormat="1" applyFont="1" applyBorder="1" applyAlignment="1">
      <alignment horizontal="center"/>
    </xf>
    <xf numFmtId="6" fontId="100" fillId="0" borderId="0" xfId="0" applyNumberFormat="1" applyFont="1" applyAlignment="1">
      <alignment horizontal="center"/>
    </xf>
    <xf numFmtId="6" fontId="100" fillId="0" borderId="36" xfId="0" applyNumberFormat="1" applyFont="1" applyBorder="1" applyAlignment="1">
      <alignment horizontal="center"/>
    </xf>
    <xf numFmtId="165" fontId="100" fillId="0" borderId="0" xfId="0" applyNumberFormat="1" applyFont="1" applyAlignment="1">
      <alignment horizontal="center"/>
    </xf>
    <xf numFmtId="165" fontId="100" fillId="0" borderId="36" xfId="0" applyNumberFormat="1" applyFont="1" applyBorder="1" applyAlignment="1">
      <alignment horizontal="center"/>
    </xf>
    <xf numFmtId="0" fontId="51" fillId="0" borderId="0" xfId="26" applyFont="1" applyFill="1" applyAlignment="1"/>
    <xf numFmtId="6" fontId="102" fillId="0" borderId="0" xfId="0" applyNumberFormat="1" applyFont="1" applyAlignment="1">
      <alignment horizontal="center"/>
    </xf>
    <xf numFmtId="0" fontId="102" fillId="0" borderId="0" xfId="0" applyFont="1" applyAlignment="1">
      <alignment horizontal="center"/>
    </xf>
    <xf numFmtId="0" fontId="87" fillId="0" borderId="0" xfId="0" applyFont="1" applyAlignment="1">
      <alignment horizontal="center"/>
    </xf>
    <xf numFmtId="3" fontId="28" fillId="0" borderId="0" xfId="34" applyNumberFormat="1" applyFont="1"/>
    <xf numFmtId="10" fontId="28" fillId="0" borderId="0" xfId="34" applyNumberFormat="1" applyFont="1"/>
    <xf numFmtId="184" fontId="28" fillId="0" borderId="0" xfId="34" applyNumberFormat="1" applyFont="1"/>
    <xf numFmtId="0" fontId="28" fillId="0" borderId="0" xfId="34" applyFont="1"/>
    <xf numFmtId="182" fontId="28" fillId="0" borderId="0" xfId="34" applyNumberFormat="1" applyFont="1"/>
    <xf numFmtId="0" fontId="28" fillId="0" borderId="0" xfId="34" applyFont="1" applyAlignment="1">
      <alignment horizontal="left" indent="1"/>
    </xf>
    <xf numFmtId="0" fontId="28" fillId="0" borderId="0" xfId="34" applyFont="1" applyAlignment="1">
      <alignment horizontal="left"/>
    </xf>
    <xf numFmtId="6" fontId="28" fillId="0" borderId="0" xfId="26" applyNumberFormat="1" applyFont="1" applyFill="1" applyBorder="1" applyAlignment="1">
      <alignment horizontal="right"/>
    </xf>
    <xf numFmtId="6" fontId="55" fillId="0" borderId="0" xfId="28" applyNumberFormat="1" applyFont="1"/>
    <xf numFmtId="0" fontId="91" fillId="0" borderId="0" xfId="28" applyFont="1"/>
    <xf numFmtId="0" fontId="55" fillId="0" borderId="0" xfId="27" applyFont="1" applyFill="1" applyAlignment="1">
      <alignment horizontal="center"/>
    </xf>
    <xf numFmtId="0" fontId="28" fillId="0" borderId="0" xfId="26" applyNumberFormat="1" applyFont="1" applyFill="1" applyBorder="1" applyAlignment="1">
      <alignment horizontal="right"/>
    </xf>
    <xf numFmtId="0" fontId="55" fillId="27" borderId="0" xfId="28" applyFont="1" applyFill="1" applyAlignment="1">
      <alignment horizontal="center"/>
    </xf>
    <xf numFmtId="0" fontId="51" fillId="28" borderId="0" xfId="28" applyFont="1" applyFill="1" applyAlignment="1">
      <alignment horizontal="center"/>
    </xf>
    <xf numFmtId="0" fontId="51" fillId="28" borderId="19" xfId="28" applyFont="1" applyFill="1" applyBorder="1" applyAlignment="1">
      <alignment horizontal="center"/>
    </xf>
    <xf numFmtId="171" fontId="12" fillId="0" borderId="0" xfId="4" applyNumberFormat="1" applyAlignment="1">
      <alignment horizontal="center"/>
    </xf>
    <xf numFmtId="6" fontId="100" fillId="0" borderId="39" xfId="0" applyNumberFormat="1" applyFont="1" applyBorder="1" applyAlignment="1">
      <alignment horizontal="center"/>
    </xf>
    <xf numFmtId="6" fontId="100" fillId="0" borderId="40" xfId="0" applyNumberFormat="1" applyFont="1" applyBorder="1" applyAlignment="1">
      <alignment horizontal="center"/>
    </xf>
    <xf numFmtId="8" fontId="28" fillId="27" borderId="0" xfId="26" applyNumberFormat="1" applyFont="1" applyFill="1" applyBorder="1" applyAlignment="1">
      <alignment horizontal="right"/>
    </xf>
    <xf numFmtId="0" fontId="2" fillId="0" borderId="0" xfId="0" applyFont="1"/>
    <xf numFmtId="0" fontId="2" fillId="0" borderId="0" xfId="0" applyFont="1" applyAlignment="1">
      <alignment horizontal="right"/>
    </xf>
    <xf numFmtId="10" fontId="16" fillId="0" borderId="0" xfId="15" applyNumberFormat="1" applyFont="1" applyAlignment="1">
      <alignment horizontal="center"/>
    </xf>
    <xf numFmtId="0" fontId="2" fillId="0" borderId="0" xfId="0" applyFont="1" applyAlignment="1">
      <alignment horizontal="left" indent="1"/>
    </xf>
    <xf numFmtId="8" fontId="28" fillId="0" borderId="0" xfId="26" applyNumberFormat="1" applyFont="1" applyFill="1" applyBorder="1" applyAlignment="1">
      <alignment horizontal="right"/>
    </xf>
    <xf numFmtId="0" fontId="33" fillId="0" borderId="0" xfId="0" applyFont="1" applyAlignment="1">
      <alignment horizontal="center" vertical="center"/>
    </xf>
    <xf numFmtId="0" fontId="2" fillId="0" borderId="12" xfId="0" applyFont="1" applyBorder="1"/>
    <xf numFmtId="0" fontId="14" fillId="0" borderId="41" xfId="0" applyFont="1" applyBorder="1" applyAlignment="1">
      <alignment horizontal="center"/>
    </xf>
    <xf numFmtId="0" fontId="2" fillId="0" borderId="0" xfId="0" applyFont="1" applyAlignment="1">
      <alignment vertical="top" wrapText="1"/>
    </xf>
    <xf numFmtId="0" fontId="2" fillId="0" borderId="17" xfId="0" applyFont="1" applyBorder="1" applyAlignment="1">
      <alignment horizontal="right"/>
    </xf>
    <xf numFmtId="0" fontId="2" fillId="0" borderId="0" xfId="5" applyFont="1"/>
    <xf numFmtId="166" fontId="5" fillId="0" borderId="0" xfId="3" applyNumberFormat="1" applyFont="1"/>
    <xf numFmtId="170" fontId="2" fillId="0" borderId="0" xfId="5" applyNumberFormat="1" applyFont="1"/>
    <xf numFmtId="165" fontId="2" fillId="0" borderId="0" xfId="6" applyNumberFormat="1" applyFont="1"/>
    <xf numFmtId="0" fontId="2" fillId="0" borderId="0" xfId="5" applyFont="1" applyAlignment="1">
      <alignment horizontal="left" indent="1"/>
    </xf>
    <xf numFmtId="165" fontId="5" fillId="0" borderId="0" xfId="11" applyNumberFormat="1" applyFont="1"/>
    <xf numFmtId="166" fontId="5" fillId="0" borderId="0" xfId="3" applyNumberFormat="1" applyFont="1" applyAlignment="1">
      <alignment horizontal="right"/>
    </xf>
    <xf numFmtId="44" fontId="5" fillId="0" borderId="0" xfId="3" applyFont="1"/>
    <xf numFmtId="166" fontId="2" fillId="0" borderId="0" xfId="5" applyNumberFormat="1" applyFont="1"/>
    <xf numFmtId="6" fontId="2" fillId="0" borderId="0" xfId="0" applyNumberFormat="1" applyFont="1" applyAlignment="1">
      <alignment horizontal="center"/>
    </xf>
    <xf numFmtId="0" fontId="2" fillId="0" borderId="0" xfId="0" applyFont="1" applyAlignment="1">
      <alignment horizontal="left"/>
    </xf>
    <xf numFmtId="6" fontId="2" fillId="0" borderId="13" xfId="0" applyNumberFormat="1" applyFont="1" applyBorder="1" applyAlignment="1">
      <alignment horizontal="center"/>
    </xf>
    <xf numFmtId="8" fontId="2" fillId="0" borderId="0" xfId="0" applyNumberFormat="1" applyFont="1"/>
    <xf numFmtId="0" fontId="2" fillId="0" borderId="0" xfId="0" quotePrefix="1" applyFont="1"/>
    <xf numFmtId="0" fontId="2" fillId="0" borderId="0" xfId="0" applyFont="1" applyAlignment="1">
      <alignment horizontal="center"/>
    </xf>
    <xf numFmtId="164" fontId="2" fillId="0" borderId="0" xfId="0" applyNumberFormat="1" applyFont="1" applyAlignment="1">
      <alignment horizontal="center"/>
    </xf>
    <xf numFmtId="0" fontId="2" fillId="0" borderId="1" xfId="0" applyFont="1" applyBorder="1" applyAlignment="1">
      <alignment horizontal="center"/>
    </xf>
    <xf numFmtId="0" fontId="2" fillId="0" borderId="37" xfId="0" applyFont="1" applyBorder="1" applyAlignment="1">
      <alignment horizontal="center"/>
    </xf>
    <xf numFmtId="0" fontId="2" fillId="0" borderId="0" xfId="0" applyFont="1" applyAlignment="1">
      <alignment horizontal="centerContinuous"/>
    </xf>
    <xf numFmtId="164" fontId="2" fillId="0" borderId="0" xfId="0" applyNumberFormat="1" applyFont="1"/>
    <xf numFmtId="166" fontId="2" fillId="0" borderId="0" xfId="0" applyNumberFormat="1" applyFont="1"/>
    <xf numFmtId="6" fontId="2" fillId="0" borderId="0" xfId="0" applyNumberFormat="1" applyFont="1"/>
    <xf numFmtId="9" fontId="2" fillId="0" borderId="42" xfId="0" applyNumberFormat="1" applyFont="1" applyBorder="1" applyAlignment="1">
      <alignment horizontal="center"/>
    </xf>
    <xf numFmtId="0" fontId="2" fillId="0" borderId="37" xfId="0" applyFont="1" applyBorder="1"/>
    <xf numFmtId="0" fontId="2" fillId="0" borderId="2" xfId="0" applyFont="1" applyBorder="1" applyAlignment="1">
      <alignment horizontal="right"/>
    </xf>
    <xf numFmtId="44" fontId="2" fillId="0" borderId="0" xfId="0" applyNumberFormat="1" applyFont="1"/>
    <xf numFmtId="44" fontId="2" fillId="0" borderId="2" xfId="0" applyNumberFormat="1" applyFont="1" applyBorder="1"/>
    <xf numFmtId="0" fontId="2" fillId="0" borderId="0" xfId="0" applyFont="1" applyAlignment="1">
      <alignment horizontal="left" indent="2"/>
    </xf>
    <xf numFmtId="165" fontId="2" fillId="0" borderId="0" xfId="0" applyNumberFormat="1" applyFont="1"/>
    <xf numFmtId="9" fontId="2" fillId="0" borderId="0" xfId="0" applyNumberFormat="1" applyFont="1"/>
    <xf numFmtId="166" fontId="2" fillId="0" borderId="0" xfId="3" applyNumberFormat="1" applyFont="1"/>
    <xf numFmtId="44" fontId="2" fillId="0" borderId="0" xfId="3" applyFont="1"/>
    <xf numFmtId="0" fontId="2" fillId="5" borderId="0" xfId="0" applyFont="1" applyFill="1"/>
    <xf numFmtId="10" fontId="2" fillId="0" borderId="0" xfId="0" applyNumberFormat="1" applyFont="1"/>
    <xf numFmtId="0" fontId="2" fillId="0" borderId="19" xfId="0" applyFont="1" applyBorder="1" applyAlignment="1">
      <alignment horizontal="center"/>
    </xf>
    <xf numFmtId="10" fontId="2" fillId="0" borderId="0" xfId="0" applyNumberFormat="1" applyFont="1" applyAlignment="1">
      <alignment horizontal="center"/>
    </xf>
    <xf numFmtId="176" fontId="2" fillId="0" borderId="0" xfId="0" applyNumberFormat="1" applyFont="1" applyAlignment="1">
      <alignment horizontal="center"/>
    </xf>
    <xf numFmtId="4" fontId="2" fillId="0" borderId="0" xfId="0" applyNumberFormat="1" applyFont="1" applyAlignment="1">
      <alignment horizontal="center"/>
    </xf>
    <xf numFmtId="9" fontId="2" fillId="0" borderId="0" xfId="0" applyNumberFormat="1" applyFont="1" applyAlignment="1">
      <alignment horizontal="center"/>
    </xf>
    <xf numFmtId="43" fontId="2" fillId="0" borderId="0" xfId="0" applyNumberFormat="1" applyFont="1"/>
    <xf numFmtId="0" fontId="2" fillId="0" borderId="0" xfId="0" applyFont="1" applyAlignment="1">
      <alignment horizontal="center" vertical="center"/>
    </xf>
    <xf numFmtId="0" fontId="2" fillId="0" borderId="0" xfId="0" applyFont="1" applyAlignment="1">
      <alignment vertical="center"/>
    </xf>
    <xf numFmtId="166" fontId="2" fillId="0" borderId="2" xfId="2" applyNumberFormat="1" applyFont="1" applyBorder="1"/>
    <xf numFmtId="0" fontId="2" fillId="0" borderId="12" xfId="0" applyFont="1" applyBorder="1" applyAlignment="1">
      <alignment horizontal="left"/>
    </xf>
    <xf numFmtId="0" fontId="2" fillId="0" borderId="19" xfId="0" applyFont="1" applyBorder="1"/>
    <xf numFmtId="0" fontId="2" fillId="0" borderId="24" xfId="0" applyFont="1" applyBorder="1" applyAlignment="1">
      <alignment horizontal="center"/>
    </xf>
    <xf numFmtId="8" fontId="2" fillId="0" borderId="0" xfId="0" applyNumberFormat="1" applyFont="1" applyAlignment="1">
      <alignment horizontal="center"/>
    </xf>
    <xf numFmtId="0" fontId="2" fillId="0" borderId="1" xfId="0" applyFont="1" applyBorder="1" applyAlignment="1">
      <alignment horizontal="left" indent="1"/>
    </xf>
    <xf numFmtId="0" fontId="2" fillId="0" borderId="1" xfId="0" applyFont="1" applyBorder="1" applyAlignment="1">
      <alignment horizontal="right"/>
    </xf>
    <xf numFmtId="8" fontId="2" fillId="0" borderId="0" xfId="0" applyNumberFormat="1" applyFont="1" applyAlignment="1">
      <alignment horizontal="center" vertical="center"/>
    </xf>
    <xf numFmtId="6" fontId="2" fillId="0" borderId="0" xfId="0" applyNumberFormat="1" applyFont="1" applyAlignment="1">
      <alignment horizontal="center" vertical="center"/>
    </xf>
    <xf numFmtId="3" fontId="2" fillId="0" borderId="0" xfId="0" applyNumberFormat="1" applyFont="1" applyAlignment="1">
      <alignment horizontal="center" vertical="center"/>
    </xf>
    <xf numFmtId="3" fontId="2" fillId="0" borderId="0" xfId="1" applyNumberFormat="1" applyFont="1" applyAlignment="1">
      <alignment horizontal="center" vertical="top"/>
    </xf>
    <xf numFmtId="0" fontId="2" fillId="0" borderId="3" xfId="0" applyFont="1" applyBorder="1"/>
    <xf numFmtId="0" fontId="2" fillId="0" borderId="0" xfId="28" applyFont="1" applyAlignment="1">
      <alignment horizontal="left" indent="1"/>
    </xf>
    <xf numFmtId="0" fontId="2" fillId="0" borderId="21" xfId="28" applyFont="1" applyBorder="1" applyAlignment="1">
      <alignment horizontal="left" indent="1"/>
    </xf>
    <xf numFmtId="0" fontId="2" fillId="0" borderId="0" xfId="28" applyFont="1" applyAlignment="1">
      <alignment horizontal="center"/>
    </xf>
    <xf numFmtId="0" fontId="2" fillId="16" borderId="0" xfId="28" applyFont="1" applyFill="1" applyAlignment="1">
      <alignment horizontal="center"/>
    </xf>
    <xf numFmtId="0" fontId="2" fillId="16" borderId="0" xfId="28" applyFont="1" applyFill="1" applyAlignment="1">
      <alignment horizontal="left" indent="1"/>
    </xf>
    <xf numFmtId="166" fontId="16" fillId="0" borderId="0" xfId="0" applyNumberFormat="1" applyFont="1"/>
    <xf numFmtId="166" fontId="23" fillId="0" borderId="5" xfId="0" applyNumberFormat="1" applyFont="1" applyBorder="1" applyAlignment="1">
      <alignment horizontal="center"/>
    </xf>
    <xf numFmtId="0" fontId="23" fillId="0" borderId="5" xfId="0" applyFont="1" applyBorder="1" applyAlignment="1">
      <alignment horizontal="center"/>
    </xf>
    <xf numFmtId="0" fontId="14" fillId="0" borderId="43" xfId="5" applyFont="1" applyBorder="1"/>
    <xf numFmtId="166" fontId="14" fillId="0" borderId="43" xfId="7" applyNumberFormat="1" applyFont="1" applyBorder="1"/>
    <xf numFmtId="170" fontId="14" fillId="0" borderId="43" xfId="10" applyNumberFormat="1" applyFont="1" applyBorder="1"/>
    <xf numFmtId="0" fontId="14" fillId="0" borderId="43" xfId="0" applyFont="1" applyBorder="1"/>
    <xf numFmtId="166" fontId="2" fillId="0" borderId="43" xfId="0" applyNumberFormat="1" applyFont="1" applyBorder="1"/>
    <xf numFmtId="166" fontId="14" fillId="0" borderId="43" xfId="5" applyNumberFormat="1" applyFont="1" applyBorder="1"/>
    <xf numFmtId="6" fontId="14" fillId="0" borderId="43" xfId="5" applyNumberFormat="1" applyFont="1" applyBorder="1" applyAlignment="1">
      <alignment horizontal="center"/>
    </xf>
    <xf numFmtId="0" fontId="16" fillId="0" borderId="44" xfId="0" applyFont="1" applyBorder="1"/>
    <xf numFmtId="0" fontId="2" fillId="0" borderId="45" xfId="5" quotePrefix="1" applyFont="1" applyBorder="1"/>
    <xf numFmtId="0" fontId="2" fillId="0" borderId="46" xfId="0" applyFont="1" applyBorder="1"/>
    <xf numFmtId="6" fontId="2" fillId="0" borderId="45" xfId="0" applyNumberFormat="1" applyFont="1" applyBorder="1"/>
    <xf numFmtId="6" fontId="93" fillId="0" borderId="43" xfId="0" applyNumberFormat="1" applyFont="1" applyBorder="1"/>
    <xf numFmtId="0" fontId="14" fillId="0" borderId="43" xfId="0" applyFont="1" applyBorder="1" applyAlignment="1">
      <alignment horizontal="left"/>
    </xf>
    <xf numFmtId="165" fontId="24" fillId="7" borderId="43" xfId="1" applyNumberFormat="1" applyFont="1" applyFill="1" applyBorder="1"/>
    <xf numFmtId="165" fontId="14" fillId="0" borderId="47" xfId="1" applyNumberFormat="1" applyFont="1" applyFill="1" applyBorder="1"/>
    <xf numFmtId="165" fontId="14" fillId="0" borderId="43" xfId="1" applyNumberFormat="1" applyFont="1" applyFill="1" applyBorder="1"/>
    <xf numFmtId="6" fontId="93" fillId="0" borderId="43" xfId="0" applyNumberFormat="1" applyFont="1" applyBorder="1" applyAlignment="1">
      <alignment horizontal="right"/>
    </xf>
    <xf numFmtId="165" fontId="14" fillId="7" borderId="43" xfId="1" applyNumberFormat="1" applyFont="1" applyFill="1" applyBorder="1"/>
    <xf numFmtId="165" fontId="14" fillId="0" borderId="43" xfId="0" applyNumberFormat="1" applyFont="1" applyBorder="1"/>
    <xf numFmtId="165" fontId="12" fillId="7" borderId="43" xfId="1" applyNumberFormat="1" applyFill="1" applyBorder="1"/>
    <xf numFmtId="165" fontId="12" fillId="0" borderId="47" xfId="1" applyNumberFormat="1" applyFill="1" applyBorder="1"/>
    <xf numFmtId="165" fontId="12" fillId="0" borderId="43" xfId="1" applyNumberFormat="1" applyFill="1" applyBorder="1"/>
    <xf numFmtId="165" fontId="0" fillId="0" borderId="48" xfId="13" applyNumberFormat="1" applyFont="1" applyBorder="1"/>
    <xf numFmtId="165" fontId="0" fillId="0" borderId="49" xfId="13" applyNumberFormat="1" applyFont="1" applyBorder="1"/>
    <xf numFmtId="165" fontId="0" fillId="0" borderId="50" xfId="13" applyNumberFormat="1" applyFont="1" applyBorder="1"/>
    <xf numFmtId="166" fontId="31" fillId="0" borderId="44" xfId="0" applyNumberFormat="1" applyFont="1" applyBorder="1"/>
    <xf numFmtId="10" fontId="16" fillId="0" borderId="46" xfId="4" applyNumberFormat="1" applyFont="1" applyBorder="1" applyAlignment="1">
      <alignment horizontal="center"/>
    </xf>
    <xf numFmtId="166" fontId="23" fillId="0" borderId="44" xfId="0" applyNumberFormat="1" applyFont="1" applyBorder="1"/>
    <xf numFmtId="166" fontId="30" fillId="11" borderId="46" xfId="2" applyNumberFormat="1" applyFont="1" applyFill="1" applyBorder="1"/>
    <xf numFmtId="0" fontId="24" fillId="0" borderId="43" xfId="0" applyFont="1" applyBorder="1"/>
    <xf numFmtId="165" fontId="12" fillId="0" borderId="43" xfId="1" applyNumberFormat="1" applyBorder="1"/>
    <xf numFmtId="165" fontId="2" fillId="0" borderId="45" xfId="0" applyNumberFormat="1" applyFont="1" applyBorder="1"/>
    <xf numFmtId="0" fontId="0" fillId="0" borderId="45" xfId="0" applyBorder="1"/>
    <xf numFmtId="166" fontId="2" fillId="0" borderId="46" xfId="0" applyNumberFormat="1" applyFont="1" applyBorder="1"/>
    <xf numFmtId="0" fontId="103" fillId="0" borderId="51" xfId="0" applyFont="1" applyBorder="1" applyAlignment="1">
      <alignment horizontal="center"/>
    </xf>
    <xf numFmtId="44" fontId="103" fillId="0" borderId="52" xfId="2" applyFont="1" applyBorder="1"/>
    <xf numFmtId="0" fontId="103" fillId="0" borderId="53" xfId="0" applyFont="1" applyBorder="1" applyAlignment="1">
      <alignment horizontal="center"/>
    </xf>
    <xf numFmtId="44" fontId="103" fillId="0" borderId="54" xfId="2" applyFont="1" applyBorder="1"/>
    <xf numFmtId="0" fontId="2" fillId="0" borderId="45" xfId="0" applyFont="1" applyBorder="1"/>
    <xf numFmtId="0" fontId="20" fillId="5" borderId="44" xfId="0" applyFont="1" applyFill="1" applyBorder="1"/>
    <xf numFmtId="0" fontId="0" fillId="5" borderId="45" xfId="0" applyFill="1" applyBorder="1"/>
    <xf numFmtId="0" fontId="0" fillId="5" borderId="46" xfId="0" applyFill="1" applyBorder="1"/>
    <xf numFmtId="0" fontId="14" fillId="0" borderId="55" xfId="0" applyFont="1" applyBorder="1" applyAlignment="1">
      <alignment horizontal="center"/>
    </xf>
    <xf numFmtId="6" fontId="11" fillId="0" borderId="43" xfId="28" applyNumberFormat="1" applyBorder="1"/>
    <xf numFmtId="0" fontId="42" fillId="0" borderId="55" xfId="0" applyFont="1" applyBorder="1" applyAlignment="1">
      <alignment horizontal="center" vertical="center" wrapText="1"/>
    </xf>
    <xf numFmtId="6" fontId="18" fillId="0" borderId="55" xfId="0" applyNumberFormat="1" applyFont="1" applyBorder="1" applyAlignment="1">
      <alignment horizontal="center" vertical="center" wrapText="1"/>
    </xf>
    <xf numFmtId="0" fontId="18" fillId="0" borderId="55" xfId="0" applyFont="1" applyBorder="1" applyAlignment="1">
      <alignment horizontal="center" vertical="center" wrapText="1"/>
    </xf>
    <xf numFmtId="10" fontId="18" fillId="0" borderId="55" xfId="0" applyNumberFormat="1" applyFont="1" applyBorder="1" applyAlignment="1">
      <alignment horizontal="center" vertical="center" wrapText="1"/>
    </xf>
    <xf numFmtId="0" fontId="14" fillId="0" borderId="55" xfId="0" applyFont="1" applyBorder="1"/>
    <xf numFmtId="0" fontId="0" fillId="0" borderId="55" xfId="0" applyBorder="1"/>
    <xf numFmtId="44" fontId="0" fillId="0" borderId="55" xfId="2" applyFont="1" applyBorder="1"/>
    <xf numFmtId="6" fontId="0" fillId="0" borderId="55" xfId="2" applyNumberFormat="1" applyFont="1" applyBorder="1"/>
    <xf numFmtId="0" fontId="2" fillId="0" borderId="44" xfId="0" applyFont="1" applyBorder="1" applyAlignment="1">
      <alignment horizontal="right" indent="1"/>
    </xf>
    <xf numFmtId="167" fontId="0" fillId="0" borderId="55" xfId="4" applyNumberFormat="1" applyFont="1" applyBorder="1"/>
    <xf numFmtId="44" fontId="0" fillId="0" borderId="55" xfId="0" applyNumberFormat="1" applyBorder="1"/>
    <xf numFmtId="0" fontId="2" fillId="0" borderId="44" xfId="0" applyFont="1" applyBorder="1"/>
    <xf numFmtId="0" fontId="0" fillId="0" borderId="45" xfId="0" applyBorder="1" applyAlignment="1">
      <alignment horizontal="center"/>
    </xf>
    <xf numFmtId="8" fontId="0" fillId="0" borderId="45" xfId="0" applyNumberFormat="1" applyBorder="1" applyAlignment="1">
      <alignment horizontal="center"/>
    </xf>
    <xf numFmtId="6" fontId="0" fillId="0" borderId="45" xfId="0" applyNumberFormat="1" applyBorder="1"/>
    <xf numFmtId="3" fontId="0" fillId="0" borderId="45" xfId="0" applyNumberFormat="1" applyBorder="1" applyAlignment="1">
      <alignment horizontal="center"/>
    </xf>
    <xf numFmtId="4" fontId="0" fillId="0" borderId="46" xfId="0" applyNumberFormat="1" applyBorder="1" applyAlignment="1">
      <alignment horizontal="center"/>
    </xf>
    <xf numFmtId="0" fontId="14" fillId="0" borderId="44" xfId="0" applyFont="1" applyBorder="1" applyAlignment="1">
      <alignment horizontal="right"/>
    </xf>
    <xf numFmtId="167" fontId="14" fillId="0" borderId="45" xfId="4" applyNumberFormat="1" applyFont="1" applyBorder="1"/>
    <xf numFmtId="44" fontId="14" fillId="0" borderId="55" xfId="2" applyFont="1" applyBorder="1"/>
    <xf numFmtId="0" fontId="14" fillId="0" borderId="44" xfId="0" applyFont="1" applyBorder="1"/>
    <xf numFmtId="0" fontId="14" fillId="0" borderId="45" xfId="0" applyFont="1" applyBorder="1" applyAlignment="1">
      <alignment horizontal="right"/>
    </xf>
    <xf numFmtId="0" fontId="14" fillId="0" borderId="46" xfId="0" applyFont="1" applyBorder="1" applyAlignment="1">
      <alignment horizontal="right"/>
    </xf>
    <xf numFmtId="0" fontId="11" fillId="4" borderId="55" xfId="28" applyFill="1" applyBorder="1"/>
    <xf numFmtId="0" fontId="11" fillId="10" borderId="55" xfId="28" applyFill="1" applyBorder="1" applyAlignment="1">
      <alignment horizontal="center"/>
    </xf>
    <xf numFmtId="6" fontId="11" fillId="4" borderId="55" xfId="28" applyNumberFormat="1" applyFill="1" applyBorder="1"/>
    <xf numFmtId="0" fontId="11" fillId="0" borderId="55" xfId="28" applyBorder="1"/>
    <xf numFmtId="6" fontId="28" fillId="0" borderId="45" xfId="26" applyNumberFormat="1" applyFont="1" applyFill="1" applyBorder="1" applyAlignment="1">
      <alignment horizontal="right"/>
    </xf>
    <xf numFmtId="6" fontId="55" fillId="0" borderId="45" xfId="28" applyNumberFormat="1" applyFont="1" applyBorder="1"/>
    <xf numFmtId="0" fontId="51" fillId="14" borderId="0" xfId="26" applyFont="1" applyAlignment="1">
      <alignment horizontal="center"/>
    </xf>
    <xf numFmtId="0" fontId="55" fillId="15" borderId="0" xfId="27" applyFont="1" applyAlignment="1">
      <alignment horizontal="center"/>
    </xf>
    <xf numFmtId="0" fontId="55" fillId="0" borderId="0" xfId="28" applyFont="1" applyAlignment="1">
      <alignment horizontal="center" wrapText="1"/>
    </xf>
    <xf numFmtId="0" fontId="55" fillId="0" borderId="19" xfId="28" applyFont="1" applyBorder="1" applyAlignment="1">
      <alignment horizontal="center" wrapText="1"/>
    </xf>
    <xf numFmtId="0" fontId="2" fillId="0" borderId="0" xfId="0" quotePrefix="1" applyFont="1" applyAlignment="1">
      <alignment horizontal="left"/>
    </xf>
    <xf numFmtId="0" fontId="11" fillId="0" borderId="10" xfId="28" applyBorder="1"/>
    <xf numFmtId="8" fontId="2" fillId="0" borderId="42" xfId="0" applyNumberFormat="1" applyFont="1" applyBorder="1" applyAlignment="1">
      <alignment horizontal="center"/>
    </xf>
    <xf numFmtId="6" fontId="57" fillId="0" borderId="0" xfId="28" applyNumberFormat="1" applyFont="1"/>
    <xf numFmtId="6" fontId="28" fillId="27" borderId="0" xfId="26" applyNumberFormat="1" applyFont="1" applyFill="1" applyBorder="1" applyAlignment="1">
      <alignment horizontal="right"/>
    </xf>
    <xf numFmtId="6" fontId="28" fillId="27" borderId="38" xfId="26" applyNumberFormat="1" applyFont="1" applyFill="1" applyBorder="1" applyAlignment="1">
      <alignment horizontal="right"/>
    </xf>
    <xf numFmtId="6" fontId="28" fillId="27" borderId="45" xfId="26" applyNumberFormat="1" applyFont="1" applyFill="1" applyBorder="1" applyAlignment="1">
      <alignment horizontal="right"/>
    </xf>
    <xf numFmtId="44" fontId="12" fillId="0" borderId="1" xfId="2" applyBorder="1" applyAlignment="1">
      <alignment horizontal="center"/>
    </xf>
    <xf numFmtId="6" fontId="12" fillId="0" borderId="0" xfId="2" applyNumberFormat="1"/>
    <xf numFmtId="165" fontId="2" fillId="10" borderId="1" xfId="13" applyNumberFormat="1" applyFont="1" applyFill="1" applyBorder="1"/>
    <xf numFmtId="6" fontId="12" fillId="0" borderId="45" xfId="2" applyNumberFormat="1" applyBorder="1"/>
    <xf numFmtId="0" fontId="2" fillId="20" borderId="0" xfId="0" applyFont="1" applyFill="1"/>
    <xf numFmtId="0" fontId="95" fillId="0" borderId="0" xfId="0" applyFont="1" applyAlignment="1">
      <alignment horizontal="center"/>
    </xf>
    <xf numFmtId="6" fontId="2" fillId="0" borderId="1" xfId="0" applyNumberFormat="1" applyFont="1" applyBorder="1"/>
    <xf numFmtId="0" fontId="2" fillId="0" borderId="56" xfId="0" applyFont="1" applyBorder="1"/>
    <xf numFmtId="0" fontId="14" fillId="0" borderId="56" xfId="0" applyFont="1" applyBorder="1" applyAlignment="1">
      <alignment horizontal="center"/>
    </xf>
    <xf numFmtId="9" fontId="0" fillId="0" borderId="11" xfId="0" applyNumberFormat="1" applyBorder="1" applyAlignment="1">
      <alignment horizontal="center"/>
    </xf>
    <xf numFmtId="6" fontId="16" fillId="0" borderId="42" xfId="0" applyNumberFormat="1" applyFont="1" applyBorder="1" applyAlignment="1">
      <alignment horizontal="center"/>
    </xf>
    <xf numFmtId="0" fontId="16" fillId="0" borderId="0" xfId="0" applyFont="1"/>
    <xf numFmtId="9" fontId="16" fillId="0" borderId="0" xfId="0" applyNumberFormat="1" applyFont="1"/>
    <xf numFmtId="8" fontId="2" fillId="0" borderId="56" xfId="0" applyNumberFormat="1" applyFont="1" applyBorder="1"/>
    <xf numFmtId="0" fontId="52" fillId="14" borderId="0" xfId="26"/>
    <xf numFmtId="6" fontId="52" fillId="14" borderId="0" xfId="26" applyNumberFormat="1"/>
    <xf numFmtId="14" fontId="52" fillId="14" borderId="0" xfId="26" applyNumberFormat="1"/>
    <xf numFmtId="10" fontId="11" fillId="0" borderId="0" xfId="28" applyNumberFormat="1"/>
    <xf numFmtId="0" fontId="14" fillId="0" borderId="0" xfId="0" applyFont="1" applyAlignment="1">
      <alignment vertical="center"/>
    </xf>
    <xf numFmtId="6" fontId="2" fillId="29" borderId="0" xfId="2" applyNumberFormat="1" applyFont="1" applyFill="1" applyAlignment="1">
      <alignment vertical="center"/>
    </xf>
    <xf numFmtId="10" fontId="2" fillId="29" borderId="0" xfId="4" applyNumberFormat="1" applyFont="1" applyFill="1" applyAlignment="1">
      <alignment vertical="center"/>
    </xf>
    <xf numFmtId="165" fontId="2" fillId="29" borderId="0" xfId="13" applyNumberFormat="1" applyFont="1" applyFill="1" applyAlignment="1">
      <alignment vertical="center"/>
    </xf>
    <xf numFmtId="6" fontId="2" fillId="29" borderId="0" xfId="13" applyNumberFormat="1" applyFont="1" applyFill="1" applyAlignment="1">
      <alignment vertical="center"/>
    </xf>
    <xf numFmtId="0" fontId="14" fillId="0" borderId="0" xfId="0" applyFont="1" applyAlignment="1">
      <alignment horizontal="center" vertical="center"/>
    </xf>
    <xf numFmtId="0" fontId="14" fillId="0" borderId="0" xfId="0" applyFont="1" applyAlignment="1">
      <alignment horizontal="center" vertical="center" wrapText="1"/>
    </xf>
    <xf numFmtId="0" fontId="14" fillId="0" borderId="1" xfId="0" applyFont="1" applyBorder="1" applyAlignment="1">
      <alignment horizontal="center" vertical="center"/>
    </xf>
    <xf numFmtId="0" fontId="14" fillId="0" borderId="1" xfId="0" applyFont="1" applyBorder="1" applyAlignment="1">
      <alignment horizontal="center" vertical="center" wrapText="1"/>
    </xf>
    <xf numFmtId="6" fontId="2" fillId="0" borderId="0" xfId="2" applyNumberFormat="1" applyFont="1" applyFill="1" applyAlignment="1">
      <alignment vertical="center"/>
    </xf>
    <xf numFmtId="6" fontId="14" fillId="0" borderId="0" xfId="2" applyNumberFormat="1" applyFont="1" applyFill="1"/>
    <xf numFmtId="8" fontId="2" fillId="0" borderId="0" xfId="0" applyNumberFormat="1" applyFont="1" applyAlignment="1">
      <alignment vertical="center"/>
    </xf>
    <xf numFmtId="6" fontId="14" fillId="0" borderId="0" xfId="2" applyNumberFormat="1" applyFont="1" applyFill="1" applyAlignment="1">
      <alignment vertical="center"/>
    </xf>
    <xf numFmtId="0" fontId="1" fillId="4" borderId="55" xfId="28" applyFont="1" applyFill="1" applyBorder="1"/>
    <xf numFmtId="0" fontId="51" fillId="19" borderId="0" xfId="33" applyFont="1"/>
    <xf numFmtId="0" fontId="51" fillId="19" borderId="19" xfId="33" applyFont="1" applyBorder="1"/>
    <xf numFmtId="6" fontId="28" fillId="0" borderId="19" xfId="28" applyNumberFormat="1" applyFont="1" applyBorder="1"/>
    <xf numFmtId="0" fontId="51" fillId="30" borderId="0" xfId="28" applyFont="1" applyFill="1" applyAlignment="1">
      <alignment horizontal="center"/>
    </xf>
    <xf numFmtId="0" fontId="51" fillId="30" borderId="19" xfId="28" applyFont="1" applyFill="1" applyBorder="1" applyAlignment="1">
      <alignment horizontal="center"/>
    </xf>
    <xf numFmtId="6" fontId="28" fillId="0" borderId="0" xfId="34" applyNumberFormat="1" applyFont="1"/>
    <xf numFmtId="0" fontId="28" fillId="0" borderId="0" xfId="34" applyFont="1" applyAlignment="1">
      <alignment horizontal="right"/>
    </xf>
    <xf numFmtId="0" fontId="28" fillId="0" borderId="0" xfId="34" applyFont="1" applyAlignment="1">
      <alignment horizontal="right" indent="1"/>
    </xf>
    <xf numFmtId="0" fontId="106" fillId="0" borderId="0" xfId="0" applyFont="1"/>
    <xf numFmtId="0" fontId="106" fillId="11" borderId="0" xfId="0" applyFont="1" applyFill="1"/>
    <xf numFmtId="0" fontId="2" fillId="11" borderId="0" xfId="0" applyFont="1" applyFill="1"/>
    <xf numFmtId="165" fontId="12" fillId="11" borderId="0" xfId="1" applyNumberFormat="1" applyFill="1"/>
    <xf numFmtId="165" fontId="16" fillId="3" borderId="0" xfId="1" applyNumberFormat="1" applyFont="1" applyFill="1"/>
    <xf numFmtId="44" fontId="28" fillId="0" borderId="0" xfId="2" applyFont="1" applyAlignment="1">
      <alignment horizontal="left" indent="1"/>
    </xf>
    <xf numFmtId="10" fontId="0" fillId="0" borderId="0" xfId="0" applyNumberFormat="1"/>
    <xf numFmtId="165" fontId="93" fillId="0" borderId="0" xfId="0" applyNumberFormat="1" applyFont="1"/>
    <xf numFmtId="190" fontId="23" fillId="0" borderId="0" xfId="0" applyNumberFormat="1" applyFont="1"/>
    <xf numFmtId="170" fontId="14" fillId="0" borderId="57" xfId="10" applyNumberFormat="1" applyFont="1" applyBorder="1"/>
    <xf numFmtId="0" fontId="20" fillId="6" borderId="58" xfId="5" applyFont="1" applyFill="1" applyBorder="1" applyAlignment="1">
      <alignment horizontal="center"/>
    </xf>
    <xf numFmtId="165" fontId="12" fillId="0" borderId="59" xfId="1" applyNumberFormat="1" applyFill="1" applyBorder="1"/>
    <xf numFmtId="165" fontId="12" fillId="0" borderId="57" xfId="1" applyNumberFormat="1" applyFill="1" applyBorder="1"/>
    <xf numFmtId="0" fontId="14" fillId="0" borderId="57" xfId="0" applyFont="1" applyBorder="1" applyAlignment="1">
      <alignment horizontal="left"/>
    </xf>
    <xf numFmtId="165" fontId="14" fillId="0" borderId="58" xfId="1" applyNumberFormat="1" applyFont="1" applyFill="1" applyBorder="1"/>
    <xf numFmtId="165" fontId="14" fillId="0" borderId="57" xfId="1" applyNumberFormat="1" applyFont="1" applyFill="1" applyBorder="1"/>
    <xf numFmtId="0" fontId="14" fillId="0" borderId="60" xfId="10" applyFont="1" applyBorder="1" applyAlignment="1">
      <alignment horizontal="center"/>
    </xf>
    <xf numFmtId="43" fontId="14" fillId="0" borderId="60" xfId="10" applyNumberFormat="1" applyFont="1" applyBorder="1" applyAlignment="1">
      <alignment horizontal="center"/>
    </xf>
    <xf numFmtId="165" fontId="0" fillId="0" borderId="61" xfId="13" applyNumberFormat="1" applyFont="1" applyBorder="1"/>
    <xf numFmtId="6" fontId="2" fillId="0" borderId="57" xfId="0" applyNumberFormat="1" applyFont="1" applyBorder="1"/>
    <xf numFmtId="6" fontId="12" fillId="0" borderId="57" xfId="2" applyNumberFormat="1" applyBorder="1"/>
    <xf numFmtId="0" fontId="20" fillId="5" borderId="59" xfId="0" applyFont="1" applyFill="1" applyBorder="1"/>
    <xf numFmtId="0" fontId="21" fillId="5" borderId="57" xfId="0" applyFont="1" applyFill="1" applyBorder="1"/>
    <xf numFmtId="0" fontId="0" fillId="5" borderId="58" xfId="0" applyFill="1" applyBorder="1"/>
    <xf numFmtId="0" fontId="55" fillId="18" borderId="59" xfId="32" applyFont="1" applyBorder="1" applyAlignment="1">
      <alignment vertical="center"/>
    </xf>
    <xf numFmtId="0" fontId="10" fillId="18" borderId="57" xfId="32" applyBorder="1"/>
    <xf numFmtId="0" fontId="10" fillId="18" borderId="58" xfId="32" applyBorder="1"/>
    <xf numFmtId="0" fontId="0" fillId="0" borderId="59" xfId="0" applyBorder="1"/>
    <xf numFmtId="0" fontId="0" fillId="0" borderId="57" xfId="0" applyBorder="1"/>
    <xf numFmtId="166" fontId="16" fillId="0" borderId="58" xfId="0" applyNumberFormat="1" applyFont="1" applyBorder="1"/>
    <xf numFmtId="0" fontId="2" fillId="0" borderId="59" xfId="0" applyFont="1" applyBorder="1" applyAlignment="1">
      <alignment horizontal="right"/>
    </xf>
    <xf numFmtId="0" fontId="0" fillId="0" borderId="57" xfId="0" applyBorder="1" applyAlignment="1">
      <alignment horizontal="center"/>
    </xf>
    <xf numFmtId="8" fontId="0" fillId="0" borderId="57" xfId="0" applyNumberFormat="1" applyBorder="1" applyAlignment="1">
      <alignment horizontal="center"/>
    </xf>
    <xf numFmtId="6" fontId="0" fillId="0" borderId="57" xfId="0" applyNumberFormat="1" applyBorder="1"/>
    <xf numFmtId="2" fontId="0" fillId="0" borderId="58" xfId="0" applyNumberFormat="1" applyBorder="1" applyAlignment="1">
      <alignment horizontal="center"/>
    </xf>
    <xf numFmtId="4" fontId="0" fillId="0" borderId="58" xfId="0" applyNumberFormat="1" applyBorder="1" applyAlignment="1">
      <alignment horizontal="center"/>
    </xf>
    <xf numFmtId="0" fontId="20" fillId="5" borderId="57" xfId="0" applyFont="1" applyFill="1" applyBorder="1"/>
    <xf numFmtId="166" fontId="20" fillId="5" borderId="57" xfId="2" applyNumberFormat="1" applyFont="1" applyFill="1" applyBorder="1"/>
    <xf numFmtId="0" fontId="20" fillId="0" borderId="59" xfId="0" applyFont="1" applyBorder="1"/>
    <xf numFmtId="0" fontId="21" fillId="0" borderId="57" xfId="0" applyFont="1" applyBorder="1"/>
    <xf numFmtId="0" fontId="20" fillId="0" borderId="57" xfId="0" applyFont="1" applyBorder="1"/>
    <xf numFmtId="166" fontId="20" fillId="0" borderId="57" xfId="2" applyNumberFormat="1" applyFont="1" applyBorder="1"/>
    <xf numFmtId="0" fontId="0" fillId="0" borderId="60" xfId="0" applyBorder="1"/>
    <xf numFmtId="0" fontId="14" fillId="0" borderId="59" xfId="0" applyFont="1" applyBorder="1" applyAlignment="1">
      <alignment horizontal="right"/>
    </xf>
    <xf numFmtId="0" fontId="2" fillId="0" borderId="57" xfId="0" applyFont="1" applyBorder="1" applyAlignment="1">
      <alignment horizontal="right"/>
    </xf>
    <xf numFmtId="166" fontId="0" fillId="0" borderId="60" xfId="0" applyNumberFormat="1" applyBorder="1"/>
    <xf numFmtId="0" fontId="14" fillId="0" borderId="57" xfId="0" applyFont="1" applyBorder="1"/>
    <xf numFmtId="166" fontId="0" fillId="0" borderId="58" xfId="0" applyNumberFormat="1" applyBorder="1"/>
    <xf numFmtId="0" fontId="1" fillId="0" borderId="19" xfId="28" applyFont="1" applyBorder="1"/>
    <xf numFmtId="6" fontId="28" fillId="0" borderId="57" xfId="26" applyNumberFormat="1" applyFont="1" applyFill="1" applyBorder="1" applyAlignment="1">
      <alignment horizontal="right"/>
    </xf>
    <xf numFmtId="0" fontId="1" fillId="0" borderId="0" xfId="28" applyFont="1"/>
    <xf numFmtId="6" fontId="11" fillId="0" borderId="57" xfId="28" applyNumberFormat="1" applyBorder="1"/>
    <xf numFmtId="165" fontId="23" fillId="0" borderId="0" xfId="0" applyNumberFormat="1" applyFont="1" applyAlignment="1">
      <alignment horizontal="right"/>
    </xf>
    <xf numFmtId="9" fontId="18" fillId="0" borderId="10" xfId="0" applyNumberFormat="1" applyFont="1" applyBorder="1" applyAlignment="1">
      <alignment horizontal="center" vertical="center" wrapText="1"/>
    </xf>
    <xf numFmtId="9" fontId="18" fillId="0" borderId="4" xfId="0" applyNumberFormat="1" applyFont="1" applyBorder="1" applyAlignment="1">
      <alignment horizontal="center" vertical="center" wrapText="1"/>
    </xf>
    <xf numFmtId="0" fontId="28" fillId="0" borderId="0" xfId="0" applyFont="1" applyAlignment="1">
      <alignment horizontal="left" vertical="top" wrapText="1"/>
    </xf>
    <xf numFmtId="0" fontId="18" fillId="0" borderId="0" xfId="0" applyFont="1" applyAlignment="1">
      <alignment horizontal="left" vertical="top" wrapText="1"/>
    </xf>
    <xf numFmtId="0" fontId="0" fillId="0" borderId="0" xfId="0" applyAlignment="1">
      <alignment vertical="top" wrapText="1"/>
    </xf>
    <xf numFmtId="0" fontId="33" fillId="0" borderId="0" xfId="10" applyFont="1" applyAlignment="1">
      <alignment horizontal="left" vertical="top" wrapText="1" indent="1"/>
    </xf>
    <xf numFmtId="0" fontId="33" fillId="0" borderId="17" xfId="10" applyFont="1" applyBorder="1" applyAlignment="1">
      <alignment horizontal="left" vertical="top" wrapText="1" indent="1"/>
    </xf>
    <xf numFmtId="0" fontId="2" fillId="0" borderId="0" xfId="0" applyFont="1" applyAlignment="1">
      <alignment horizontal="center"/>
    </xf>
    <xf numFmtId="0" fontId="20" fillId="5" borderId="0" xfId="10" applyFont="1" applyFill="1" applyAlignment="1">
      <alignment horizontal="center"/>
    </xf>
    <xf numFmtId="0" fontId="105" fillId="19" borderId="0" xfId="33" applyFont="1" applyAlignment="1">
      <alignment horizontal="center"/>
    </xf>
    <xf numFmtId="0" fontId="104" fillId="13" borderId="0" xfId="25" applyFont="1" applyAlignment="1">
      <alignment horizontal="center"/>
    </xf>
    <xf numFmtId="0" fontId="49" fillId="0" borderId="0" xfId="24" applyAlignment="1">
      <alignment horizontal="center"/>
    </xf>
    <xf numFmtId="0" fontId="20" fillId="5" borderId="0" xfId="0" applyFont="1" applyFill="1" applyAlignment="1">
      <alignment horizontal="center"/>
    </xf>
    <xf numFmtId="0" fontId="14" fillId="0" borderId="0" xfId="0" applyFont="1" applyAlignment="1">
      <alignment horizontal="center"/>
    </xf>
    <xf numFmtId="0" fontId="51" fillId="13" borderId="0" xfId="25" applyFont="1" applyAlignment="1">
      <alignment horizontal="center"/>
    </xf>
    <xf numFmtId="0" fontId="20" fillId="5" borderId="59" xfId="0" applyFont="1" applyFill="1" applyBorder="1" applyAlignment="1">
      <alignment horizontal="center"/>
    </xf>
    <xf numFmtId="0" fontId="20" fillId="5" borderId="57" xfId="0" applyFont="1" applyFill="1" applyBorder="1" applyAlignment="1">
      <alignment horizontal="center"/>
    </xf>
    <xf numFmtId="0" fontId="20" fillId="5" borderId="58" xfId="0" applyFont="1" applyFill="1" applyBorder="1" applyAlignment="1">
      <alignment horizontal="center"/>
    </xf>
    <xf numFmtId="0" fontId="51" fillId="17" borderId="0" xfId="26" applyFont="1" applyFill="1" applyAlignment="1">
      <alignment horizontal="center"/>
    </xf>
    <xf numFmtId="0" fontId="20" fillId="24" borderId="0" xfId="0" applyFont="1" applyFill="1" applyAlignment="1">
      <alignment horizontal="center"/>
    </xf>
    <xf numFmtId="0" fontId="51" fillId="14" borderId="0" xfId="26" applyFont="1" applyAlignment="1">
      <alignment horizontal="center"/>
    </xf>
    <xf numFmtId="0" fontId="55" fillId="15" borderId="0" xfId="27" applyFont="1" applyAlignment="1">
      <alignment horizontal="center"/>
    </xf>
    <xf numFmtId="0" fontId="51" fillId="14" borderId="14" xfId="26" applyFont="1" applyBorder="1" applyAlignment="1">
      <alignment horizontal="center"/>
    </xf>
    <xf numFmtId="0" fontId="51" fillId="14" borderId="15" xfId="26" applyFont="1" applyBorder="1" applyAlignment="1">
      <alignment horizontal="center"/>
    </xf>
    <xf numFmtId="0" fontId="51" fillId="14" borderId="16" xfId="26" applyFont="1" applyBorder="1" applyAlignment="1">
      <alignment horizontal="center"/>
    </xf>
    <xf numFmtId="0" fontId="55" fillId="0" borderId="0" xfId="28" applyFont="1" applyAlignment="1">
      <alignment horizontal="center" wrapText="1"/>
    </xf>
    <xf numFmtId="0" fontId="55" fillId="0" borderId="19" xfId="28" applyFont="1" applyBorder="1" applyAlignment="1">
      <alignment horizontal="center" wrapText="1"/>
    </xf>
    <xf numFmtId="0" fontId="57" fillId="11" borderId="26" xfId="36" applyFont="1" applyFill="1" applyBorder="1" applyAlignment="1">
      <alignment horizontal="left"/>
    </xf>
    <xf numFmtId="0" fontId="57" fillId="11" borderId="0" xfId="36" applyFont="1" applyFill="1" applyAlignment="1">
      <alignment horizontal="left"/>
    </xf>
    <xf numFmtId="44" fontId="90" fillId="11" borderId="0" xfId="38" applyFont="1" applyFill="1" applyAlignment="1">
      <alignment horizontal="center"/>
    </xf>
    <xf numFmtId="0" fontId="55" fillId="11" borderId="0" xfId="36" applyFont="1" applyFill="1" applyAlignment="1">
      <alignment horizontal="center" wrapText="1"/>
    </xf>
    <xf numFmtId="0" fontId="55" fillId="11" borderId="25" xfId="36" applyFont="1" applyFill="1" applyBorder="1" applyAlignment="1">
      <alignment horizontal="center" wrapText="1"/>
    </xf>
    <xf numFmtId="0" fontId="55" fillId="11" borderId="1" xfId="36" applyFont="1" applyFill="1" applyBorder="1" applyAlignment="1">
      <alignment horizontal="center" wrapText="1"/>
    </xf>
    <xf numFmtId="0" fontId="55" fillId="11" borderId="27" xfId="36" applyFont="1" applyFill="1" applyBorder="1" applyAlignment="1">
      <alignment horizontal="center" wrapText="1"/>
    </xf>
    <xf numFmtId="0" fontId="86" fillId="11" borderId="0" xfId="36" applyFont="1" applyFill="1" applyAlignment="1">
      <alignment horizontal="center"/>
    </xf>
    <xf numFmtId="0" fontId="57" fillId="11" borderId="29" xfId="36" applyFont="1" applyFill="1" applyBorder="1" applyAlignment="1">
      <alignment horizontal="left"/>
    </xf>
    <xf numFmtId="0" fontId="57" fillId="11" borderId="57" xfId="36" applyFont="1" applyFill="1" applyBorder="1" applyAlignment="1">
      <alignment horizontal="left"/>
    </xf>
  </cellXfs>
  <cellStyles count="51">
    <cellStyle name="20% - Accent1" xfId="32" builtinId="30"/>
    <cellStyle name="40% - Accent1" xfId="27" builtinId="31"/>
    <cellStyle name="40% - Accent3" xfId="35" builtinId="39"/>
    <cellStyle name="60% - Accent6" xfId="40" builtinId="52"/>
    <cellStyle name="Accent1" xfId="26" builtinId="29"/>
    <cellStyle name="Accent4" xfId="33" builtinId="41"/>
    <cellStyle name="Accent6" xfId="25" builtinId="49"/>
    <cellStyle name="Comma" xfId="1" builtinId="3"/>
    <cellStyle name="Comma 2" xfId="6" xr:uid="{00000000-0005-0000-0000-000001000000}"/>
    <cellStyle name="Comma 2 2" xfId="11" xr:uid="{00000000-0005-0000-0000-000002000000}"/>
    <cellStyle name="Comma 3" xfId="13" xr:uid="{00000000-0005-0000-0000-000003000000}"/>
    <cellStyle name="Comma 4" xfId="23" xr:uid="{00000000-0005-0000-0000-000004000000}"/>
    <cellStyle name="Comma 5" xfId="37" xr:uid="{97361930-60FB-49F0-9BD8-1D66122D61C6}"/>
    <cellStyle name="Comma 6" xfId="44" xr:uid="{9E888740-3CB9-4DDA-8102-76867E8B34C4}"/>
    <cellStyle name="Comma 7" xfId="49" xr:uid="{D8B2E331-A891-41A8-87EC-FBA475D0CD27}"/>
    <cellStyle name="Currency" xfId="2" builtinId="4"/>
    <cellStyle name="Currency 2" xfId="3" xr:uid="{00000000-0005-0000-0000-000006000000}"/>
    <cellStyle name="Currency 2 2" xfId="38" xr:uid="{3BCD26E9-7D73-4F6A-B61E-B2C003D2556F}"/>
    <cellStyle name="Currency 3" xfId="14" xr:uid="{00000000-0005-0000-0000-000007000000}"/>
    <cellStyle name="Currency 4" xfId="31" xr:uid="{B1FD28A5-5DE5-4474-B33D-8FEFD364E554}"/>
    <cellStyle name="Currency 5" xfId="50" xr:uid="{F8C76691-3867-4048-A48F-8A3D4CA30163}"/>
    <cellStyle name="Hyperlink" xfId="24" builtinId="8"/>
    <cellStyle name="Hyperlink 2" xfId="42" xr:uid="{16D83230-AE81-4F9E-8C9D-299FC2DDBA8E}"/>
    <cellStyle name="Normal" xfId="0" builtinId="0"/>
    <cellStyle name="Normal 10" xfId="46" xr:uid="{4E149AB4-40D3-4BCA-8320-5F0166E09D6E}"/>
    <cellStyle name="Normal 2" xfId="5" xr:uid="{00000000-0005-0000-0000-000009000000}"/>
    <cellStyle name="Normal 2 2" xfId="10" xr:uid="{00000000-0005-0000-0000-00000A000000}"/>
    <cellStyle name="Normal 2 3" xfId="30" xr:uid="{5F3C42FC-E6D6-4561-9B51-07E2F832B6CA}"/>
    <cellStyle name="Normal 2 4" xfId="47" xr:uid="{11838949-5C9A-40B8-AAAD-6BF36D160924}"/>
    <cellStyle name="Normal 3" xfId="9" xr:uid="{00000000-0005-0000-0000-00000B000000}"/>
    <cellStyle name="Normal 3 2" xfId="43" xr:uid="{7E3C9D21-8FB7-48CC-A60D-9DA665E92D5F}"/>
    <cellStyle name="Normal 4" xfId="8" xr:uid="{00000000-0005-0000-0000-00000C000000}"/>
    <cellStyle name="Normal 5" xfId="22" xr:uid="{00000000-0005-0000-0000-00000D000000}"/>
    <cellStyle name="Normal 6" xfId="28" xr:uid="{CFECB08B-76BB-41DA-B4B4-9E9393A1477D}"/>
    <cellStyle name="Normal 7" xfId="29" xr:uid="{8161AA81-848D-49EB-8484-770534499EE6}"/>
    <cellStyle name="Normal 8" xfId="34" xr:uid="{A1542CFA-B2CB-4538-89E1-E270706DB8A7}"/>
    <cellStyle name="Normal 8 2" xfId="36" xr:uid="{07F2B53D-04FD-44DF-AB06-4FD2E8055FCD}"/>
    <cellStyle name="Normal 9" xfId="41" xr:uid="{668FC191-D656-4A9D-8D6E-7C56D5FFC84A}"/>
    <cellStyle name="Percent" xfId="4" builtinId="5"/>
    <cellStyle name="Percent 2" xfId="7" xr:uid="{00000000-0005-0000-0000-00000F000000}"/>
    <cellStyle name="Percent 2 2" xfId="12" xr:uid="{00000000-0005-0000-0000-000010000000}"/>
    <cellStyle name="Percent 2 2 2" xfId="48" xr:uid="{0D135B84-358C-436A-BC0B-68EE6726DB68}"/>
    <cellStyle name="Percent 3" xfId="15" xr:uid="{00000000-0005-0000-0000-000011000000}"/>
    <cellStyle name="Percent 4" xfId="39" xr:uid="{79C5FAB2-7FCE-4E04-A52E-EE1D03F3AEDF}"/>
    <cellStyle name="Percent 5" xfId="45" xr:uid="{F0A42C10-063D-4709-ADB8-157D02BA9AFC}"/>
    <cellStyle name="Style 1163" xfId="16" xr:uid="{00000000-0005-0000-0000-000012000000}"/>
    <cellStyle name="Style 1167" xfId="17" xr:uid="{00000000-0005-0000-0000-000013000000}"/>
    <cellStyle name="Style 1301" xfId="18" xr:uid="{00000000-0005-0000-0000-000014000000}"/>
    <cellStyle name="Style 1305" xfId="19" xr:uid="{00000000-0005-0000-0000-000015000000}"/>
    <cellStyle name="Style 1541" xfId="20" xr:uid="{00000000-0005-0000-0000-000016000000}"/>
    <cellStyle name="Style 1545" xfId="21" xr:uid="{00000000-0005-0000-0000-000017000000}"/>
  </cellStyles>
  <dxfs count="27">
    <dxf>
      <font>
        <color theme="9" tint="-0.24994659260841701"/>
      </font>
    </dxf>
    <dxf>
      <font>
        <b/>
        <i/>
        <color theme="0"/>
      </font>
      <fill>
        <patternFill>
          <bgColor rgb="FFFF0000"/>
        </patternFill>
      </fill>
    </dxf>
    <dxf>
      <font>
        <color rgb="FF0000FF"/>
      </font>
      <fill>
        <patternFill>
          <bgColor rgb="FFFFFF00"/>
        </patternFill>
      </fill>
    </dxf>
    <dxf>
      <numFmt numFmtId="191" formatCode="&quot; up to &quot;0.00&quot;X EM to LP&quot;"/>
    </dxf>
    <dxf>
      <numFmt numFmtId="191" formatCode="&quot; up to &quot;0.00&quot;X EM to LP&quot;"/>
    </dxf>
    <dxf>
      <numFmt numFmtId="191" formatCode="&quot; up to &quot;0.00&quot;X EM to LP&quot;"/>
    </dxf>
    <dxf>
      <numFmt numFmtId="191" formatCode="&quot; up to &quot;0.00&quot;X EM to LP&quot;"/>
    </dxf>
    <dxf>
      <numFmt numFmtId="177" formatCode="0.00&quot;X&quot;"/>
    </dxf>
    <dxf>
      <numFmt numFmtId="191" formatCode="&quot; up to &quot;0.00&quot;X EM to LP&quot;"/>
    </dxf>
    <dxf>
      <font>
        <color theme="0"/>
      </font>
      <numFmt numFmtId="0" formatCode="General"/>
      <fill>
        <patternFill patternType="none">
          <bgColor auto="1"/>
        </patternFill>
      </fill>
    </dxf>
    <dxf>
      <font>
        <color theme="0"/>
      </font>
      <numFmt numFmtId="0" formatCode="General"/>
      <fill>
        <patternFill patternType="none">
          <bgColor auto="1"/>
        </patternFill>
      </fill>
    </dxf>
    <dxf>
      <numFmt numFmtId="191" formatCode="&quot; up to &quot;0.00&quot;X EM to LP&quot;"/>
    </dxf>
    <dxf>
      <numFmt numFmtId="191" formatCode="&quot; up to &quot;0.00&quot;X EM to LP&quot;"/>
    </dxf>
    <dxf>
      <numFmt numFmtId="191" formatCode="&quot; up to &quot;0.00&quot;X EM to LP&quot;"/>
    </dxf>
    <dxf>
      <numFmt numFmtId="191" formatCode="&quot; up to &quot;0.00&quot;X EM to LP&quot;"/>
    </dxf>
    <dxf>
      <font>
        <color theme="0"/>
      </font>
      <fill>
        <patternFill patternType="none">
          <bgColor auto="1"/>
        </patternFill>
      </fill>
    </dxf>
    <dxf>
      <numFmt numFmtId="191" formatCode="&quot; up to &quot;0.00&quot;X EM to LP&quot;"/>
    </dxf>
    <dxf>
      <numFmt numFmtId="191" formatCode="&quot; up to &quot;0.00&quot;X EM to LP&quot;"/>
    </dxf>
    <dxf>
      <numFmt numFmtId="191" formatCode="&quot; up to &quot;0.00&quot;X EM to LP&quot;"/>
    </dxf>
    <dxf>
      <numFmt numFmtId="191" formatCode="&quot; up to &quot;0.00&quot;X EM to LP&quot;"/>
    </dxf>
    <dxf>
      <fill>
        <patternFill>
          <bgColor theme="3" tint="0.59996337778862885"/>
        </patternFill>
      </fill>
      <border>
        <left style="thin">
          <color auto="1"/>
        </left>
        <right style="thin">
          <color auto="1"/>
        </right>
        <top style="thin">
          <color auto="1"/>
        </top>
        <bottom style="thin">
          <color auto="1"/>
        </bottom>
      </border>
    </dxf>
    <dxf>
      <font>
        <color rgb="FF0000FF"/>
      </font>
    </dxf>
    <dxf>
      <font>
        <color rgb="FF0000FF"/>
      </font>
    </dxf>
    <dxf>
      <font>
        <b val="0"/>
        <i/>
        <color theme="0"/>
      </font>
      <fill>
        <patternFill>
          <bgColor rgb="FFFF0000"/>
        </patternFill>
      </fill>
    </dxf>
    <dxf>
      <fill>
        <patternFill patternType="solid">
          <bgColor theme="9" tint="0.79998168889431442"/>
        </patternFill>
      </fill>
    </dxf>
    <dxf>
      <font>
        <color rgb="FF0000FF"/>
      </font>
    </dxf>
    <dxf>
      <font>
        <color rgb="FF9C0006"/>
      </font>
      <fill>
        <patternFill>
          <bgColor rgb="FFFFC7CE"/>
        </patternFill>
      </fill>
    </dxf>
  </dxfs>
  <tableStyles count="0" defaultTableStyle="TableStyleMedium2" defaultPivotStyle="PivotStyleLight16"/>
  <colors>
    <mruColors>
      <color rgb="FF0000FF"/>
      <color rgb="FFFF9E42"/>
      <color rgb="FF12457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20"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0.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9.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chartsheet" Target="chartsheets/sheet1.xml"/><Relationship Id="rId14"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Historical</a:t>
            </a:r>
            <a:r>
              <a:rPr lang="en-US" baseline="0"/>
              <a:t> / Future Comparison</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1"/>
          <c:order val="0"/>
          <c:tx>
            <c:v>Income</c:v>
          </c:tx>
          <c:spPr>
            <a:solidFill>
              <a:schemeClr val="accent2"/>
            </a:solidFill>
            <a:ln>
              <a:noFill/>
            </a:ln>
            <a:effectLst/>
          </c:spPr>
          <c:invertIfNegative val="0"/>
          <c:cat>
            <c:strRef>
              <c:f>'IE SUMMARY'!$B$110:$I$110</c:f>
              <c:strCache>
                <c:ptCount val="8"/>
                <c:pt idx="0">
                  <c:v>2022</c:v>
                </c:pt>
                <c:pt idx="1">
                  <c:v>2023</c:v>
                </c:pt>
                <c:pt idx="2">
                  <c:v>2024</c:v>
                </c:pt>
                <c:pt idx="3">
                  <c:v>Trailing 12</c:v>
                </c:pt>
                <c:pt idx="4">
                  <c:v>2025 Ann.</c:v>
                </c:pt>
                <c:pt idx="5">
                  <c:v>Broker</c:v>
                </c:pt>
                <c:pt idx="6">
                  <c:v>BVG Defaults</c:v>
                </c:pt>
                <c:pt idx="7">
                  <c:v>BVG Yr 1</c:v>
                </c:pt>
              </c:strCache>
            </c:strRef>
          </c:cat>
          <c:val>
            <c:numRef>
              <c:f>'IE SUMMARY'!$B$26:$I$26</c:f>
              <c:numCache>
                <c:formatCode>"$"#,##0_);[Red]\("$"#,##0\)</c:formatCode>
                <c:ptCount val="8"/>
                <c:pt idx="0">
                  <c:v>0</c:v>
                </c:pt>
                <c:pt idx="1">
                  <c:v>0</c:v>
                </c:pt>
                <c:pt idx="2">
                  <c:v>0</c:v>
                </c:pt>
                <c:pt idx="3">
                  <c:v>0</c:v>
                </c:pt>
                <c:pt idx="4">
                  <c:v>0</c:v>
                </c:pt>
                <c:pt idx="5">
                  <c:v>0</c:v>
                </c:pt>
                <c:pt idx="6">
                  <c:v>0</c:v>
                </c:pt>
                <c:pt idx="7">
                  <c:v>842400</c:v>
                </c:pt>
              </c:numCache>
            </c:numRef>
          </c:val>
          <c:extLst>
            <c:ext xmlns:c16="http://schemas.microsoft.com/office/drawing/2014/chart" uri="{C3380CC4-5D6E-409C-BE32-E72D297353CC}">
              <c16:uniqueId val="{00000000-E7AA-441E-A5C0-0610D03FBD88}"/>
            </c:ext>
          </c:extLst>
        </c:ser>
        <c:ser>
          <c:idx val="2"/>
          <c:order val="1"/>
          <c:tx>
            <c:v>Expenses</c:v>
          </c:tx>
          <c:spPr>
            <a:solidFill>
              <a:schemeClr val="accent3"/>
            </a:solidFill>
            <a:ln>
              <a:noFill/>
            </a:ln>
            <a:effectLst/>
          </c:spPr>
          <c:invertIfNegative val="0"/>
          <c:cat>
            <c:strRef>
              <c:f>'IE SUMMARY'!$B$110:$I$110</c:f>
              <c:strCache>
                <c:ptCount val="8"/>
                <c:pt idx="0">
                  <c:v>2022</c:v>
                </c:pt>
                <c:pt idx="1">
                  <c:v>2023</c:v>
                </c:pt>
                <c:pt idx="2">
                  <c:v>2024</c:v>
                </c:pt>
                <c:pt idx="3">
                  <c:v>Trailing 12</c:v>
                </c:pt>
                <c:pt idx="4">
                  <c:v>2025 Ann.</c:v>
                </c:pt>
                <c:pt idx="5">
                  <c:v>Broker</c:v>
                </c:pt>
                <c:pt idx="6">
                  <c:v>BVG Defaults</c:v>
                </c:pt>
                <c:pt idx="7">
                  <c:v>BVG Yr 1</c:v>
                </c:pt>
              </c:strCache>
            </c:strRef>
          </c:cat>
          <c:val>
            <c:numRef>
              <c:f>('IE SUMMARY'!$B$56:$G$56,'IE SUMMARY'!$I$56)</c:f>
              <c:numCache>
                <c:formatCode>"$"#,##0_);[Red]\("$"#,##0\)</c:formatCode>
                <c:ptCount val="7"/>
                <c:pt idx="0">
                  <c:v>0</c:v>
                </c:pt>
                <c:pt idx="1">
                  <c:v>0</c:v>
                </c:pt>
                <c:pt idx="2">
                  <c:v>737558</c:v>
                </c:pt>
                <c:pt idx="3">
                  <c:v>0</c:v>
                </c:pt>
                <c:pt idx="4">
                  <c:v>0</c:v>
                </c:pt>
                <c:pt idx="5">
                  <c:v>0</c:v>
                </c:pt>
                <c:pt idx="6">
                  <c:v>600057.28999999992</c:v>
                </c:pt>
              </c:numCache>
            </c:numRef>
          </c:val>
          <c:extLst>
            <c:ext xmlns:c16="http://schemas.microsoft.com/office/drawing/2014/chart" uri="{C3380CC4-5D6E-409C-BE32-E72D297353CC}">
              <c16:uniqueId val="{00000001-E7AA-441E-A5C0-0610D03FBD88}"/>
            </c:ext>
          </c:extLst>
        </c:ser>
        <c:ser>
          <c:idx val="0"/>
          <c:order val="2"/>
          <c:tx>
            <c:v>NOI</c:v>
          </c:tx>
          <c:spPr>
            <a:solidFill>
              <a:schemeClr val="accent1"/>
            </a:solidFill>
            <a:ln>
              <a:noFill/>
            </a:ln>
            <a:effectLst/>
          </c:spPr>
          <c:invertIfNegative val="0"/>
          <c:cat>
            <c:strRef>
              <c:f>'IE SUMMARY'!$B$110:$I$110</c:f>
              <c:strCache>
                <c:ptCount val="8"/>
                <c:pt idx="0">
                  <c:v>2022</c:v>
                </c:pt>
                <c:pt idx="1">
                  <c:v>2023</c:v>
                </c:pt>
                <c:pt idx="2">
                  <c:v>2024</c:v>
                </c:pt>
                <c:pt idx="3">
                  <c:v>Trailing 12</c:v>
                </c:pt>
                <c:pt idx="4">
                  <c:v>2025 Ann.</c:v>
                </c:pt>
                <c:pt idx="5">
                  <c:v>Broker</c:v>
                </c:pt>
                <c:pt idx="6">
                  <c:v>BVG Defaults</c:v>
                </c:pt>
                <c:pt idx="7">
                  <c:v>BVG Yr 1</c:v>
                </c:pt>
              </c:strCache>
            </c:strRef>
          </c:cat>
          <c:val>
            <c:numRef>
              <c:f>('IE SUMMARY'!$B$61:$G$61,'IE SUMMARY'!$I$61)</c:f>
              <c:numCache>
                <c:formatCode>"$"#,##0_);[Red]\("$"#,##0\)</c:formatCode>
                <c:ptCount val="7"/>
                <c:pt idx="0">
                  <c:v>0</c:v>
                </c:pt>
                <c:pt idx="1">
                  <c:v>0</c:v>
                </c:pt>
                <c:pt idx="2">
                  <c:v>-737558</c:v>
                </c:pt>
                <c:pt idx="3">
                  <c:v>0</c:v>
                </c:pt>
                <c:pt idx="4">
                  <c:v>0</c:v>
                </c:pt>
                <c:pt idx="5">
                  <c:v>0</c:v>
                </c:pt>
                <c:pt idx="6">
                  <c:v>242342.71000000008</c:v>
                </c:pt>
              </c:numCache>
            </c:numRef>
          </c:val>
          <c:extLst>
            <c:ext xmlns:c16="http://schemas.microsoft.com/office/drawing/2014/chart" uri="{C3380CC4-5D6E-409C-BE32-E72D297353CC}">
              <c16:uniqueId val="{00000002-E7AA-441E-A5C0-0610D03FBD88}"/>
            </c:ext>
          </c:extLst>
        </c:ser>
        <c:dLbls>
          <c:showLegendKey val="0"/>
          <c:showVal val="0"/>
          <c:showCatName val="0"/>
          <c:showSerName val="0"/>
          <c:showPercent val="0"/>
          <c:showBubbleSize val="0"/>
        </c:dLbls>
        <c:gapWidth val="150"/>
        <c:axId val="-68998656"/>
        <c:axId val="-69004096"/>
      </c:barChart>
      <c:catAx>
        <c:axId val="-689986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69004096"/>
        <c:crosses val="autoZero"/>
        <c:auto val="1"/>
        <c:lblAlgn val="ctr"/>
        <c:lblOffset val="100"/>
        <c:noMultiLvlLbl val="0"/>
      </c:catAx>
      <c:valAx>
        <c:axId val="-69004096"/>
        <c:scaling>
          <c:orientation val="minMax"/>
        </c:scaling>
        <c:delete val="0"/>
        <c:axPos val="l"/>
        <c:majorGridlines>
          <c:spPr>
            <a:ln w="9525" cap="flat" cmpd="sng" algn="ctr">
              <a:solidFill>
                <a:schemeClr val="tx1">
                  <a:lumMod val="15000"/>
                  <a:lumOff val="85000"/>
                </a:schemeClr>
              </a:solidFill>
              <a:round/>
            </a:ln>
            <a:effectLst/>
          </c:spPr>
        </c:majorGridlines>
        <c:numFmt formatCode="&quot;$&quot;#,##0_);[Red]\(&quot;$&quot;#,##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899865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a:t>Historical Expense Comparison</a:t>
            </a:r>
          </a:p>
        </c:rich>
      </c:tx>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'IE SUMMARY'!$B$31</c:f>
              <c:strCache>
                <c:ptCount val="1"/>
                <c:pt idx="0">
                  <c:v>2022</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cene3d>
              <a:camera prst="orthographicFront">
                <a:rot lat="0" lon="0" rev="0"/>
              </a:camera>
              <a:lightRig rig="threePt" dir="t">
                <a:rot lat="0" lon="0" rev="1200000"/>
              </a:lightRig>
            </a:scene3d>
            <a:sp3d>
              <a:bevelT w="63500" h="25400"/>
            </a:sp3d>
          </c:spPr>
          <c:invertIfNegative val="0"/>
          <c:cat>
            <c:strRef>
              <c:f>'IE SUMMARY'!$A$32:$A$55</c:f>
              <c:strCache>
                <c:ptCount val="24"/>
                <c:pt idx="0">
                  <c:v>Salary Exp (0.00 FTE Mgr, 0.00 FTE Maintenance)</c:v>
                </c:pt>
                <c:pt idx="1">
                  <c:v>Payroll Taxes</c:v>
                </c:pt>
                <c:pt idx="2">
                  <c:v>Workers Comp</c:v>
                </c:pt>
                <c:pt idx="3">
                  <c:v>Electric</c:v>
                </c:pt>
                <c:pt idx="4">
                  <c:v>Gas/Propane</c:v>
                </c:pt>
                <c:pt idx="5">
                  <c:v>Trash</c:v>
                </c:pt>
                <c:pt idx="6">
                  <c:v>Sewer-septic</c:v>
                </c:pt>
                <c:pt idx="7">
                  <c:v>Water </c:v>
                </c:pt>
                <c:pt idx="8">
                  <c:v>Phone/Cable/Internet</c:v>
                </c:pt>
                <c:pt idx="9">
                  <c:v>Auto expense &amp; travel</c:v>
                </c:pt>
                <c:pt idx="10">
                  <c:v>Maintenance / Capital Reserve ($250 per space / year)</c:v>
                </c:pt>
                <c:pt idx="11">
                  <c:v>Landscaping, Grounds Maintenance, Outside Services</c:v>
                </c:pt>
                <c:pt idx="12">
                  <c:v>Equipment and Supplies</c:v>
                </c:pt>
                <c:pt idx="13">
                  <c:v>Property Taxes (Add Description of Assumptions)</c:v>
                </c:pt>
                <c:pt idx="14">
                  <c:v>Insurance </c:v>
                </c:pt>
                <c:pt idx="15">
                  <c:v>Billing Software</c:v>
                </c:pt>
                <c:pt idx="16">
                  <c:v>Legal Expenses</c:v>
                </c:pt>
                <c:pt idx="17">
                  <c:v>LLC/LP Tax</c:v>
                </c:pt>
                <c:pt idx="18">
                  <c:v>Advertising</c:v>
                </c:pt>
                <c:pt idx="19">
                  <c:v>Tax Return Preparation/accounting</c:v>
                </c:pt>
                <c:pt idx="20">
                  <c:v>Licenses and Permits</c:v>
                </c:pt>
                <c:pt idx="21">
                  <c:v>Banking and Merchant fees (est)</c:v>
                </c:pt>
                <c:pt idx="22">
                  <c:v>Office Supplies, Postage, Pager, Printing, dues, subscr, Misc.</c:v>
                </c:pt>
                <c:pt idx="23">
                  <c:v>Professional Mgmt ($2,000/mo or 5.0%)</c:v>
                </c:pt>
              </c:strCache>
            </c:strRef>
          </c:cat>
          <c:val>
            <c:numRef>
              <c:f>'IE SUMMARY'!$B$32:$B$55</c:f>
              <c:numCache>
                <c:formatCode>"$"#,##0_);[Red]\("$"#,##0\)</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numCache>
            </c:numRef>
          </c:val>
          <c:extLst>
            <c:ext xmlns:c16="http://schemas.microsoft.com/office/drawing/2014/chart" uri="{C3380CC4-5D6E-409C-BE32-E72D297353CC}">
              <c16:uniqueId val="{00000000-8C16-44D1-B4ED-52863D21BCB7}"/>
            </c:ext>
          </c:extLst>
        </c:ser>
        <c:ser>
          <c:idx val="1"/>
          <c:order val="1"/>
          <c:tx>
            <c:strRef>
              <c:f>'IE SUMMARY'!$C$31</c:f>
              <c:strCache>
                <c:ptCount val="1"/>
                <c:pt idx="0">
                  <c:v>2023</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cene3d>
              <a:camera prst="orthographicFront">
                <a:rot lat="0" lon="0" rev="0"/>
              </a:camera>
              <a:lightRig rig="threePt" dir="t">
                <a:rot lat="0" lon="0" rev="1200000"/>
              </a:lightRig>
            </a:scene3d>
            <a:sp3d>
              <a:bevelT w="63500" h="25400"/>
            </a:sp3d>
          </c:spPr>
          <c:invertIfNegative val="0"/>
          <c:cat>
            <c:strRef>
              <c:f>'IE SUMMARY'!$A$32:$A$55</c:f>
              <c:strCache>
                <c:ptCount val="24"/>
                <c:pt idx="0">
                  <c:v>Salary Exp (0.00 FTE Mgr, 0.00 FTE Maintenance)</c:v>
                </c:pt>
                <c:pt idx="1">
                  <c:v>Payroll Taxes</c:v>
                </c:pt>
                <c:pt idx="2">
                  <c:v>Workers Comp</c:v>
                </c:pt>
                <c:pt idx="3">
                  <c:v>Electric</c:v>
                </c:pt>
                <c:pt idx="4">
                  <c:v>Gas/Propane</c:v>
                </c:pt>
                <c:pt idx="5">
                  <c:v>Trash</c:v>
                </c:pt>
                <c:pt idx="6">
                  <c:v>Sewer-septic</c:v>
                </c:pt>
                <c:pt idx="7">
                  <c:v>Water </c:v>
                </c:pt>
                <c:pt idx="8">
                  <c:v>Phone/Cable/Internet</c:v>
                </c:pt>
                <c:pt idx="9">
                  <c:v>Auto expense &amp; travel</c:v>
                </c:pt>
                <c:pt idx="10">
                  <c:v>Maintenance / Capital Reserve ($250 per space / year)</c:v>
                </c:pt>
                <c:pt idx="11">
                  <c:v>Landscaping, Grounds Maintenance, Outside Services</c:v>
                </c:pt>
                <c:pt idx="12">
                  <c:v>Equipment and Supplies</c:v>
                </c:pt>
                <c:pt idx="13">
                  <c:v>Property Taxes (Add Description of Assumptions)</c:v>
                </c:pt>
                <c:pt idx="14">
                  <c:v>Insurance </c:v>
                </c:pt>
                <c:pt idx="15">
                  <c:v>Billing Software</c:v>
                </c:pt>
                <c:pt idx="16">
                  <c:v>Legal Expenses</c:v>
                </c:pt>
                <c:pt idx="17">
                  <c:v>LLC/LP Tax</c:v>
                </c:pt>
                <c:pt idx="18">
                  <c:v>Advertising</c:v>
                </c:pt>
                <c:pt idx="19">
                  <c:v>Tax Return Preparation/accounting</c:v>
                </c:pt>
                <c:pt idx="20">
                  <c:v>Licenses and Permits</c:v>
                </c:pt>
                <c:pt idx="21">
                  <c:v>Banking and Merchant fees (est)</c:v>
                </c:pt>
                <c:pt idx="22">
                  <c:v>Office Supplies, Postage, Pager, Printing, dues, subscr, Misc.</c:v>
                </c:pt>
                <c:pt idx="23">
                  <c:v>Professional Mgmt ($2,000/mo or 5.0%)</c:v>
                </c:pt>
              </c:strCache>
            </c:strRef>
          </c:cat>
          <c:val>
            <c:numRef>
              <c:f>'IE SUMMARY'!$C$32:$C$55</c:f>
              <c:numCache>
                <c:formatCode>"$"#,##0_);[Red]\("$"#,##0\)</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numCache>
            </c:numRef>
          </c:val>
          <c:extLst>
            <c:ext xmlns:c16="http://schemas.microsoft.com/office/drawing/2014/chart" uri="{C3380CC4-5D6E-409C-BE32-E72D297353CC}">
              <c16:uniqueId val="{00000001-8C16-44D1-B4ED-52863D21BCB7}"/>
            </c:ext>
          </c:extLst>
        </c:ser>
        <c:ser>
          <c:idx val="2"/>
          <c:order val="2"/>
          <c:tx>
            <c:strRef>
              <c:f>'IE SUMMARY'!$D$31</c:f>
              <c:strCache>
                <c:ptCount val="1"/>
                <c:pt idx="0">
                  <c:v>2024</c:v>
                </c:pt>
              </c:strCache>
            </c:strRef>
          </c:tx>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cene3d>
              <a:camera prst="orthographicFront">
                <a:rot lat="0" lon="0" rev="0"/>
              </a:camera>
              <a:lightRig rig="threePt" dir="t">
                <a:rot lat="0" lon="0" rev="1200000"/>
              </a:lightRig>
            </a:scene3d>
            <a:sp3d>
              <a:bevelT w="63500" h="25400"/>
            </a:sp3d>
          </c:spPr>
          <c:invertIfNegative val="0"/>
          <c:cat>
            <c:strRef>
              <c:f>'IE SUMMARY'!$A$32:$A$55</c:f>
              <c:strCache>
                <c:ptCount val="24"/>
                <c:pt idx="0">
                  <c:v>Salary Exp (0.00 FTE Mgr, 0.00 FTE Maintenance)</c:v>
                </c:pt>
                <c:pt idx="1">
                  <c:v>Payroll Taxes</c:v>
                </c:pt>
                <c:pt idx="2">
                  <c:v>Workers Comp</c:v>
                </c:pt>
                <c:pt idx="3">
                  <c:v>Electric</c:v>
                </c:pt>
                <c:pt idx="4">
                  <c:v>Gas/Propane</c:v>
                </c:pt>
                <c:pt idx="5">
                  <c:v>Trash</c:v>
                </c:pt>
                <c:pt idx="6">
                  <c:v>Sewer-septic</c:v>
                </c:pt>
                <c:pt idx="7">
                  <c:v>Water </c:v>
                </c:pt>
                <c:pt idx="8">
                  <c:v>Phone/Cable/Internet</c:v>
                </c:pt>
                <c:pt idx="9">
                  <c:v>Auto expense &amp; travel</c:v>
                </c:pt>
                <c:pt idx="10">
                  <c:v>Maintenance / Capital Reserve ($250 per space / year)</c:v>
                </c:pt>
                <c:pt idx="11">
                  <c:v>Landscaping, Grounds Maintenance, Outside Services</c:v>
                </c:pt>
                <c:pt idx="12">
                  <c:v>Equipment and Supplies</c:v>
                </c:pt>
                <c:pt idx="13">
                  <c:v>Property Taxes (Add Description of Assumptions)</c:v>
                </c:pt>
                <c:pt idx="14">
                  <c:v>Insurance </c:v>
                </c:pt>
                <c:pt idx="15">
                  <c:v>Billing Software</c:v>
                </c:pt>
                <c:pt idx="16">
                  <c:v>Legal Expenses</c:v>
                </c:pt>
                <c:pt idx="17">
                  <c:v>LLC/LP Tax</c:v>
                </c:pt>
                <c:pt idx="18">
                  <c:v>Advertising</c:v>
                </c:pt>
                <c:pt idx="19">
                  <c:v>Tax Return Preparation/accounting</c:v>
                </c:pt>
                <c:pt idx="20">
                  <c:v>Licenses and Permits</c:v>
                </c:pt>
                <c:pt idx="21">
                  <c:v>Banking and Merchant fees (est)</c:v>
                </c:pt>
                <c:pt idx="22">
                  <c:v>Office Supplies, Postage, Pager, Printing, dues, subscr, Misc.</c:v>
                </c:pt>
                <c:pt idx="23">
                  <c:v>Professional Mgmt ($2,000/mo or 5.0%)</c:v>
                </c:pt>
              </c:strCache>
            </c:strRef>
          </c:cat>
          <c:val>
            <c:numRef>
              <c:f>'IE SUMMARY'!$D$32:$D$55</c:f>
              <c:numCache>
                <c:formatCode>"$"#,##0_);[Red]\("$"#,##0\)</c:formatCode>
                <c:ptCount val="24"/>
                <c:pt idx="0">
                  <c:v>187049</c:v>
                </c:pt>
                <c:pt idx="1">
                  <c:v>0</c:v>
                </c:pt>
                <c:pt idx="2">
                  <c:v>0</c:v>
                </c:pt>
                <c:pt idx="3">
                  <c:v>1759</c:v>
                </c:pt>
                <c:pt idx="4">
                  <c:v>0</c:v>
                </c:pt>
                <c:pt idx="5">
                  <c:v>63258</c:v>
                </c:pt>
                <c:pt idx="6">
                  <c:v>0</c:v>
                </c:pt>
                <c:pt idx="7">
                  <c:v>6408</c:v>
                </c:pt>
                <c:pt idx="8">
                  <c:v>1601</c:v>
                </c:pt>
                <c:pt idx="9">
                  <c:v>11558</c:v>
                </c:pt>
                <c:pt idx="10">
                  <c:v>58699</c:v>
                </c:pt>
                <c:pt idx="11">
                  <c:v>15349</c:v>
                </c:pt>
                <c:pt idx="12">
                  <c:v>36977</c:v>
                </c:pt>
                <c:pt idx="13">
                  <c:v>160319</c:v>
                </c:pt>
                <c:pt idx="14">
                  <c:v>28392</c:v>
                </c:pt>
                <c:pt idx="15">
                  <c:v>0</c:v>
                </c:pt>
                <c:pt idx="16">
                  <c:v>10985</c:v>
                </c:pt>
                <c:pt idx="17">
                  <c:v>0</c:v>
                </c:pt>
                <c:pt idx="18">
                  <c:v>1826</c:v>
                </c:pt>
                <c:pt idx="19">
                  <c:v>0</c:v>
                </c:pt>
                <c:pt idx="20">
                  <c:v>0</c:v>
                </c:pt>
                <c:pt idx="21">
                  <c:v>1468</c:v>
                </c:pt>
                <c:pt idx="22">
                  <c:v>26627</c:v>
                </c:pt>
                <c:pt idx="23">
                  <c:v>125283</c:v>
                </c:pt>
              </c:numCache>
            </c:numRef>
          </c:val>
          <c:extLst>
            <c:ext xmlns:c16="http://schemas.microsoft.com/office/drawing/2014/chart" uri="{C3380CC4-5D6E-409C-BE32-E72D297353CC}">
              <c16:uniqueId val="{00000002-8C16-44D1-B4ED-52863D21BCB7}"/>
            </c:ext>
          </c:extLst>
        </c:ser>
        <c:ser>
          <c:idx val="3"/>
          <c:order val="3"/>
          <c:tx>
            <c:strRef>
              <c:f>'IE SUMMARY'!$E$31</c:f>
              <c:strCache>
                <c:ptCount val="1"/>
                <c:pt idx="0">
                  <c:v>Trailing 12</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cene3d>
              <a:camera prst="orthographicFront">
                <a:rot lat="0" lon="0" rev="0"/>
              </a:camera>
              <a:lightRig rig="threePt" dir="t">
                <a:rot lat="0" lon="0" rev="1200000"/>
              </a:lightRig>
            </a:scene3d>
            <a:sp3d>
              <a:bevelT w="63500" h="25400"/>
            </a:sp3d>
          </c:spPr>
          <c:invertIfNegative val="0"/>
          <c:cat>
            <c:strRef>
              <c:f>'IE SUMMARY'!$A$32:$A$55</c:f>
              <c:strCache>
                <c:ptCount val="24"/>
                <c:pt idx="0">
                  <c:v>Salary Exp (0.00 FTE Mgr, 0.00 FTE Maintenance)</c:v>
                </c:pt>
                <c:pt idx="1">
                  <c:v>Payroll Taxes</c:v>
                </c:pt>
                <c:pt idx="2">
                  <c:v>Workers Comp</c:v>
                </c:pt>
                <c:pt idx="3">
                  <c:v>Electric</c:v>
                </c:pt>
                <c:pt idx="4">
                  <c:v>Gas/Propane</c:v>
                </c:pt>
                <c:pt idx="5">
                  <c:v>Trash</c:v>
                </c:pt>
                <c:pt idx="6">
                  <c:v>Sewer-septic</c:v>
                </c:pt>
                <c:pt idx="7">
                  <c:v>Water </c:v>
                </c:pt>
                <c:pt idx="8">
                  <c:v>Phone/Cable/Internet</c:v>
                </c:pt>
                <c:pt idx="9">
                  <c:v>Auto expense &amp; travel</c:v>
                </c:pt>
                <c:pt idx="10">
                  <c:v>Maintenance / Capital Reserve ($250 per space / year)</c:v>
                </c:pt>
                <c:pt idx="11">
                  <c:v>Landscaping, Grounds Maintenance, Outside Services</c:v>
                </c:pt>
                <c:pt idx="12">
                  <c:v>Equipment and Supplies</c:v>
                </c:pt>
                <c:pt idx="13">
                  <c:v>Property Taxes (Add Description of Assumptions)</c:v>
                </c:pt>
                <c:pt idx="14">
                  <c:v>Insurance </c:v>
                </c:pt>
                <c:pt idx="15">
                  <c:v>Billing Software</c:v>
                </c:pt>
                <c:pt idx="16">
                  <c:v>Legal Expenses</c:v>
                </c:pt>
                <c:pt idx="17">
                  <c:v>LLC/LP Tax</c:v>
                </c:pt>
                <c:pt idx="18">
                  <c:v>Advertising</c:v>
                </c:pt>
                <c:pt idx="19">
                  <c:v>Tax Return Preparation/accounting</c:v>
                </c:pt>
                <c:pt idx="20">
                  <c:v>Licenses and Permits</c:v>
                </c:pt>
                <c:pt idx="21">
                  <c:v>Banking and Merchant fees (est)</c:v>
                </c:pt>
                <c:pt idx="22">
                  <c:v>Office Supplies, Postage, Pager, Printing, dues, subscr, Misc.</c:v>
                </c:pt>
                <c:pt idx="23">
                  <c:v>Professional Mgmt ($2,000/mo or 5.0%)</c:v>
                </c:pt>
              </c:strCache>
            </c:strRef>
          </c:cat>
          <c:val>
            <c:numRef>
              <c:f>'IE SUMMARY'!$E$32:$E$55</c:f>
              <c:numCache>
                <c:formatCode>"$"#,##0_);[Red]\("$"#,##0\)</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numCache>
            </c:numRef>
          </c:val>
          <c:extLst>
            <c:ext xmlns:c16="http://schemas.microsoft.com/office/drawing/2014/chart" uri="{C3380CC4-5D6E-409C-BE32-E72D297353CC}">
              <c16:uniqueId val="{00000003-8C16-44D1-B4ED-52863D21BCB7}"/>
            </c:ext>
          </c:extLst>
        </c:ser>
        <c:ser>
          <c:idx val="4"/>
          <c:order val="4"/>
          <c:tx>
            <c:strRef>
              <c:f>'IE SUMMARY'!$F$31</c:f>
              <c:strCache>
                <c:ptCount val="1"/>
                <c:pt idx="0">
                  <c:v>2025 Annualized</c:v>
                </c:pt>
              </c:strCache>
            </c:strRef>
          </c:tx>
          <c:spPr>
            <a:gradFill rotWithShape="1">
              <a:gsLst>
                <a:gs pos="0">
                  <a:schemeClr val="accent5">
                    <a:satMod val="103000"/>
                    <a:lumMod val="102000"/>
                    <a:tint val="94000"/>
                  </a:schemeClr>
                </a:gs>
                <a:gs pos="50000">
                  <a:schemeClr val="accent5">
                    <a:satMod val="110000"/>
                    <a:lumMod val="100000"/>
                    <a:shade val="100000"/>
                  </a:schemeClr>
                </a:gs>
                <a:gs pos="100000">
                  <a:schemeClr val="accent5">
                    <a:lumMod val="99000"/>
                    <a:satMod val="120000"/>
                    <a:shade val="78000"/>
                  </a:schemeClr>
                </a:gs>
              </a:gsLst>
              <a:lin ang="5400000" scaled="0"/>
            </a:gradFill>
            <a:ln>
              <a:noFill/>
            </a:ln>
            <a:effectLst>
              <a:outerShdw blurRad="57150" dist="19050" dir="5400000" algn="ctr" rotWithShape="0">
                <a:srgbClr val="000000">
                  <a:alpha val="63000"/>
                </a:srgbClr>
              </a:outerShdw>
            </a:effectLst>
            <a:scene3d>
              <a:camera prst="orthographicFront">
                <a:rot lat="0" lon="0" rev="0"/>
              </a:camera>
              <a:lightRig rig="threePt" dir="t">
                <a:rot lat="0" lon="0" rev="1200000"/>
              </a:lightRig>
            </a:scene3d>
            <a:sp3d>
              <a:bevelT w="63500" h="25400"/>
            </a:sp3d>
          </c:spPr>
          <c:invertIfNegative val="0"/>
          <c:cat>
            <c:strRef>
              <c:f>'IE SUMMARY'!$A$32:$A$55</c:f>
              <c:strCache>
                <c:ptCount val="24"/>
                <c:pt idx="0">
                  <c:v>Salary Exp (0.00 FTE Mgr, 0.00 FTE Maintenance)</c:v>
                </c:pt>
                <c:pt idx="1">
                  <c:v>Payroll Taxes</c:v>
                </c:pt>
                <c:pt idx="2">
                  <c:v>Workers Comp</c:v>
                </c:pt>
                <c:pt idx="3">
                  <c:v>Electric</c:v>
                </c:pt>
                <c:pt idx="4">
                  <c:v>Gas/Propane</c:v>
                </c:pt>
                <c:pt idx="5">
                  <c:v>Trash</c:v>
                </c:pt>
                <c:pt idx="6">
                  <c:v>Sewer-septic</c:v>
                </c:pt>
                <c:pt idx="7">
                  <c:v>Water </c:v>
                </c:pt>
                <c:pt idx="8">
                  <c:v>Phone/Cable/Internet</c:v>
                </c:pt>
                <c:pt idx="9">
                  <c:v>Auto expense &amp; travel</c:v>
                </c:pt>
                <c:pt idx="10">
                  <c:v>Maintenance / Capital Reserve ($250 per space / year)</c:v>
                </c:pt>
                <c:pt idx="11">
                  <c:v>Landscaping, Grounds Maintenance, Outside Services</c:v>
                </c:pt>
                <c:pt idx="12">
                  <c:v>Equipment and Supplies</c:v>
                </c:pt>
                <c:pt idx="13">
                  <c:v>Property Taxes (Add Description of Assumptions)</c:v>
                </c:pt>
                <c:pt idx="14">
                  <c:v>Insurance </c:v>
                </c:pt>
                <c:pt idx="15">
                  <c:v>Billing Software</c:v>
                </c:pt>
                <c:pt idx="16">
                  <c:v>Legal Expenses</c:v>
                </c:pt>
                <c:pt idx="17">
                  <c:v>LLC/LP Tax</c:v>
                </c:pt>
                <c:pt idx="18">
                  <c:v>Advertising</c:v>
                </c:pt>
                <c:pt idx="19">
                  <c:v>Tax Return Preparation/accounting</c:v>
                </c:pt>
                <c:pt idx="20">
                  <c:v>Licenses and Permits</c:v>
                </c:pt>
                <c:pt idx="21">
                  <c:v>Banking and Merchant fees (est)</c:v>
                </c:pt>
                <c:pt idx="22">
                  <c:v>Office Supplies, Postage, Pager, Printing, dues, subscr, Misc.</c:v>
                </c:pt>
                <c:pt idx="23">
                  <c:v>Professional Mgmt ($2,000/mo or 5.0%)</c:v>
                </c:pt>
              </c:strCache>
            </c:strRef>
          </c:cat>
          <c:val>
            <c:numRef>
              <c:f>'IE SUMMARY'!$F$32:$F$55</c:f>
              <c:numCache>
                <c:formatCode>"$"#,##0_);[Red]\("$"#,##0\)</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numCache>
            </c:numRef>
          </c:val>
          <c:extLst>
            <c:ext xmlns:c16="http://schemas.microsoft.com/office/drawing/2014/chart" uri="{C3380CC4-5D6E-409C-BE32-E72D297353CC}">
              <c16:uniqueId val="{00000004-8C16-44D1-B4ED-52863D21BCB7}"/>
            </c:ext>
          </c:extLst>
        </c:ser>
        <c:ser>
          <c:idx val="5"/>
          <c:order val="5"/>
          <c:tx>
            <c:strRef>
              <c:f>'IE SUMMARY'!$G$31</c:f>
              <c:strCache>
                <c:ptCount val="1"/>
                <c:pt idx="0">
                  <c:v>Broker Projection</c:v>
                </c:pt>
              </c:strCache>
            </c:strRef>
          </c:tx>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a:scene3d>
              <a:camera prst="orthographicFront">
                <a:rot lat="0" lon="0" rev="0"/>
              </a:camera>
              <a:lightRig rig="threePt" dir="t">
                <a:rot lat="0" lon="0" rev="1200000"/>
              </a:lightRig>
            </a:scene3d>
            <a:sp3d>
              <a:bevelT w="63500" h="25400"/>
            </a:sp3d>
          </c:spPr>
          <c:invertIfNegative val="0"/>
          <c:cat>
            <c:strRef>
              <c:f>'IE SUMMARY'!$A$32:$A$55</c:f>
              <c:strCache>
                <c:ptCount val="24"/>
                <c:pt idx="0">
                  <c:v>Salary Exp (0.00 FTE Mgr, 0.00 FTE Maintenance)</c:v>
                </c:pt>
                <c:pt idx="1">
                  <c:v>Payroll Taxes</c:v>
                </c:pt>
                <c:pt idx="2">
                  <c:v>Workers Comp</c:v>
                </c:pt>
                <c:pt idx="3">
                  <c:v>Electric</c:v>
                </c:pt>
                <c:pt idx="4">
                  <c:v>Gas/Propane</c:v>
                </c:pt>
                <c:pt idx="5">
                  <c:v>Trash</c:v>
                </c:pt>
                <c:pt idx="6">
                  <c:v>Sewer-septic</c:v>
                </c:pt>
                <c:pt idx="7">
                  <c:v>Water </c:v>
                </c:pt>
                <c:pt idx="8">
                  <c:v>Phone/Cable/Internet</c:v>
                </c:pt>
                <c:pt idx="9">
                  <c:v>Auto expense &amp; travel</c:v>
                </c:pt>
                <c:pt idx="10">
                  <c:v>Maintenance / Capital Reserve ($250 per space / year)</c:v>
                </c:pt>
                <c:pt idx="11">
                  <c:v>Landscaping, Grounds Maintenance, Outside Services</c:v>
                </c:pt>
                <c:pt idx="12">
                  <c:v>Equipment and Supplies</c:v>
                </c:pt>
                <c:pt idx="13">
                  <c:v>Property Taxes (Add Description of Assumptions)</c:v>
                </c:pt>
                <c:pt idx="14">
                  <c:v>Insurance </c:v>
                </c:pt>
                <c:pt idx="15">
                  <c:v>Billing Software</c:v>
                </c:pt>
                <c:pt idx="16">
                  <c:v>Legal Expenses</c:v>
                </c:pt>
                <c:pt idx="17">
                  <c:v>LLC/LP Tax</c:v>
                </c:pt>
                <c:pt idx="18">
                  <c:v>Advertising</c:v>
                </c:pt>
                <c:pt idx="19">
                  <c:v>Tax Return Preparation/accounting</c:v>
                </c:pt>
                <c:pt idx="20">
                  <c:v>Licenses and Permits</c:v>
                </c:pt>
                <c:pt idx="21">
                  <c:v>Banking and Merchant fees (est)</c:v>
                </c:pt>
                <c:pt idx="22">
                  <c:v>Office Supplies, Postage, Pager, Printing, dues, subscr, Misc.</c:v>
                </c:pt>
                <c:pt idx="23">
                  <c:v>Professional Mgmt ($2,000/mo or 5.0%)</c:v>
                </c:pt>
              </c:strCache>
            </c:strRef>
          </c:cat>
          <c:val>
            <c:numRef>
              <c:f>'IE SUMMARY'!$G$32:$G$55</c:f>
              <c:numCache>
                <c:formatCode>"$"#,##0_);[Red]\("$"#,##0\)</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numCache>
            </c:numRef>
          </c:val>
          <c:extLst>
            <c:ext xmlns:c16="http://schemas.microsoft.com/office/drawing/2014/chart" uri="{C3380CC4-5D6E-409C-BE32-E72D297353CC}">
              <c16:uniqueId val="{00000005-8C16-44D1-B4ED-52863D21BCB7}"/>
            </c:ext>
          </c:extLst>
        </c:ser>
        <c:ser>
          <c:idx val="7"/>
          <c:order val="6"/>
          <c:tx>
            <c:strRef>
              <c:f>'IE SUMMARY'!$H$31</c:f>
              <c:strCache>
                <c:ptCount val="1"/>
                <c:pt idx="0">
                  <c:v>BVG Default</c:v>
                </c:pt>
              </c:strCache>
            </c:strRef>
          </c:tx>
          <c:spPr>
            <a:gradFill rotWithShape="1">
              <a:gsLst>
                <a:gs pos="0">
                  <a:schemeClr val="accent2">
                    <a:lumMod val="60000"/>
                    <a:shade val="51000"/>
                    <a:satMod val="130000"/>
                  </a:schemeClr>
                </a:gs>
                <a:gs pos="80000">
                  <a:schemeClr val="accent2">
                    <a:lumMod val="60000"/>
                    <a:shade val="93000"/>
                    <a:satMod val="130000"/>
                  </a:schemeClr>
                </a:gs>
                <a:gs pos="100000">
                  <a:schemeClr val="accent2">
                    <a:lumMod val="6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val>
            <c:numRef>
              <c:f>'IE SUMMARY'!$H$32:$H$55</c:f>
              <c:numCache>
                <c:formatCode>"$"#,##0_);[Red]\("$"#,##0\)</c:formatCode>
                <c:ptCount val="24"/>
                <c:pt idx="0">
                  <c:v>96800</c:v>
                </c:pt>
                <c:pt idx="1">
                  <c:v>1645.6000000000001</c:v>
                </c:pt>
                <c:pt idx="2">
                  <c:v>5808</c:v>
                </c:pt>
                <c:pt idx="3">
                  <c:v>0</c:v>
                </c:pt>
                <c:pt idx="4">
                  <c:v>0</c:v>
                </c:pt>
                <c:pt idx="5">
                  <c:v>0</c:v>
                </c:pt>
                <c:pt idx="6">
                  <c:v>0</c:v>
                </c:pt>
                <c:pt idx="7">
                  <c:v>0</c:v>
                </c:pt>
                <c:pt idx="8">
                  <c:v>0</c:v>
                </c:pt>
                <c:pt idx="9">
                  <c:v>0</c:v>
                </c:pt>
                <c:pt idx="10">
                  <c:v>60500</c:v>
                </c:pt>
                <c:pt idx="11">
                  <c:v>12100</c:v>
                </c:pt>
                <c:pt idx="12">
                  <c:v>12100</c:v>
                </c:pt>
                <c:pt idx="13">
                  <c:v>97900</c:v>
                </c:pt>
                <c:pt idx="14">
                  <c:v>16940</c:v>
                </c:pt>
                <c:pt idx="15">
                  <c:v>0</c:v>
                </c:pt>
                <c:pt idx="16">
                  <c:v>0</c:v>
                </c:pt>
                <c:pt idx="17">
                  <c:v>0</c:v>
                </c:pt>
                <c:pt idx="18">
                  <c:v>0</c:v>
                </c:pt>
                <c:pt idx="19">
                  <c:v>0</c:v>
                </c:pt>
                <c:pt idx="20">
                  <c:v>500</c:v>
                </c:pt>
                <c:pt idx="21">
                  <c:v>250</c:v>
                </c:pt>
                <c:pt idx="22">
                  <c:v>4840</c:v>
                </c:pt>
                <c:pt idx="23">
                  <c:v>42120</c:v>
                </c:pt>
              </c:numCache>
            </c:numRef>
          </c:val>
          <c:extLst>
            <c:ext xmlns:c16="http://schemas.microsoft.com/office/drawing/2014/chart" uri="{C3380CC4-5D6E-409C-BE32-E72D297353CC}">
              <c16:uniqueId val="{00000002-F9C9-49B9-87C3-B7C20CF1A70D}"/>
            </c:ext>
          </c:extLst>
        </c:ser>
        <c:ser>
          <c:idx val="6"/>
          <c:order val="7"/>
          <c:tx>
            <c:strRef>
              <c:f>'IE SUMMARY'!$I$31</c:f>
              <c:strCache>
                <c:ptCount val="1"/>
                <c:pt idx="0">
                  <c:v>BVG Yr 1 Projection</c:v>
                </c:pt>
              </c:strCache>
            </c:strRef>
          </c:tx>
          <c:spPr>
            <a:gradFill rotWithShape="1">
              <a:gsLst>
                <a:gs pos="0">
                  <a:schemeClr val="accent1">
                    <a:lumMod val="60000"/>
                    <a:satMod val="103000"/>
                    <a:lumMod val="102000"/>
                    <a:tint val="94000"/>
                  </a:schemeClr>
                </a:gs>
                <a:gs pos="50000">
                  <a:schemeClr val="accent1">
                    <a:lumMod val="60000"/>
                    <a:satMod val="110000"/>
                    <a:lumMod val="100000"/>
                    <a:shade val="100000"/>
                  </a:schemeClr>
                </a:gs>
                <a:gs pos="100000">
                  <a:schemeClr val="accent1">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a:scene3d>
              <a:camera prst="orthographicFront">
                <a:rot lat="0" lon="0" rev="0"/>
              </a:camera>
              <a:lightRig rig="threePt" dir="t">
                <a:rot lat="0" lon="0" rev="1200000"/>
              </a:lightRig>
            </a:scene3d>
            <a:sp3d>
              <a:bevelT w="63500" h="25400"/>
            </a:sp3d>
          </c:spPr>
          <c:invertIfNegative val="0"/>
          <c:cat>
            <c:strRef>
              <c:f>'IE SUMMARY'!$A$32:$A$55</c:f>
              <c:strCache>
                <c:ptCount val="24"/>
                <c:pt idx="0">
                  <c:v>Salary Exp (0.00 FTE Mgr, 0.00 FTE Maintenance)</c:v>
                </c:pt>
                <c:pt idx="1">
                  <c:v>Payroll Taxes</c:v>
                </c:pt>
                <c:pt idx="2">
                  <c:v>Workers Comp</c:v>
                </c:pt>
                <c:pt idx="3">
                  <c:v>Electric</c:v>
                </c:pt>
                <c:pt idx="4">
                  <c:v>Gas/Propane</c:v>
                </c:pt>
                <c:pt idx="5">
                  <c:v>Trash</c:v>
                </c:pt>
                <c:pt idx="6">
                  <c:v>Sewer-septic</c:v>
                </c:pt>
                <c:pt idx="7">
                  <c:v>Water </c:v>
                </c:pt>
                <c:pt idx="8">
                  <c:v>Phone/Cable/Internet</c:v>
                </c:pt>
                <c:pt idx="9">
                  <c:v>Auto expense &amp; travel</c:v>
                </c:pt>
                <c:pt idx="10">
                  <c:v>Maintenance / Capital Reserve ($250 per space / year)</c:v>
                </c:pt>
                <c:pt idx="11">
                  <c:v>Landscaping, Grounds Maintenance, Outside Services</c:v>
                </c:pt>
                <c:pt idx="12">
                  <c:v>Equipment and Supplies</c:v>
                </c:pt>
                <c:pt idx="13">
                  <c:v>Property Taxes (Add Description of Assumptions)</c:v>
                </c:pt>
                <c:pt idx="14">
                  <c:v>Insurance </c:v>
                </c:pt>
                <c:pt idx="15">
                  <c:v>Billing Software</c:v>
                </c:pt>
                <c:pt idx="16">
                  <c:v>Legal Expenses</c:v>
                </c:pt>
                <c:pt idx="17">
                  <c:v>LLC/LP Tax</c:v>
                </c:pt>
                <c:pt idx="18">
                  <c:v>Advertising</c:v>
                </c:pt>
                <c:pt idx="19">
                  <c:v>Tax Return Preparation/accounting</c:v>
                </c:pt>
                <c:pt idx="20">
                  <c:v>Licenses and Permits</c:v>
                </c:pt>
                <c:pt idx="21">
                  <c:v>Banking and Merchant fees (est)</c:v>
                </c:pt>
                <c:pt idx="22">
                  <c:v>Office Supplies, Postage, Pager, Printing, dues, subscr, Misc.</c:v>
                </c:pt>
                <c:pt idx="23">
                  <c:v>Professional Mgmt ($2,000/mo or 5.0%)</c:v>
                </c:pt>
              </c:strCache>
            </c:strRef>
          </c:cat>
          <c:val>
            <c:numRef>
              <c:f>'IE SUMMARY'!$I$32:$I$55</c:f>
              <c:numCache>
                <c:formatCode>"$"#,##0_);[Red]\("$"#,##0\)</c:formatCode>
                <c:ptCount val="24"/>
                <c:pt idx="0">
                  <c:v>187049</c:v>
                </c:pt>
                <c:pt idx="1">
                  <c:v>31798.33</c:v>
                </c:pt>
                <c:pt idx="2">
                  <c:v>11222.939999999999</c:v>
                </c:pt>
                <c:pt idx="3">
                  <c:v>1794.1800000000003</c:v>
                </c:pt>
                <c:pt idx="4">
                  <c:v>0</c:v>
                </c:pt>
                <c:pt idx="5">
                  <c:v>64523.16</c:v>
                </c:pt>
                <c:pt idx="6">
                  <c:v>0</c:v>
                </c:pt>
                <c:pt idx="7">
                  <c:v>6536.16</c:v>
                </c:pt>
                <c:pt idx="8">
                  <c:v>4000</c:v>
                </c:pt>
                <c:pt idx="9">
                  <c:v>12500</c:v>
                </c:pt>
                <c:pt idx="10">
                  <c:v>60500</c:v>
                </c:pt>
                <c:pt idx="11">
                  <c:v>15655.98</c:v>
                </c:pt>
                <c:pt idx="12">
                  <c:v>37716.54</c:v>
                </c:pt>
                <c:pt idx="13">
                  <c:v>82500</c:v>
                </c:pt>
                <c:pt idx="14">
                  <c:v>28392</c:v>
                </c:pt>
                <c:pt idx="15">
                  <c:v>1095</c:v>
                </c:pt>
                <c:pt idx="16">
                  <c:v>2500</c:v>
                </c:pt>
                <c:pt idx="17">
                  <c:v>1700</c:v>
                </c:pt>
                <c:pt idx="18">
                  <c:v>0</c:v>
                </c:pt>
                <c:pt idx="19">
                  <c:v>2450</c:v>
                </c:pt>
                <c:pt idx="20">
                  <c:v>0</c:v>
                </c:pt>
                <c:pt idx="21">
                  <c:v>3504</c:v>
                </c:pt>
                <c:pt idx="22">
                  <c:v>2500</c:v>
                </c:pt>
                <c:pt idx="23">
                  <c:v>42120</c:v>
                </c:pt>
              </c:numCache>
            </c:numRef>
          </c:val>
          <c:extLst>
            <c:ext xmlns:c16="http://schemas.microsoft.com/office/drawing/2014/chart" uri="{C3380CC4-5D6E-409C-BE32-E72D297353CC}">
              <c16:uniqueId val="{00000006-8C16-44D1-B4ED-52863D21BCB7}"/>
            </c:ext>
          </c:extLst>
        </c:ser>
        <c:dLbls>
          <c:showLegendKey val="0"/>
          <c:showVal val="0"/>
          <c:showCatName val="0"/>
          <c:showSerName val="0"/>
          <c:showPercent val="0"/>
          <c:showBubbleSize val="0"/>
        </c:dLbls>
        <c:gapWidth val="100"/>
        <c:overlap val="-24"/>
        <c:axId val="750202264"/>
        <c:axId val="750202592"/>
      </c:barChart>
      <c:catAx>
        <c:axId val="750202264"/>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750202592"/>
        <c:crosses val="autoZero"/>
        <c:auto val="1"/>
        <c:lblAlgn val="ctr"/>
        <c:lblOffset val="100"/>
        <c:noMultiLvlLbl val="0"/>
      </c:catAx>
      <c:valAx>
        <c:axId val="750202592"/>
        <c:scaling>
          <c:orientation val="minMax"/>
        </c:scaling>
        <c:delete val="0"/>
        <c:axPos val="l"/>
        <c:majorGridlines>
          <c:spPr>
            <a:ln w="9525" cap="flat" cmpd="sng" algn="ctr">
              <a:solidFill>
                <a:schemeClr val="lt1">
                  <a:lumMod val="95000"/>
                  <a:alpha val="10000"/>
                </a:schemeClr>
              </a:solidFill>
              <a:round/>
            </a:ln>
            <a:effectLst/>
          </c:spPr>
        </c:majorGridlines>
        <c:numFmt formatCode="&quot;$&quot;#,##0_);[Red]\(&quot;$&quot;#,##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750202264"/>
        <c:crosses val="autoZero"/>
        <c:crossBetween val="between"/>
      </c:valAx>
      <c:spPr>
        <a:noFill/>
        <a:ln>
          <a:noFill/>
        </a:ln>
        <a:effectLst/>
      </c:spPr>
    </c:plotArea>
    <c:legend>
      <c:legendPos val="b"/>
      <c:layout>
        <c:manualLayout>
          <c:xMode val="edge"/>
          <c:yMode val="edge"/>
          <c:x val="0.35259784107105308"/>
          <c:y val="0.93092637229207786"/>
          <c:w val="0.24504081092237356"/>
          <c:h val="3.249119967471506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heets/_rels/sheet1.xml.rels><?xml version="1.0" encoding="UTF-8" standalone="yes"?>
<Relationships xmlns="http://schemas.openxmlformats.org/package/2006/relationships"><Relationship Id="rId1" Type="http://schemas.openxmlformats.org/officeDocument/2006/relationships/drawing" Target="../drawings/drawing4.xml"/></Relationships>
</file>

<file path=xl/chartsheets/sheet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AA7A6008-31BD-40D9-8117-02E0CA5173B3}">
  <sheetPr codeName="Chart12">
    <tabColor rgb="FF7030A0"/>
  </sheetPr>
  <sheetViews>
    <sheetView zoomScale="107" workbookViewId="0" zoomToFit="1"/>
  </sheetViews>
  <pageMargins left="0.7" right="0.7" top="0.75" bottom="0.75" header="0.3" footer="0.3"/>
  <drawing r:id="rId1"/>
</chartsheet>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9.jpeg"/><Relationship Id="rId13" Type="http://schemas.openxmlformats.org/officeDocument/2006/relationships/image" Target="../media/image14.jpeg"/><Relationship Id="rId3" Type="http://schemas.openxmlformats.org/officeDocument/2006/relationships/image" Target="../media/image4.jpeg"/><Relationship Id="rId7" Type="http://schemas.openxmlformats.org/officeDocument/2006/relationships/image" Target="../media/image8.jpeg"/><Relationship Id="rId12" Type="http://schemas.openxmlformats.org/officeDocument/2006/relationships/image" Target="../media/image13.jpeg"/><Relationship Id="rId2" Type="http://schemas.openxmlformats.org/officeDocument/2006/relationships/image" Target="../media/image3.jpeg"/><Relationship Id="rId16" Type="http://schemas.openxmlformats.org/officeDocument/2006/relationships/image" Target="../media/image17.jpeg"/><Relationship Id="rId1" Type="http://schemas.openxmlformats.org/officeDocument/2006/relationships/image" Target="../media/image2.jpeg"/><Relationship Id="rId6" Type="http://schemas.openxmlformats.org/officeDocument/2006/relationships/image" Target="../media/image7.jpeg"/><Relationship Id="rId11" Type="http://schemas.openxmlformats.org/officeDocument/2006/relationships/image" Target="../media/image12.jpeg"/><Relationship Id="rId5" Type="http://schemas.openxmlformats.org/officeDocument/2006/relationships/image" Target="../media/image6.jpeg"/><Relationship Id="rId15" Type="http://schemas.openxmlformats.org/officeDocument/2006/relationships/image" Target="../media/image16.jpeg"/><Relationship Id="rId10" Type="http://schemas.openxmlformats.org/officeDocument/2006/relationships/image" Target="../media/image11.jpeg"/><Relationship Id="rId4" Type="http://schemas.openxmlformats.org/officeDocument/2006/relationships/image" Target="../media/image5.jpeg"/><Relationship Id="rId9" Type="http://schemas.openxmlformats.org/officeDocument/2006/relationships/image" Target="../media/image10.jpeg"/><Relationship Id="rId14" Type="http://schemas.openxmlformats.org/officeDocument/2006/relationships/image" Target="../media/image15.jpeg"/></Relationships>
</file>

<file path=xl/drawings/_rels/drawing3.xml.rels><?xml version="1.0" encoding="UTF-8" standalone="yes"?>
<Relationships xmlns="http://schemas.openxmlformats.org/package/2006/relationships"><Relationship Id="rId2" Type="http://schemas.openxmlformats.org/officeDocument/2006/relationships/image" Target="../media/image19.png"/><Relationship Id="rId1" Type="http://schemas.openxmlformats.org/officeDocument/2006/relationships/image" Target="../media/image18.png"/></Relationships>
</file>

<file path=xl/drawings/_rels/drawing4.xml.rels><?xml version="1.0" encoding="UTF-8" standalone="yes"?>
<Relationships xmlns="http://schemas.openxmlformats.org/package/2006/relationships"><Relationship Id="rId1" Type="http://schemas.openxmlformats.org/officeDocument/2006/relationships/chart" Target="../charts/chart1.xml"/></Relationships>
</file>

<file path=xl/drawings/_rels/drawing5.xml.rels><?xml version="1.0" encoding="UTF-8" standalone="yes"?>
<Relationships xmlns="http://schemas.openxmlformats.org/package/2006/relationships"><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1</xdr:col>
      <xdr:colOff>1905</xdr:colOff>
      <xdr:row>29</xdr:row>
      <xdr:rowOff>7620</xdr:rowOff>
    </xdr:from>
    <xdr:to>
      <xdr:col>8</xdr:col>
      <xdr:colOff>640080</xdr:colOff>
      <xdr:row>29</xdr:row>
      <xdr:rowOff>1047750</xdr:rowOff>
    </xdr:to>
    <xdr:sp macro="" textlink="">
      <xdr:nvSpPr>
        <xdr:cNvPr id="3" name="TextBox 2">
          <a:extLst>
            <a:ext uri="{FF2B5EF4-FFF2-40B4-BE49-F238E27FC236}">
              <a16:creationId xmlns:a16="http://schemas.microsoft.com/office/drawing/2014/main" id="{3E9FA150-E4BB-4EDD-A800-81217D8D36B4}"/>
            </a:ext>
          </a:extLst>
        </xdr:cNvPr>
        <xdr:cNvSpPr txBox="1"/>
      </xdr:nvSpPr>
      <xdr:spPr>
        <a:xfrm>
          <a:off x="259080" y="7227570"/>
          <a:ext cx="6572250" cy="104013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a:p>
          <a:r>
            <a:rPr lang="en-US" sz="1100"/>
            <a:t>The main changes in value will come from filling</a:t>
          </a:r>
          <a:r>
            <a:rPr lang="en-US" sz="1100" baseline="0"/>
            <a:t> t</a:t>
          </a:r>
          <a:r>
            <a:rPr lang="en-US" sz="1100"/>
            <a:t>he 111</a:t>
          </a:r>
          <a:r>
            <a:rPr lang="en-US" sz="1100" baseline="0"/>
            <a:t> vacant park owned homes.  Filling the vacant homes will bring occupancy to over 95% and will increase our NOI by $758K by year 4 of ownership.  We are targeting an IRR for investors of 19.4% on this property.</a:t>
          </a:r>
          <a:endParaRPr lang="en-US" sz="1100"/>
        </a:p>
      </xdr:txBody>
    </xdr:sp>
    <xdr:clientData/>
  </xdr:twoCellAnchor>
  <xdr:twoCellAnchor>
    <xdr:from>
      <xdr:col>1</xdr:col>
      <xdr:colOff>0</xdr:colOff>
      <xdr:row>18</xdr:row>
      <xdr:rowOff>15240</xdr:rowOff>
    </xdr:from>
    <xdr:to>
      <xdr:col>8</xdr:col>
      <xdr:colOff>645795</xdr:colOff>
      <xdr:row>18</xdr:row>
      <xdr:rowOff>2181225</xdr:rowOff>
    </xdr:to>
    <xdr:sp macro="" textlink="">
      <xdr:nvSpPr>
        <xdr:cNvPr id="4" name="TextBox 3">
          <a:extLst>
            <a:ext uri="{FF2B5EF4-FFF2-40B4-BE49-F238E27FC236}">
              <a16:creationId xmlns:a16="http://schemas.microsoft.com/office/drawing/2014/main" id="{03B3B327-1FA2-402C-A4BF-B83C3F95014B}"/>
            </a:ext>
          </a:extLst>
        </xdr:cNvPr>
        <xdr:cNvSpPr txBox="1"/>
      </xdr:nvSpPr>
      <xdr:spPr>
        <a:xfrm>
          <a:off x="257175" y="3491865"/>
          <a:ext cx="6579870" cy="216598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t>Waynesville Estates presents a rare opportunity to acquire a large-scale mobile home community at a significant discount due to purchasing</a:t>
          </a:r>
          <a:r>
            <a:rPr lang="en-US" baseline="0"/>
            <a:t> the park out of receivership at an auction</a:t>
          </a:r>
          <a:r>
            <a:rPr lang="en-US"/>
            <a:t>. The park includes 242 sites with paved roads, direct-billed electric and water, and septic sewer—minimizing utility overhead. With 211 park-owned homes—many of which are newer models—and a current lot rent of $585/month that remains below market, the groundwork is laid for a high-yielding value-add strategy. </a:t>
          </a:r>
        </a:p>
        <a:p>
          <a:br>
            <a:rPr lang="en-US"/>
          </a:br>
          <a:r>
            <a:rPr lang="en-US"/>
            <a:t>The location within the Fayetteville MSA and near Interstate 95 offers strong accessibility for residents and workforce demand for affordable housing. Prior court-appointed management began the stabilization process, and BoaVida is well-positioned to complete the turnaround using its in-house home sales and property management teams. With minimal deferred infrastructure needs, Waynesville is expected to generate strong cash flows and long-term appreciation as occupancy, collections, and rental rates increase over the next 24–36 months.</a:t>
          </a:r>
        </a:p>
        <a:p>
          <a:endParaRPr lang="en-US" sz="1100"/>
        </a:p>
        <a:p>
          <a:endParaRPr lang="en-US" sz="1100"/>
        </a:p>
      </xdr:txBody>
    </xdr:sp>
    <xdr:clientData/>
  </xdr:twoCellAnchor>
  <xdr:twoCellAnchor editAs="oneCell">
    <xdr:from>
      <xdr:col>0</xdr:col>
      <xdr:colOff>0</xdr:colOff>
      <xdr:row>0</xdr:row>
      <xdr:rowOff>0</xdr:rowOff>
    </xdr:from>
    <xdr:to>
      <xdr:col>2</xdr:col>
      <xdr:colOff>324390</xdr:colOff>
      <xdr:row>4</xdr:row>
      <xdr:rowOff>126364</xdr:rowOff>
    </xdr:to>
    <xdr:pic>
      <xdr:nvPicPr>
        <xdr:cNvPr id="6" name="Picture 5">
          <a:extLst>
            <a:ext uri="{FF2B5EF4-FFF2-40B4-BE49-F238E27FC236}">
              <a16:creationId xmlns:a16="http://schemas.microsoft.com/office/drawing/2014/main" id="{CA5F806C-B140-4437-969E-262A5C5F6A91}"/>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0" y="0"/>
          <a:ext cx="1665510" cy="800099"/>
        </a:xfrm>
        <a:prstGeom prst="rect">
          <a:avLst/>
        </a:prstGeom>
      </xdr:spPr>
    </xdr:pic>
    <xdr:clientData/>
  </xdr:twoCellAnchor>
  <xdr:twoCellAnchor>
    <xdr:from>
      <xdr:col>0</xdr:col>
      <xdr:colOff>247650</xdr:colOff>
      <xdr:row>20</xdr:row>
      <xdr:rowOff>74296</xdr:rowOff>
    </xdr:from>
    <xdr:to>
      <xdr:col>9</xdr:col>
      <xdr:colOff>0</xdr:colOff>
      <xdr:row>20</xdr:row>
      <xdr:rowOff>809626</xdr:rowOff>
    </xdr:to>
    <xdr:sp macro="" textlink="">
      <xdr:nvSpPr>
        <xdr:cNvPr id="5" name="TextBox 4">
          <a:extLst>
            <a:ext uri="{FF2B5EF4-FFF2-40B4-BE49-F238E27FC236}">
              <a16:creationId xmlns:a16="http://schemas.microsoft.com/office/drawing/2014/main" id="{2C23BDF4-D59C-4AC2-903F-B4F24B5C315D}"/>
            </a:ext>
          </a:extLst>
        </xdr:cNvPr>
        <xdr:cNvSpPr txBox="1"/>
      </xdr:nvSpPr>
      <xdr:spPr>
        <a:xfrm>
          <a:off x="247650" y="5522596"/>
          <a:ext cx="6505575" cy="73533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Additonal cash will be used to upgrade the park</a:t>
          </a:r>
          <a:r>
            <a:rPr lang="en-US" sz="1100" baseline="0"/>
            <a:t> signage and marketing strategy to fill vacant park owned homes.  The remainder of the cash will be used to rehab park owned homes and fill the remaining pads in the park with new park owned homes</a:t>
          </a:r>
          <a:endParaRPr lang="en-US" sz="1100"/>
        </a:p>
        <a:p>
          <a:endParaRPr 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2</xdr:row>
      <xdr:rowOff>0</xdr:rowOff>
    </xdr:from>
    <xdr:to>
      <xdr:col>6</xdr:col>
      <xdr:colOff>72000</xdr:colOff>
      <xdr:row>18</xdr:row>
      <xdr:rowOff>120675</xdr:rowOff>
    </xdr:to>
    <xdr:pic>
      <xdr:nvPicPr>
        <xdr:cNvPr id="3" name="Picture 2">
          <a:extLst>
            <a:ext uri="{FF2B5EF4-FFF2-40B4-BE49-F238E27FC236}">
              <a16:creationId xmlns:a16="http://schemas.microsoft.com/office/drawing/2014/main" id="{168C26F2-B8BB-CC96-343C-8442A921512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447675"/>
          <a:ext cx="3615300" cy="2711475"/>
        </a:xfrm>
        <a:prstGeom prst="rect">
          <a:avLst/>
        </a:prstGeom>
      </xdr:spPr>
    </xdr:pic>
    <xdr:clientData/>
  </xdr:twoCellAnchor>
  <xdr:twoCellAnchor editAs="oneCell">
    <xdr:from>
      <xdr:col>6</xdr:col>
      <xdr:colOff>159525</xdr:colOff>
      <xdr:row>2</xdr:row>
      <xdr:rowOff>7125</xdr:rowOff>
    </xdr:from>
    <xdr:to>
      <xdr:col>12</xdr:col>
      <xdr:colOff>231525</xdr:colOff>
      <xdr:row>18</xdr:row>
      <xdr:rowOff>127800</xdr:rowOff>
    </xdr:to>
    <xdr:pic>
      <xdr:nvPicPr>
        <xdr:cNvPr id="5" name="Picture 4">
          <a:extLst>
            <a:ext uri="{FF2B5EF4-FFF2-40B4-BE49-F238E27FC236}">
              <a16:creationId xmlns:a16="http://schemas.microsoft.com/office/drawing/2014/main" id="{1BF201E4-887F-E5A1-FED6-70BA19A6289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702825" y="454800"/>
          <a:ext cx="3615300" cy="2711475"/>
        </a:xfrm>
        <a:prstGeom prst="rect">
          <a:avLst/>
        </a:prstGeom>
      </xdr:spPr>
    </xdr:pic>
    <xdr:clientData/>
  </xdr:twoCellAnchor>
  <xdr:twoCellAnchor editAs="oneCell">
    <xdr:from>
      <xdr:col>18</xdr:col>
      <xdr:colOff>466650</xdr:colOff>
      <xdr:row>1</xdr:row>
      <xdr:rowOff>152325</xdr:rowOff>
    </xdr:from>
    <xdr:to>
      <xdr:col>24</xdr:col>
      <xdr:colOff>538650</xdr:colOff>
      <xdr:row>18</xdr:row>
      <xdr:rowOff>111075</xdr:rowOff>
    </xdr:to>
    <xdr:pic>
      <xdr:nvPicPr>
        <xdr:cNvPr id="11" name="Picture 10">
          <a:extLst>
            <a:ext uri="{FF2B5EF4-FFF2-40B4-BE49-F238E27FC236}">
              <a16:creationId xmlns:a16="http://schemas.microsoft.com/office/drawing/2014/main" id="{034739F1-299E-66BB-1A2B-E3A01DD0BBA2}"/>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1096550" y="438075"/>
          <a:ext cx="3615300" cy="2711475"/>
        </a:xfrm>
        <a:prstGeom prst="rect">
          <a:avLst/>
        </a:prstGeom>
      </xdr:spPr>
    </xdr:pic>
    <xdr:clientData/>
  </xdr:twoCellAnchor>
  <xdr:twoCellAnchor editAs="oneCell">
    <xdr:from>
      <xdr:col>0</xdr:col>
      <xdr:colOff>16575</xdr:colOff>
      <xdr:row>19</xdr:row>
      <xdr:rowOff>26100</xdr:rowOff>
    </xdr:from>
    <xdr:to>
      <xdr:col>6</xdr:col>
      <xdr:colOff>88575</xdr:colOff>
      <xdr:row>35</xdr:row>
      <xdr:rowOff>146775</xdr:rowOff>
    </xdr:to>
    <xdr:pic>
      <xdr:nvPicPr>
        <xdr:cNvPr id="13" name="Picture 12">
          <a:extLst>
            <a:ext uri="{FF2B5EF4-FFF2-40B4-BE49-F238E27FC236}">
              <a16:creationId xmlns:a16="http://schemas.microsoft.com/office/drawing/2014/main" id="{33315EAC-1F99-992B-1EBF-5F6834C61D38}"/>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6575" y="3226500"/>
          <a:ext cx="3615300" cy="2711475"/>
        </a:xfrm>
        <a:prstGeom prst="rect">
          <a:avLst/>
        </a:prstGeom>
      </xdr:spPr>
    </xdr:pic>
    <xdr:clientData/>
  </xdr:twoCellAnchor>
  <xdr:twoCellAnchor editAs="oneCell">
    <xdr:from>
      <xdr:col>6</xdr:col>
      <xdr:colOff>168900</xdr:colOff>
      <xdr:row>19</xdr:row>
      <xdr:rowOff>35550</xdr:rowOff>
    </xdr:from>
    <xdr:to>
      <xdr:col>12</xdr:col>
      <xdr:colOff>240900</xdr:colOff>
      <xdr:row>35</xdr:row>
      <xdr:rowOff>156225</xdr:rowOff>
    </xdr:to>
    <xdr:pic>
      <xdr:nvPicPr>
        <xdr:cNvPr id="21" name="Picture 20">
          <a:extLst>
            <a:ext uri="{FF2B5EF4-FFF2-40B4-BE49-F238E27FC236}">
              <a16:creationId xmlns:a16="http://schemas.microsoft.com/office/drawing/2014/main" id="{F405038E-F11C-6018-1D14-C1A953C43671}"/>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712200" y="3235950"/>
          <a:ext cx="3615300" cy="2711475"/>
        </a:xfrm>
        <a:prstGeom prst="rect">
          <a:avLst/>
        </a:prstGeom>
      </xdr:spPr>
    </xdr:pic>
    <xdr:clientData/>
  </xdr:twoCellAnchor>
  <xdr:twoCellAnchor editAs="oneCell">
    <xdr:from>
      <xdr:col>18</xdr:col>
      <xdr:colOff>449775</xdr:colOff>
      <xdr:row>53</xdr:row>
      <xdr:rowOff>97350</xdr:rowOff>
    </xdr:from>
    <xdr:to>
      <xdr:col>24</xdr:col>
      <xdr:colOff>521775</xdr:colOff>
      <xdr:row>70</xdr:row>
      <xdr:rowOff>56100</xdr:rowOff>
    </xdr:to>
    <xdr:pic>
      <xdr:nvPicPr>
        <xdr:cNvPr id="33" name="Picture 32">
          <a:extLst>
            <a:ext uri="{FF2B5EF4-FFF2-40B4-BE49-F238E27FC236}">
              <a16:creationId xmlns:a16="http://schemas.microsoft.com/office/drawing/2014/main" id="{4E5E3913-F4A5-1E53-D026-F5241F293553}"/>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1079675" y="8803200"/>
          <a:ext cx="3615300" cy="2711475"/>
        </a:xfrm>
        <a:prstGeom prst="rect">
          <a:avLst/>
        </a:prstGeom>
      </xdr:spPr>
    </xdr:pic>
    <xdr:clientData/>
  </xdr:twoCellAnchor>
  <xdr:twoCellAnchor editAs="oneCell">
    <xdr:from>
      <xdr:col>12</xdr:col>
      <xdr:colOff>314025</xdr:colOff>
      <xdr:row>1</xdr:row>
      <xdr:rowOff>161625</xdr:rowOff>
    </xdr:from>
    <xdr:to>
      <xdr:col>18</xdr:col>
      <xdr:colOff>386025</xdr:colOff>
      <xdr:row>18</xdr:row>
      <xdr:rowOff>120375</xdr:rowOff>
    </xdr:to>
    <xdr:pic>
      <xdr:nvPicPr>
        <xdr:cNvPr id="35" name="Picture 34">
          <a:extLst>
            <a:ext uri="{FF2B5EF4-FFF2-40B4-BE49-F238E27FC236}">
              <a16:creationId xmlns:a16="http://schemas.microsoft.com/office/drawing/2014/main" id="{32E758D4-FA3A-36BB-4924-AB2A1BBE33FF}"/>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7400625" y="447375"/>
          <a:ext cx="3615300" cy="2711475"/>
        </a:xfrm>
        <a:prstGeom prst="rect">
          <a:avLst/>
        </a:prstGeom>
      </xdr:spPr>
    </xdr:pic>
    <xdr:clientData/>
  </xdr:twoCellAnchor>
  <xdr:twoCellAnchor editAs="oneCell">
    <xdr:from>
      <xdr:col>12</xdr:col>
      <xdr:colOff>321150</xdr:colOff>
      <xdr:row>53</xdr:row>
      <xdr:rowOff>140175</xdr:rowOff>
    </xdr:from>
    <xdr:to>
      <xdr:col>18</xdr:col>
      <xdr:colOff>393150</xdr:colOff>
      <xdr:row>70</xdr:row>
      <xdr:rowOff>98925</xdr:rowOff>
    </xdr:to>
    <xdr:pic>
      <xdr:nvPicPr>
        <xdr:cNvPr id="37" name="Picture 36">
          <a:extLst>
            <a:ext uri="{FF2B5EF4-FFF2-40B4-BE49-F238E27FC236}">
              <a16:creationId xmlns:a16="http://schemas.microsoft.com/office/drawing/2014/main" id="{D9229EBB-05A4-6718-3847-3F2A4BA19D52}"/>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7407750" y="8846025"/>
          <a:ext cx="3615300" cy="2711475"/>
        </a:xfrm>
        <a:prstGeom prst="rect">
          <a:avLst/>
        </a:prstGeom>
      </xdr:spPr>
    </xdr:pic>
    <xdr:clientData/>
  </xdr:twoCellAnchor>
  <xdr:twoCellAnchor editAs="oneCell">
    <xdr:from>
      <xdr:col>18</xdr:col>
      <xdr:colOff>468750</xdr:colOff>
      <xdr:row>19</xdr:row>
      <xdr:rowOff>11550</xdr:rowOff>
    </xdr:from>
    <xdr:to>
      <xdr:col>24</xdr:col>
      <xdr:colOff>540750</xdr:colOff>
      <xdr:row>35</xdr:row>
      <xdr:rowOff>132225</xdr:rowOff>
    </xdr:to>
    <xdr:pic>
      <xdr:nvPicPr>
        <xdr:cNvPr id="41" name="Picture 40">
          <a:extLst>
            <a:ext uri="{FF2B5EF4-FFF2-40B4-BE49-F238E27FC236}">
              <a16:creationId xmlns:a16="http://schemas.microsoft.com/office/drawing/2014/main" id="{5397801E-5008-AC12-7316-532CBD3826F8}"/>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1098650" y="3211950"/>
          <a:ext cx="3615300" cy="2711475"/>
        </a:xfrm>
        <a:prstGeom prst="rect">
          <a:avLst/>
        </a:prstGeom>
      </xdr:spPr>
    </xdr:pic>
    <xdr:clientData/>
  </xdr:twoCellAnchor>
  <xdr:twoCellAnchor editAs="oneCell">
    <xdr:from>
      <xdr:col>0</xdr:col>
      <xdr:colOff>0</xdr:colOff>
      <xdr:row>53</xdr:row>
      <xdr:rowOff>142500</xdr:rowOff>
    </xdr:from>
    <xdr:to>
      <xdr:col>6</xdr:col>
      <xdr:colOff>72000</xdr:colOff>
      <xdr:row>70</xdr:row>
      <xdr:rowOff>101250</xdr:rowOff>
    </xdr:to>
    <xdr:pic>
      <xdr:nvPicPr>
        <xdr:cNvPr id="43" name="Picture 42">
          <a:extLst>
            <a:ext uri="{FF2B5EF4-FFF2-40B4-BE49-F238E27FC236}">
              <a16:creationId xmlns:a16="http://schemas.microsoft.com/office/drawing/2014/main" id="{2922F681-AF6C-0813-2949-3FBE3D4872E4}"/>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0" y="8848350"/>
          <a:ext cx="3615300" cy="2711475"/>
        </a:xfrm>
        <a:prstGeom prst="rect">
          <a:avLst/>
        </a:prstGeom>
      </xdr:spPr>
    </xdr:pic>
    <xdr:clientData/>
  </xdr:twoCellAnchor>
  <xdr:twoCellAnchor editAs="oneCell">
    <xdr:from>
      <xdr:col>6</xdr:col>
      <xdr:colOff>178200</xdr:colOff>
      <xdr:row>36</xdr:row>
      <xdr:rowOff>82950</xdr:rowOff>
    </xdr:from>
    <xdr:to>
      <xdr:col>12</xdr:col>
      <xdr:colOff>250200</xdr:colOff>
      <xdr:row>53</xdr:row>
      <xdr:rowOff>41700</xdr:rowOff>
    </xdr:to>
    <xdr:pic>
      <xdr:nvPicPr>
        <xdr:cNvPr id="45" name="Picture 44">
          <a:extLst>
            <a:ext uri="{FF2B5EF4-FFF2-40B4-BE49-F238E27FC236}">
              <a16:creationId xmlns:a16="http://schemas.microsoft.com/office/drawing/2014/main" id="{138AF0F9-6685-871D-E5DE-B9CE2B6520C5}"/>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3721500" y="6036075"/>
          <a:ext cx="3615300" cy="2711475"/>
        </a:xfrm>
        <a:prstGeom prst="rect">
          <a:avLst/>
        </a:prstGeom>
      </xdr:spPr>
    </xdr:pic>
    <xdr:clientData/>
  </xdr:twoCellAnchor>
  <xdr:twoCellAnchor editAs="oneCell">
    <xdr:from>
      <xdr:col>6</xdr:col>
      <xdr:colOff>192450</xdr:colOff>
      <xdr:row>53</xdr:row>
      <xdr:rowOff>106725</xdr:rowOff>
    </xdr:from>
    <xdr:to>
      <xdr:col>12</xdr:col>
      <xdr:colOff>264450</xdr:colOff>
      <xdr:row>70</xdr:row>
      <xdr:rowOff>65475</xdr:rowOff>
    </xdr:to>
    <xdr:pic>
      <xdr:nvPicPr>
        <xdr:cNvPr id="49" name="Picture 48">
          <a:extLst>
            <a:ext uri="{FF2B5EF4-FFF2-40B4-BE49-F238E27FC236}">
              <a16:creationId xmlns:a16="http://schemas.microsoft.com/office/drawing/2014/main" id="{B588FDF5-B8EA-5A5B-14F4-006175C40C73}"/>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3735750" y="8812575"/>
          <a:ext cx="3615300" cy="2711475"/>
        </a:xfrm>
        <a:prstGeom prst="rect">
          <a:avLst/>
        </a:prstGeom>
      </xdr:spPr>
    </xdr:pic>
    <xdr:clientData/>
  </xdr:twoCellAnchor>
  <xdr:twoCellAnchor editAs="oneCell">
    <xdr:from>
      <xdr:col>12</xdr:col>
      <xdr:colOff>313875</xdr:colOff>
      <xdr:row>36</xdr:row>
      <xdr:rowOff>75750</xdr:rowOff>
    </xdr:from>
    <xdr:to>
      <xdr:col>18</xdr:col>
      <xdr:colOff>385875</xdr:colOff>
      <xdr:row>53</xdr:row>
      <xdr:rowOff>34500</xdr:rowOff>
    </xdr:to>
    <xdr:pic>
      <xdr:nvPicPr>
        <xdr:cNvPr id="51" name="Picture 50">
          <a:extLst>
            <a:ext uri="{FF2B5EF4-FFF2-40B4-BE49-F238E27FC236}">
              <a16:creationId xmlns:a16="http://schemas.microsoft.com/office/drawing/2014/main" id="{FBD88F59-B577-9F6E-40C5-E743ABFA41F9}"/>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7400475" y="6028875"/>
          <a:ext cx="3615300" cy="2711475"/>
        </a:xfrm>
        <a:prstGeom prst="rect">
          <a:avLst/>
        </a:prstGeom>
      </xdr:spPr>
    </xdr:pic>
    <xdr:clientData/>
  </xdr:twoCellAnchor>
  <xdr:twoCellAnchor editAs="oneCell">
    <xdr:from>
      <xdr:col>12</xdr:col>
      <xdr:colOff>321000</xdr:colOff>
      <xdr:row>19</xdr:row>
      <xdr:rowOff>16200</xdr:rowOff>
    </xdr:from>
    <xdr:to>
      <xdr:col>18</xdr:col>
      <xdr:colOff>393000</xdr:colOff>
      <xdr:row>35</xdr:row>
      <xdr:rowOff>136875</xdr:rowOff>
    </xdr:to>
    <xdr:pic>
      <xdr:nvPicPr>
        <xdr:cNvPr id="53" name="Picture 52">
          <a:extLst>
            <a:ext uri="{FF2B5EF4-FFF2-40B4-BE49-F238E27FC236}">
              <a16:creationId xmlns:a16="http://schemas.microsoft.com/office/drawing/2014/main" id="{7F7B61D0-1093-F0CC-21C8-916A145380A1}"/>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7407600" y="3216600"/>
          <a:ext cx="3615300" cy="2711475"/>
        </a:xfrm>
        <a:prstGeom prst="rect">
          <a:avLst/>
        </a:prstGeom>
      </xdr:spPr>
    </xdr:pic>
    <xdr:clientData/>
  </xdr:twoCellAnchor>
  <xdr:twoCellAnchor editAs="oneCell">
    <xdr:from>
      <xdr:col>18</xdr:col>
      <xdr:colOff>509100</xdr:colOff>
      <xdr:row>36</xdr:row>
      <xdr:rowOff>118575</xdr:rowOff>
    </xdr:from>
    <xdr:to>
      <xdr:col>24</xdr:col>
      <xdr:colOff>581100</xdr:colOff>
      <xdr:row>53</xdr:row>
      <xdr:rowOff>77325</xdr:rowOff>
    </xdr:to>
    <xdr:pic>
      <xdr:nvPicPr>
        <xdr:cNvPr id="55" name="Picture 54">
          <a:extLst>
            <a:ext uri="{FF2B5EF4-FFF2-40B4-BE49-F238E27FC236}">
              <a16:creationId xmlns:a16="http://schemas.microsoft.com/office/drawing/2014/main" id="{1230B9FF-3AB3-900E-E1A3-9DA187A6D4FF}"/>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11139000" y="6071700"/>
          <a:ext cx="3615300" cy="2711475"/>
        </a:xfrm>
        <a:prstGeom prst="rect">
          <a:avLst/>
        </a:prstGeom>
      </xdr:spPr>
    </xdr:pic>
    <xdr:clientData/>
  </xdr:twoCellAnchor>
  <xdr:twoCellAnchor editAs="oneCell">
    <xdr:from>
      <xdr:col>0</xdr:col>
      <xdr:colOff>0</xdr:colOff>
      <xdr:row>36</xdr:row>
      <xdr:rowOff>68550</xdr:rowOff>
    </xdr:from>
    <xdr:to>
      <xdr:col>6</xdr:col>
      <xdr:colOff>72000</xdr:colOff>
      <xdr:row>53</xdr:row>
      <xdr:rowOff>27300</xdr:rowOff>
    </xdr:to>
    <xdr:pic>
      <xdr:nvPicPr>
        <xdr:cNvPr id="57" name="Picture 56">
          <a:extLst>
            <a:ext uri="{FF2B5EF4-FFF2-40B4-BE49-F238E27FC236}">
              <a16:creationId xmlns:a16="http://schemas.microsoft.com/office/drawing/2014/main" id="{86B055C6-02A8-1E2C-FD1E-4AC2F4F39BEE}"/>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0" y="6021675"/>
          <a:ext cx="3615300" cy="27114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8</xdr:row>
      <xdr:rowOff>9525</xdr:rowOff>
    </xdr:from>
    <xdr:to>
      <xdr:col>5</xdr:col>
      <xdr:colOff>590550</xdr:colOff>
      <xdr:row>17</xdr:row>
      <xdr:rowOff>62988</xdr:rowOff>
    </xdr:to>
    <xdr:pic>
      <xdr:nvPicPr>
        <xdr:cNvPr id="2" name="Picture 1">
          <a:extLst>
            <a:ext uri="{FF2B5EF4-FFF2-40B4-BE49-F238E27FC236}">
              <a16:creationId xmlns:a16="http://schemas.microsoft.com/office/drawing/2014/main" id="{A2D9F722-FE0A-48B2-8FEA-0047EB4DDBAA}"/>
            </a:ext>
          </a:extLst>
        </xdr:cNvPr>
        <xdr:cNvPicPr>
          <a:picLocks noChangeAspect="1"/>
        </xdr:cNvPicPr>
      </xdr:nvPicPr>
      <xdr:blipFill>
        <a:blip xmlns:r="http://schemas.openxmlformats.org/officeDocument/2006/relationships" r:embed="rId1"/>
        <a:stretch>
          <a:fillRect/>
        </a:stretch>
      </xdr:blipFill>
      <xdr:spPr>
        <a:xfrm>
          <a:off x="0" y="1362075"/>
          <a:ext cx="4962525" cy="1596513"/>
        </a:xfrm>
        <a:prstGeom prst="rect">
          <a:avLst/>
        </a:prstGeom>
      </xdr:spPr>
    </xdr:pic>
    <xdr:clientData/>
  </xdr:twoCellAnchor>
  <xdr:twoCellAnchor editAs="oneCell">
    <xdr:from>
      <xdr:col>6</xdr:col>
      <xdr:colOff>0</xdr:colOff>
      <xdr:row>0</xdr:row>
      <xdr:rowOff>0</xdr:rowOff>
    </xdr:from>
    <xdr:to>
      <xdr:col>10</xdr:col>
      <xdr:colOff>95250</xdr:colOff>
      <xdr:row>35</xdr:row>
      <xdr:rowOff>0</xdr:rowOff>
    </xdr:to>
    <xdr:pic>
      <xdr:nvPicPr>
        <xdr:cNvPr id="3" name="Picture 2">
          <a:extLst>
            <a:ext uri="{FF2B5EF4-FFF2-40B4-BE49-F238E27FC236}">
              <a16:creationId xmlns:a16="http://schemas.microsoft.com/office/drawing/2014/main" id="{A9DB50B8-7A63-4474-BC66-74D5609BC2BE}"/>
            </a:ext>
          </a:extLst>
        </xdr:cNvPr>
        <xdr:cNvPicPr>
          <a:picLocks noChangeAspect="1"/>
        </xdr:cNvPicPr>
      </xdr:nvPicPr>
      <xdr:blipFill>
        <a:blip xmlns:r="http://schemas.openxmlformats.org/officeDocument/2006/relationships" r:embed="rId2"/>
        <a:stretch>
          <a:fillRect/>
        </a:stretch>
      </xdr:blipFill>
      <xdr:spPr>
        <a:xfrm>
          <a:off x="5314950" y="0"/>
          <a:ext cx="2124075" cy="581025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absoluteAnchor>
    <xdr:pos x="0" y="0"/>
    <xdr:ext cx="8670421" cy="6284720"/>
    <xdr:graphicFrame macro="">
      <xdr:nvGraphicFramePr>
        <xdr:cNvPr id="2" name="Chart 1">
          <a:extLst>
            <a:ext uri="{FF2B5EF4-FFF2-40B4-BE49-F238E27FC236}">
              <a16:creationId xmlns:a16="http://schemas.microsoft.com/office/drawing/2014/main" id="{53A7B91D-A119-452C-AB3B-312D4A5F9E05}"/>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xml><?xml version="1.0" encoding="utf-8"?>
<xdr:wsDr xmlns:xdr="http://schemas.openxmlformats.org/drawingml/2006/spreadsheetDrawing" xmlns:a="http://schemas.openxmlformats.org/drawingml/2006/main">
  <xdr:twoCellAnchor>
    <xdr:from>
      <xdr:col>0</xdr:col>
      <xdr:colOff>285750</xdr:colOff>
      <xdr:row>1</xdr:row>
      <xdr:rowOff>42861</xdr:rowOff>
    </xdr:from>
    <xdr:to>
      <xdr:col>42</xdr:col>
      <xdr:colOff>361950</xdr:colOff>
      <xdr:row>35</xdr:row>
      <xdr:rowOff>161924</xdr:rowOff>
    </xdr:to>
    <xdr:graphicFrame macro="">
      <xdr:nvGraphicFramePr>
        <xdr:cNvPr id="2" name="Chart 1">
          <a:extLst>
            <a:ext uri="{FF2B5EF4-FFF2-40B4-BE49-F238E27FC236}">
              <a16:creationId xmlns:a16="http://schemas.microsoft.com/office/drawing/2014/main" id="{DC4ACCEF-F067-4A6B-886A-E084D4689A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002060"/>
  </sheetPr>
  <dimension ref="B6:I59"/>
  <sheetViews>
    <sheetView tabSelected="1" zoomScale="150" zoomScaleNormal="150" workbookViewId="0">
      <selection activeCell="B6" sqref="B6"/>
    </sheetView>
  </sheetViews>
  <sheetFormatPr baseColWidth="10" defaultColWidth="8.83203125" defaultRowHeight="13" x14ac:dyDescent="0.15"/>
  <cols>
    <col min="1" max="1" width="3.83203125" customWidth="1"/>
    <col min="2" max="2" width="15.6640625" customWidth="1"/>
    <col min="3" max="3" width="13" customWidth="1"/>
    <col min="4" max="4" width="11.33203125" customWidth="1"/>
    <col min="5" max="5" width="12.83203125" customWidth="1"/>
    <col min="6" max="6" width="11" customWidth="1"/>
    <col min="7" max="7" width="14" customWidth="1"/>
    <col min="8" max="8" width="11.1640625" customWidth="1"/>
    <col min="9" max="9" width="9.6640625" customWidth="1"/>
  </cols>
  <sheetData>
    <row r="6" spans="2:9" x14ac:dyDescent="0.15">
      <c r="B6" s="11" t="str">
        <f>Proforma!C1</f>
        <v>Waynesville Estates- 81 Milan Drive, Lumberton, NC 28358</v>
      </c>
    </row>
    <row r="8" spans="2:9" ht="33" customHeight="1" x14ac:dyDescent="0.15">
      <c r="B8" s="620" t="s">
        <v>0</v>
      </c>
      <c r="C8" s="620" t="s">
        <v>1</v>
      </c>
      <c r="D8" s="620" t="s">
        <v>2</v>
      </c>
      <c r="E8" s="620" t="s">
        <v>3</v>
      </c>
      <c r="F8" s="620" t="s">
        <v>4</v>
      </c>
      <c r="G8" s="620" t="s">
        <v>5</v>
      </c>
      <c r="H8" s="620" t="s">
        <v>6</v>
      </c>
      <c r="I8" s="620" t="s">
        <v>7</v>
      </c>
    </row>
    <row r="9" spans="2:9" ht="26" customHeight="1" x14ac:dyDescent="0.15">
      <c r="B9" s="621">
        <f>'Financial Summary'!B5</f>
        <v>8900000</v>
      </c>
      <c r="C9" s="622">
        <f>Proforma!D15</f>
        <v>242</v>
      </c>
      <c r="D9" s="621">
        <f>B9/C9</f>
        <v>36776.859504132233</v>
      </c>
      <c r="E9" s="621">
        <f>Proforma!D5</f>
        <v>1550000</v>
      </c>
      <c r="F9" s="623">
        <f>Proforma!G15</f>
        <v>0.50413223140495866</v>
      </c>
      <c r="G9" s="622">
        <f>Proforma!D17</f>
        <v>211</v>
      </c>
      <c r="H9" s="623">
        <f ca="1">Proforma!D8</f>
        <v>2.3190689952153114E-2</v>
      </c>
      <c r="I9" s="623">
        <f ca="1">Proforma!D134</f>
        <v>0.19393123908022236</v>
      </c>
    </row>
    <row r="11" spans="2:9" ht="15" x14ac:dyDescent="0.15">
      <c r="B11" s="105" t="s">
        <v>8</v>
      </c>
    </row>
    <row r="12" spans="2:9" ht="13.25" customHeight="1" x14ac:dyDescent="0.15">
      <c r="B12" s="67" t="s">
        <v>636</v>
      </c>
      <c r="C12" s="67"/>
      <c r="D12" s="67"/>
      <c r="E12" s="67"/>
      <c r="F12" s="67" t="s">
        <v>632</v>
      </c>
      <c r="G12" s="67"/>
      <c r="H12" s="67"/>
      <c r="I12" s="67"/>
    </row>
    <row r="13" spans="2:9" ht="15" x14ac:dyDescent="0.15">
      <c r="B13" s="67" t="s">
        <v>628</v>
      </c>
      <c r="C13" s="67"/>
      <c r="D13" s="67"/>
      <c r="E13" s="67"/>
      <c r="F13" s="67" t="s">
        <v>635</v>
      </c>
      <c r="G13" s="67"/>
      <c r="H13" s="67"/>
      <c r="I13" s="67"/>
    </row>
    <row r="14" spans="2:9" ht="15" x14ac:dyDescent="0.15">
      <c r="B14" s="67" t="s">
        <v>629</v>
      </c>
      <c r="C14" s="67"/>
      <c r="D14" s="67"/>
      <c r="E14" s="67"/>
      <c r="F14" s="67" t="s">
        <v>633</v>
      </c>
      <c r="G14" s="67"/>
      <c r="H14" s="67"/>
      <c r="I14" s="67"/>
    </row>
    <row r="15" spans="2:9" ht="15" x14ac:dyDescent="0.15">
      <c r="B15" s="67" t="s">
        <v>630</v>
      </c>
      <c r="C15" s="67"/>
      <c r="D15" s="67"/>
      <c r="E15" s="67"/>
      <c r="F15" s="67" t="s">
        <v>634</v>
      </c>
      <c r="H15" s="67"/>
      <c r="I15" s="67"/>
    </row>
    <row r="16" spans="2:9" ht="13.25" customHeight="1" x14ac:dyDescent="0.15">
      <c r="B16" s="67" t="s">
        <v>631</v>
      </c>
    </row>
    <row r="18" spans="2:9" ht="15" x14ac:dyDescent="0.15">
      <c r="B18" s="105" t="s">
        <v>9</v>
      </c>
    </row>
    <row r="19" spans="2:9" ht="189" customHeight="1" x14ac:dyDescent="0.15">
      <c r="B19" s="755"/>
      <c r="C19" s="755"/>
      <c r="D19" s="755"/>
      <c r="E19" s="755"/>
      <c r="F19" s="755"/>
      <c r="G19" s="755"/>
      <c r="H19" s="755"/>
      <c r="I19" s="755"/>
    </row>
    <row r="20" spans="2:9" ht="15" x14ac:dyDescent="0.15">
      <c r="B20" s="105" t="s">
        <v>10</v>
      </c>
      <c r="C20" s="512"/>
      <c r="D20" s="512"/>
      <c r="E20" s="512"/>
      <c r="F20" s="512"/>
      <c r="G20" s="512"/>
      <c r="H20" s="512"/>
      <c r="I20" s="512"/>
    </row>
    <row r="21" spans="2:9" ht="70.5" customHeight="1" x14ac:dyDescent="0.15">
      <c r="B21" s="4"/>
      <c r="C21" s="512"/>
      <c r="D21" s="512"/>
      <c r="E21" s="512"/>
      <c r="F21" s="512"/>
      <c r="G21" s="512"/>
      <c r="H21" s="512"/>
      <c r="I21" s="512"/>
    </row>
    <row r="22" spans="2:9" ht="15" hidden="1" x14ac:dyDescent="0.15">
      <c r="B22" s="5"/>
      <c r="C22" s="512"/>
      <c r="D22" s="512"/>
      <c r="E22" s="512"/>
      <c r="F22" s="512"/>
      <c r="G22" s="512"/>
      <c r="H22" s="512"/>
      <c r="I22" s="512"/>
    </row>
    <row r="23" spans="2:9" ht="15" hidden="1" x14ac:dyDescent="0.15">
      <c r="B23" s="5"/>
      <c r="C23" s="512"/>
      <c r="D23" s="512"/>
      <c r="E23" s="512"/>
      <c r="F23" s="512"/>
      <c r="G23" s="512"/>
      <c r="H23" s="512"/>
      <c r="I23" s="512"/>
    </row>
    <row r="24" spans="2:9" ht="15" hidden="1" x14ac:dyDescent="0.15">
      <c r="B24" s="5"/>
    </row>
    <row r="25" spans="2:9" ht="15" hidden="1" x14ac:dyDescent="0.15">
      <c r="B25" s="5"/>
    </row>
    <row r="26" spans="2:9" hidden="1" x14ac:dyDescent="0.15"/>
    <row r="27" spans="2:9" hidden="1" x14ac:dyDescent="0.15"/>
    <row r="28" spans="2:9" hidden="1" x14ac:dyDescent="0.15"/>
    <row r="29" spans="2:9" ht="20.5" customHeight="1" x14ac:dyDescent="0.15">
      <c r="B29" s="105" t="s">
        <v>11</v>
      </c>
    </row>
    <row r="30" spans="2:9" ht="92.25" customHeight="1" x14ac:dyDescent="0.15">
      <c r="B30" s="756"/>
      <c r="C30" s="757"/>
      <c r="D30" s="757"/>
      <c r="E30" s="757"/>
      <c r="F30" s="757"/>
      <c r="G30" s="757"/>
      <c r="H30" s="757"/>
    </row>
    <row r="31" spans="2:9" ht="15" x14ac:dyDescent="0.15">
      <c r="B31" s="5"/>
    </row>
    <row r="32" spans="2:9" ht="14" thickBot="1" x14ac:dyDescent="0.2"/>
    <row r="33" spans="2:9" ht="15" x14ac:dyDescent="0.15">
      <c r="B33" s="106" t="s">
        <v>12</v>
      </c>
      <c r="C33" s="106" t="s">
        <v>13</v>
      </c>
      <c r="D33" s="106" t="s">
        <v>4</v>
      </c>
      <c r="E33" s="106" t="s">
        <v>14</v>
      </c>
      <c r="F33" s="107" t="s">
        <v>15</v>
      </c>
      <c r="G33" s="108"/>
    </row>
    <row r="34" spans="2:9" ht="27.75" customHeight="1" thickBot="1" x14ac:dyDescent="0.2">
      <c r="B34" s="2">
        <f ca="1">Proforma!J102</f>
        <v>16155476.36124236</v>
      </c>
      <c r="C34" s="65">
        <f ca="1">B34/C9</f>
        <v>66758.166781993219</v>
      </c>
      <c r="D34" s="3">
        <f>Proforma!E38</f>
        <v>0.05</v>
      </c>
      <c r="E34" s="3">
        <f>Proforma!D9</f>
        <v>6.5000000000000002E-2</v>
      </c>
      <c r="F34" s="753">
        <f ca="1">Proforma!D136/-Proforma!E130</f>
        <v>1.4497426935570918</v>
      </c>
      <c r="G34" s="754"/>
    </row>
    <row r="35" spans="2:9" ht="14" thickBot="1" x14ac:dyDescent="0.2"/>
    <row r="36" spans="2:9" ht="18" x14ac:dyDescent="0.2">
      <c r="B36" s="78" t="s">
        <v>16</v>
      </c>
      <c r="C36" s="79"/>
      <c r="D36" s="79"/>
      <c r="E36" s="79"/>
      <c r="F36" s="79"/>
      <c r="G36" s="79"/>
      <c r="H36" s="79"/>
      <c r="I36" s="80"/>
    </row>
    <row r="37" spans="2:9" x14ac:dyDescent="0.15">
      <c r="B37" s="81"/>
      <c r="C37" s="44"/>
      <c r="D37" s="44"/>
      <c r="E37" s="44"/>
      <c r="F37" s="44"/>
      <c r="G37" s="44"/>
      <c r="H37" s="44"/>
      <c r="I37" s="513"/>
    </row>
    <row r="38" spans="2:9" ht="13.25" customHeight="1" thickBot="1" x14ac:dyDescent="0.25">
      <c r="B38" s="100" t="s">
        <v>17</v>
      </c>
      <c r="C38" s="66"/>
      <c r="D38" s="82">
        <f>-Proforma!E115</f>
        <v>5050000</v>
      </c>
      <c r="E38" s="758" t="str">
        <f>TEXT(Proforma!K22,"0%")&amp;" preferred return paid to investors.  All cash flow including refinance proceeds above the "&amp;TEXT(Proforma!K22,"0%")&amp;" preferred shall be paid to investors until 100% of their investment is returned.  After 100% of the original capital has been returned, then investors and BVG shall split the cash flow and refinance proceeds "&amp;TEXT(Proforma!K20,"00%")&amp;"/"&amp;TEXT(Proforma!K21,"00%")</f>
        <v>5% preferred return paid to investors.  All cash flow including refinance proceeds above the 5% preferred shall be paid to investors until 100% of their investment is returned.  After 100% of the original capital has been returned, then investors and BVG shall split the cash flow and refinance proceeds 50%/50%</v>
      </c>
      <c r="F38" s="758"/>
      <c r="G38" s="758"/>
      <c r="H38" s="758"/>
      <c r="I38" s="759"/>
    </row>
    <row r="39" spans="2:9" ht="16" thickBot="1" x14ac:dyDescent="0.25">
      <c r="B39" s="102" t="s">
        <v>18</v>
      </c>
      <c r="C39" s="103"/>
      <c r="D39" s="104">
        <f>D38</f>
        <v>5050000</v>
      </c>
      <c r="E39" s="758"/>
      <c r="F39" s="758"/>
      <c r="G39" s="758"/>
      <c r="H39" s="758"/>
      <c r="I39" s="759"/>
    </row>
    <row r="40" spans="2:9" ht="14" x14ac:dyDescent="0.2">
      <c r="B40" s="100" t="s">
        <v>19</v>
      </c>
      <c r="C40" s="66"/>
      <c r="D40" s="83">
        <f>IF(InvestorPromote=50%,D39/(D38/5000),D39/(D38/6000))</f>
        <v>5000</v>
      </c>
      <c r="E40" s="758"/>
      <c r="F40" s="758"/>
      <c r="G40" s="758"/>
      <c r="H40" s="758"/>
      <c r="I40" s="759"/>
    </row>
    <row r="41" spans="2:9" ht="14" x14ac:dyDescent="0.2">
      <c r="B41" s="97"/>
      <c r="C41" s="66" t="s">
        <v>20</v>
      </c>
      <c r="D41" s="96">
        <f>D40/10000</f>
        <v>0.5</v>
      </c>
      <c r="E41" s="758"/>
      <c r="F41" s="758"/>
      <c r="G41" s="758"/>
      <c r="H41" s="758"/>
      <c r="I41" s="759"/>
    </row>
    <row r="42" spans="2:9" ht="14" x14ac:dyDescent="0.2">
      <c r="B42" s="101"/>
      <c r="C42" s="66"/>
      <c r="D42" s="82"/>
      <c r="E42" s="758"/>
      <c r="F42" s="758"/>
      <c r="G42" s="758"/>
      <c r="H42" s="758"/>
      <c r="I42" s="759"/>
    </row>
    <row r="43" spans="2:9" ht="14" x14ac:dyDescent="0.2">
      <c r="B43" s="101"/>
      <c r="C43" s="66"/>
      <c r="D43" s="84"/>
      <c r="E43" s="85"/>
      <c r="F43" s="85"/>
      <c r="G43" s="85"/>
      <c r="H43" s="85"/>
      <c r="I43" s="86"/>
    </row>
    <row r="44" spans="2:9" ht="14" x14ac:dyDescent="0.2">
      <c r="B44" s="97" t="s">
        <v>21</v>
      </c>
      <c r="C44" s="66"/>
      <c r="D44" s="66"/>
      <c r="E44" s="98" t="s">
        <v>22</v>
      </c>
      <c r="F44" s="98" t="s">
        <v>23</v>
      </c>
      <c r="G44" s="98" t="s">
        <v>24</v>
      </c>
      <c r="H44" s="98" t="s">
        <v>25</v>
      </c>
      <c r="I44" s="99" t="s">
        <v>26</v>
      </c>
    </row>
    <row r="45" spans="2:9" ht="14" x14ac:dyDescent="0.2">
      <c r="B45" s="97"/>
      <c r="C45" s="66"/>
      <c r="D45" s="66"/>
      <c r="E45" s="87">
        <f ca="1">$D$39*E46</f>
        <v>254323.21000000005</v>
      </c>
      <c r="F45" s="87">
        <f t="shared" ref="F45:I45" ca="1" si="0">$D$39*F46</f>
        <v>666614.46420000005</v>
      </c>
      <c r="G45" s="87">
        <f t="shared" ca="1" si="0"/>
        <v>1020487.5119755756</v>
      </c>
      <c r="H45" s="87">
        <f t="shared" ca="1" si="0"/>
        <v>4956528.2462153528</v>
      </c>
      <c r="I45" s="88">
        <f t="shared" ca="1" si="0"/>
        <v>423247.17007238528</v>
      </c>
    </row>
    <row r="46" spans="2:9" ht="14" x14ac:dyDescent="0.2">
      <c r="B46" s="97"/>
      <c r="C46" s="66"/>
      <c r="D46" s="66"/>
      <c r="E46" s="89">
        <f ca="1">'Financial Summary'!E17</f>
        <v>5.0361031683168328E-2</v>
      </c>
      <c r="F46" s="89">
        <f ca="1">'Financial Summary'!F17</f>
        <v>0.13200286419801982</v>
      </c>
      <c r="G46" s="89">
        <f ca="1">'Financial Summary'!G17</f>
        <v>0.20207673504466844</v>
      </c>
      <c r="H46" s="89">
        <f ca="1">'Financial Summary'!H17</f>
        <v>0.98149074182482232</v>
      </c>
      <c r="I46" s="90">
        <f ca="1">'Financial Summary'!I17</f>
        <v>8.3811320806412931E-2</v>
      </c>
    </row>
    <row r="47" spans="2:9" ht="6.5" customHeight="1" x14ac:dyDescent="0.2">
      <c r="B47" s="97"/>
      <c r="C47" s="66"/>
      <c r="D47" s="66"/>
      <c r="E47" s="66"/>
      <c r="F47" s="66"/>
      <c r="G47" s="66"/>
      <c r="H47" s="66"/>
      <c r="I47" s="91"/>
    </row>
    <row r="48" spans="2:9" ht="14" x14ac:dyDescent="0.2">
      <c r="B48" s="97" t="s">
        <v>27</v>
      </c>
      <c r="C48" s="66"/>
      <c r="D48" s="66"/>
      <c r="E48" s="92">
        <f>$D$41*Proforma!F140*2</f>
        <v>-4185727.2727272729</v>
      </c>
      <c r="F48" s="92">
        <f>$D$41*Proforma!G140*2</f>
        <v>-110727.27272727272</v>
      </c>
      <c r="G48" s="92">
        <f>$D$41*Proforma!H140*2</f>
        <v>-110727.27272727272</v>
      </c>
      <c r="H48" s="92">
        <f>$D$41*Proforma!I140*2</f>
        <v>-110727.27272727272</v>
      </c>
      <c r="I48" s="93">
        <f>$D$41*Proforma!J140*2</f>
        <v>-110727.27272727272</v>
      </c>
    </row>
    <row r="49" spans="2:9" ht="14" x14ac:dyDescent="0.2">
      <c r="B49" s="97"/>
      <c r="C49" s="66"/>
      <c r="D49" s="66"/>
      <c r="E49" s="66"/>
      <c r="F49" s="66"/>
      <c r="G49" s="66"/>
      <c r="H49" s="66"/>
      <c r="I49" s="91"/>
    </row>
    <row r="50" spans="2:9" ht="14" x14ac:dyDescent="0.2">
      <c r="B50" s="97" t="s">
        <v>28</v>
      </c>
      <c r="E50" s="109">
        <f ca="1">SUM(E45:I45)</f>
        <v>7321200.6024633134</v>
      </c>
      <c r="H50" s="110" t="s">
        <v>29</v>
      </c>
      <c r="I50" s="111">
        <f ca="1">Proforma!D134</f>
        <v>0.19393123908022236</v>
      </c>
    </row>
    <row r="51" spans="2:9" ht="17" x14ac:dyDescent="0.35">
      <c r="B51" s="97" t="s">
        <v>30</v>
      </c>
      <c r="E51" s="112">
        <f ca="1">D41*(Proforma!J102-IF(Proforma!D97&lt;&gt;5,Proforma!J97,Proforma!K91))</f>
        <v>3129270.8808406042</v>
      </c>
      <c r="H51" s="110" t="s">
        <v>31</v>
      </c>
      <c r="I51" s="111">
        <f ca="1">Proforma!D144</f>
        <v>0.27670317295062374</v>
      </c>
    </row>
    <row r="52" spans="2:9" ht="14" x14ac:dyDescent="0.2">
      <c r="B52" s="345" t="s">
        <v>32</v>
      </c>
      <c r="C52" s="346"/>
      <c r="D52" s="346"/>
      <c r="E52" s="347">
        <f ca="1">E50+E51</f>
        <v>10450471.483303918</v>
      </c>
      <c r="I52" s="348"/>
    </row>
    <row r="53" spans="2:9" ht="15" thickBot="1" x14ac:dyDescent="0.25">
      <c r="B53" s="343" t="s">
        <v>33</v>
      </c>
      <c r="C53" s="94"/>
      <c r="D53" s="94"/>
      <c r="E53" s="344">
        <f ca="1">+E52/D39</f>
        <v>2.0694002937235481</v>
      </c>
      <c r="F53" s="94"/>
      <c r="G53" s="94"/>
      <c r="H53" s="94"/>
      <c r="I53" s="113"/>
    </row>
    <row r="55" spans="2:9" x14ac:dyDescent="0.15">
      <c r="I55" s="505" t="s">
        <v>34</v>
      </c>
    </row>
    <row r="56" spans="2:9" x14ac:dyDescent="0.15">
      <c r="F56" s="504" t="s">
        <v>35</v>
      </c>
      <c r="I56" s="505" t="s">
        <v>36</v>
      </c>
    </row>
    <row r="58" spans="2:9" x14ac:dyDescent="0.15">
      <c r="H58" s="504"/>
      <c r="I58" s="70"/>
    </row>
    <row r="59" spans="2:9" x14ac:dyDescent="0.15">
      <c r="I59" s="70"/>
    </row>
  </sheetData>
  <sheetProtection algorithmName="SHA-512" hashValue="VK7kIt7Au5FjI1M5wcN1J/QxwFA3Pb92shAb212XEr5sLHv2B9b60o8XNfo7v8rKcrwpG8LioCE5FQvQAqx8XQ==" saltValue="w8PhDbd8cuv+SiIAkXqxWw==" spinCount="100000" sheet="1" objects="1" scenarios="1"/>
  <protectedRanges>
    <protectedRange sqref="D39" name="Range1"/>
  </protectedRanges>
  <mergeCells count="4">
    <mergeCell ref="F34:G34"/>
    <mergeCell ref="B19:I19"/>
    <mergeCell ref="B30:H30"/>
    <mergeCell ref="E38:I42"/>
  </mergeCells>
  <pageMargins left="0.5" right="0.5" top="0.5" bottom="0.5" header="0.3" footer="0.3"/>
  <pageSetup scale="90"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9905EA-A685-4ADC-9128-6A2E339F78B9}">
  <sheetPr codeName="Sheet14">
    <tabColor rgb="FF7030A0"/>
    <pageSetUpPr fitToPage="1"/>
  </sheetPr>
  <dimension ref="A1:C41"/>
  <sheetViews>
    <sheetView workbookViewId="0">
      <selection activeCell="B2" sqref="B2"/>
    </sheetView>
  </sheetViews>
  <sheetFormatPr baseColWidth="10" defaultColWidth="9.1640625" defaultRowHeight="15" x14ac:dyDescent="0.2"/>
  <cols>
    <col min="1" max="1" width="9.1640625" style="150"/>
    <col min="2" max="2" width="53.6640625" style="150" bestFit="1" customWidth="1"/>
    <col min="3" max="3" width="108.33203125" style="150" bestFit="1" customWidth="1"/>
    <col min="4" max="16384" width="9.1640625" style="150"/>
  </cols>
  <sheetData>
    <row r="1" spans="1:3" x14ac:dyDescent="0.2">
      <c r="A1" s="773" t="s">
        <v>511</v>
      </c>
      <c r="B1" s="773"/>
      <c r="C1" s="773"/>
    </row>
    <row r="2" spans="1:3" x14ac:dyDescent="0.2">
      <c r="A2" s="570">
        <v>1</v>
      </c>
      <c r="B2" s="568" t="s">
        <v>438</v>
      </c>
    </row>
    <row r="3" spans="1:3" x14ac:dyDescent="0.2">
      <c r="A3" s="571">
        <v>2</v>
      </c>
      <c r="B3" s="572" t="s">
        <v>439</v>
      </c>
      <c r="C3" s="208" t="s">
        <v>512</v>
      </c>
    </row>
    <row r="4" spans="1:3" x14ac:dyDescent="0.2">
      <c r="A4" s="570">
        <v>3</v>
      </c>
      <c r="B4" s="568" t="s">
        <v>513</v>
      </c>
      <c r="C4" s="150" t="s">
        <v>512</v>
      </c>
    </row>
    <row r="5" spans="1:3" x14ac:dyDescent="0.2">
      <c r="A5" s="571">
        <v>4</v>
      </c>
      <c r="B5" s="572" t="s">
        <v>441</v>
      </c>
      <c r="C5" s="208" t="s">
        <v>514</v>
      </c>
    </row>
    <row r="6" spans="1:3" x14ac:dyDescent="0.2">
      <c r="A6" s="570">
        <v>4403</v>
      </c>
      <c r="B6" s="568" t="s">
        <v>176</v>
      </c>
      <c r="C6" s="150" t="s">
        <v>515</v>
      </c>
    </row>
    <row r="7" spans="1:3" x14ac:dyDescent="0.2">
      <c r="A7" s="571">
        <v>4401</v>
      </c>
      <c r="B7" s="572" t="s">
        <v>177</v>
      </c>
      <c r="C7" s="208" t="s">
        <v>515</v>
      </c>
    </row>
    <row r="8" spans="1:3" x14ac:dyDescent="0.2">
      <c r="A8" s="570">
        <v>4404</v>
      </c>
      <c r="B8" s="568" t="s">
        <v>178</v>
      </c>
      <c r="C8" s="150" t="s">
        <v>515</v>
      </c>
    </row>
    <row r="9" spans="1:3" x14ac:dyDescent="0.2">
      <c r="A9" s="571">
        <v>4405</v>
      </c>
      <c r="B9" s="572" t="s">
        <v>99</v>
      </c>
      <c r="C9" s="208" t="s">
        <v>515</v>
      </c>
    </row>
    <row r="10" spans="1:3" x14ac:dyDescent="0.2">
      <c r="A10" s="570">
        <v>4402</v>
      </c>
      <c r="B10" s="568" t="s">
        <v>98</v>
      </c>
      <c r="C10" s="150" t="s">
        <v>515</v>
      </c>
    </row>
    <row r="11" spans="1:3" x14ac:dyDescent="0.2">
      <c r="A11" s="571">
        <v>4998</v>
      </c>
      <c r="B11" s="572" t="s">
        <v>179</v>
      </c>
      <c r="C11" s="208" t="s">
        <v>516</v>
      </c>
    </row>
    <row r="12" spans="1:3" x14ac:dyDescent="0.2">
      <c r="A12" s="570">
        <v>4134</v>
      </c>
      <c r="B12" s="568" t="s">
        <v>442</v>
      </c>
      <c r="C12" s="209" t="s">
        <v>517</v>
      </c>
    </row>
    <row r="15" spans="1:3" x14ac:dyDescent="0.2">
      <c r="A15" s="773" t="s">
        <v>518</v>
      </c>
      <c r="B15" s="773"/>
      <c r="C15" s="773"/>
    </row>
    <row r="17" spans="1:3" ht="16" thickBot="1" x14ac:dyDescent="0.25">
      <c r="A17" s="210" t="s">
        <v>519</v>
      </c>
      <c r="B17" s="210" t="s">
        <v>520</v>
      </c>
      <c r="C17" s="210" t="s">
        <v>521</v>
      </c>
    </row>
    <row r="18" spans="1:3" x14ac:dyDescent="0.2">
      <c r="A18" s="570">
        <v>5701</v>
      </c>
      <c r="B18" s="568" t="s">
        <v>522</v>
      </c>
      <c r="C18" s="150" t="s">
        <v>523</v>
      </c>
    </row>
    <row r="19" spans="1:3" x14ac:dyDescent="0.2">
      <c r="A19" s="571">
        <v>5305</v>
      </c>
      <c r="B19" s="572" t="s">
        <v>193</v>
      </c>
      <c r="C19" s="208" t="s">
        <v>524</v>
      </c>
    </row>
    <row r="20" spans="1:3" x14ac:dyDescent="0.2">
      <c r="A20" s="570">
        <v>5306</v>
      </c>
      <c r="B20" s="568" t="s">
        <v>194</v>
      </c>
      <c r="C20" s="150" t="s">
        <v>525</v>
      </c>
    </row>
    <row r="21" spans="1:3" x14ac:dyDescent="0.2">
      <c r="A21" s="571">
        <v>5404</v>
      </c>
      <c r="B21" s="572" t="s">
        <v>176</v>
      </c>
      <c r="C21" s="208" t="s">
        <v>526</v>
      </c>
    </row>
    <row r="22" spans="1:3" x14ac:dyDescent="0.2">
      <c r="A22" s="570">
        <v>5401</v>
      </c>
      <c r="B22" s="568" t="s">
        <v>527</v>
      </c>
      <c r="C22" s="150" t="s">
        <v>528</v>
      </c>
    </row>
    <row r="23" spans="1:3" x14ac:dyDescent="0.2">
      <c r="A23" s="571">
        <v>5405</v>
      </c>
      <c r="B23" s="572" t="s">
        <v>178</v>
      </c>
      <c r="C23" s="208" t="s">
        <v>529</v>
      </c>
    </row>
    <row r="24" spans="1:3" x14ac:dyDescent="0.2">
      <c r="A24" s="570">
        <v>5403</v>
      </c>
      <c r="B24" s="568" t="s">
        <v>196</v>
      </c>
      <c r="C24" s="150" t="s">
        <v>530</v>
      </c>
    </row>
    <row r="25" spans="1:3" x14ac:dyDescent="0.2">
      <c r="A25" s="571">
        <v>5402</v>
      </c>
      <c r="B25" s="572" t="s">
        <v>197</v>
      </c>
      <c r="C25" s="208" t="s">
        <v>531</v>
      </c>
    </row>
    <row r="26" spans="1:3" x14ac:dyDescent="0.2">
      <c r="A26" s="570">
        <v>5603</v>
      </c>
      <c r="B26" s="568" t="s">
        <v>532</v>
      </c>
      <c r="C26" s="150" t="s">
        <v>533</v>
      </c>
    </row>
    <row r="27" spans="1:3" x14ac:dyDescent="0.2">
      <c r="A27" s="571">
        <v>5020</v>
      </c>
      <c r="B27" s="572" t="s">
        <v>199</v>
      </c>
      <c r="C27" s="208" t="s">
        <v>534</v>
      </c>
    </row>
    <row r="28" spans="1:3" x14ac:dyDescent="0.2">
      <c r="A28" s="570">
        <v>5104</v>
      </c>
      <c r="B28" s="568" t="s">
        <v>535</v>
      </c>
      <c r="C28" s="150" t="s">
        <v>536</v>
      </c>
    </row>
    <row r="29" spans="1:3" x14ac:dyDescent="0.2">
      <c r="A29" s="571">
        <v>5109</v>
      </c>
      <c r="B29" s="572" t="s">
        <v>200</v>
      </c>
      <c r="C29" s="208" t="s">
        <v>537</v>
      </c>
    </row>
    <row r="30" spans="1:3" x14ac:dyDescent="0.2">
      <c r="A30" s="570">
        <v>5200</v>
      </c>
      <c r="B30" s="568" t="s">
        <v>201</v>
      </c>
      <c r="C30" s="150" t="s">
        <v>538</v>
      </c>
    </row>
    <row r="31" spans="1:3" x14ac:dyDescent="0.2">
      <c r="A31" s="571">
        <v>5301</v>
      </c>
      <c r="B31" s="211" t="s">
        <v>539</v>
      </c>
      <c r="C31" s="208"/>
    </row>
    <row r="32" spans="1:3" x14ac:dyDescent="0.2">
      <c r="A32" s="570">
        <v>5053</v>
      </c>
      <c r="B32" s="568" t="s">
        <v>203</v>
      </c>
    </row>
    <row r="33" spans="1:3" x14ac:dyDescent="0.2">
      <c r="A33" s="571">
        <v>5604</v>
      </c>
      <c r="B33" s="572" t="s">
        <v>204</v>
      </c>
      <c r="C33" s="208" t="s">
        <v>540</v>
      </c>
    </row>
    <row r="34" spans="1:3" x14ac:dyDescent="0.2">
      <c r="A34" s="570">
        <v>5062</v>
      </c>
      <c r="B34" s="568" t="s">
        <v>205</v>
      </c>
      <c r="C34" s="150" t="s">
        <v>541</v>
      </c>
    </row>
    <row r="35" spans="1:3" x14ac:dyDescent="0.2">
      <c r="A35" s="571">
        <v>5302</v>
      </c>
      <c r="B35" s="572" t="s">
        <v>206</v>
      </c>
      <c r="C35" s="208" t="s">
        <v>542</v>
      </c>
    </row>
    <row r="36" spans="1:3" x14ac:dyDescent="0.2">
      <c r="A36" s="570">
        <v>5001</v>
      </c>
      <c r="B36" s="568" t="s">
        <v>207</v>
      </c>
      <c r="C36" s="150" t="s">
        <v>543</v>
      </c>
    </row>
    <row r="37" spans="1:3" x14ac:dyDescent="0.2">
      <c r="A37" s="571">
        <v>5061</v>
      </c>
      <c r="B37" s="572" t="s">
        <v>208</v>
      </c>
      <c r="C37" s="208" t="s">
        <v>544</v>
      </c>
    </row>
    <row r="38" spans="1:3" x14ac:dyDescent="0.2">
      <c r="A38" s="570">
        <v>5304</v>
      </c>
      <c r="B38" s="568" t="s">
        <v>209</v>
      </c>
      <c r="C38" s="150" t="s">
        <v>545</v>
      </c>
    </row>
    <row r="39" spans="1:3" x14ac:dyDescent="0.2">
      <c r="A39" s="571">
        <v>5064</v>
      </c>
      <c r="B39" s="572" t="s">
        <v>210</v>
      </c>
      <c r="C39" s="208" t="s">
        <v>546</v>
      </c>
    </row>
    <row r="40" spans="1:3" x14ac:dyDescent="0.2">
      <c r="A40" s="570">
        <v>5601</v>
      </c>
      <c r="B40" s="568" t="s">
        <v>211</v>
      </c>
      <c r="C40" s="150" t="s">
        <v>547</v>
      </c>
    </row>
    <row r="41" spans="1:3" x14ac:dyDescent="0.2">
      <c r="A41" s="571">
        <v>5000</v>
      </c>
      <c r="B41" s="572" t="s">
        <v>451</v>
      </c>
      <c r="C41" s="208" t="s">
        <v>548</v>
      </c>
    </row>
  </sheetData>
  <mergeCells count="2">
    <mergeCell ref="A1:C1"/>
    <mergeCell ref="A15:C15"/>
  </mergeCells>
  <pageMargins left="0.2" right="0.2" top="0.25" bottom="0.25" header="0.3" footer="0.3"/>
  <pageSetup scale="79"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7C7F88-CAF0-4425-A084-0EAFE098B48C}">
  <sheetPr codeName="Sheet15">
    <tabColor theme="9"/>
    <pageSetUpPr fitToPage="1"/>
  </sheetPr>
  <dimension ref="A1:AC112"/>
  <sheetViews>
    <sheetView workbookViewId="0">
      <selection activeCell="B2" sqref="B2"/>
    </sheetView>
  </sheetViews>
  <sheetFormatPr baseColWidth="10" defaultColWidth="0" defaultRowHeight="0" customHeight="1" zeroHeight="1" x14ac:dyDescent="0.2"/>
  <cols>
    <col min="1" max="1" width="1" style="349" customWidth="1"/>
    <col min="2" max="2" width="29.6640625" style="349" customWidth="1"/>
    <col min="3" max="3" width="15.33203125" style="349" customWidth="1"/>
    <col min="4" max="4" width="16.1640625" style="349" bestFit="1" customWidth="1"/>
    <col min="5" max="5" width="20.33203125" style="349" customWidth="1"/>
    <col min="6" max="7" width="10.83203125" style="350" bestFit="1" customWidth="1"/>
    <col min="8" max="9" width="10.1640625" style="350" bestFit="1" customWidth="1"/>
    <col min="10" max="10" width="12.33203125" style="350" customWidth="1"/>
    <col min="11" max="11" width="10.33203125" style="350" customWidth="1"/>
    <col min="12" max="13" width="10.1640625" style="350" bestFit="1" customWidth="1"/>
    <col min="14" max="14" width="11.83203125" style="350" customWidth="1"/>
    <col min="15" max="16" width="10.1640625" style="350" bestFit="1" customWidth="1"/>
    <col min="17" max="17" width="10.33203125" style="349" bestFit="1" customWidth="1"/>
    <col min="18" max="18" width="18.5" style="349" bestFit="1" customWidth="1"/>
    <col min="19" max="20" width="10.1640625" style="349" bestFit="1" customWidth="1"/>
    <col min="21" max="21" width="11.1640625" style="349" bestFit="1" customWidth="1"/>
    <col min="22" max="29" width="9.1640625" style="349" customWidth="1"/>
    <col min="30" max="16384" width="9.1640625" style="349" hidden="1"/>
  </cols>
  <sheetData>
    <row r="1" spans="1:21" ht="6.75" customHeight="1" x14ac:dyDescent="0.2"/>
    <row r="2" spans="1:21" ht="19" x14ac:dyDescent="0.25">
      <c r="B2" s="351" t="s">
        <v>549</v>
      </c>
      <c r="C2" s="352"/>
      <c r="D2" s="352"/>
      <c r="E2" s="352"/>
      <c r="F2" s="353"/>
      <c r="G2" s="353"/>
      <c r="H2" s="353"/>
      <c r="I2" s="353"/>
      <c r="J2" s="353"/>
      <c r="K2" s="353"/>
      <c r="L2" s="353"/>
      <c r="M2" s="353"/>
      <c r="N2" s="353"/>
      <c r="O2" s="353"/>
      <c r="P2" s="353"/>
      <c r="Q2" s="353"/>
      <c r="R2" s="353"/>
      <c r="S2" s="353"/>
      <c r="T2" s="353"/>
      <c r="U2" s="354"/>
    </row>
    <row r="3" spans="1:21" ht="5" customHeight="1" x14ac:dyDescent="0.2">
      <c r="B3" s="355"/>
      <c r="C3" s="356"/>
      <c r="D3" s="356"/>
      <c r="E3" s="356"/>
      <c r="F3" s="357"/>
      <c r="G3" s="357"/>
      <c r="H3" s="357"/>
      <c r="I3" s="357"/>
      <c r="J3" s="357"/>
      <c r="K3" s="357"/>
      <c r="L3" s="357"/>
      <c r="M3" s="357"/>
      <c r="N3" s="357"/>
      <c r="O3" s="357"/>
      <c r="P3" s="357"/>
      <c r="Q3" s="357"/>
      <c r="R3" s="357"/>
      <c r="S3" s="357"/>
      <c r="T3" s="357"/>
      <c r="U3" s="357"/>
    </row>
    <row r="4" spans="1:21" ht="16" x14ac:dyDescent="0.2">
      <c r="B4" s="355" t="s">
        <v>550</v>
      </c>
      <c r="C4" s="356"/>
      <c r="D4" s="358" t="s">
        <v>551</v>
      </c>
      <c r="E4" s="359"/>
      <c r="F4" s="360" t="s">
        <v>552</v>
      </c>
      <c r="G4" s="361">
        <v>10</v>
      </c>
      <c r="H4" s="357"/>
      <c r="I4" s="357"/>
      <c r="J4" s="357"/>
      <c r="K4" s="357"/>
      <c r="L4" s="357"/>
      <c r="M4" s="357"/>
      <c r="N4" s="362"/>
      <c r="O4" s="782"/>
      <c r="P4" s="782"/>
      <c r="Q4" s="782"/>
      <c r="R4" s="782"/>
      <c r="S4" s="782"/>
      <c r="T4" s="357"/>
      <c r="U4" s="357"/>
    </row>
    <row r="5" spans="1:21" ht="16" x14ac:dyDescent="0.2">
      <c r="A5" s="349" t="b">
        <f>AND(E5="Yes", H14&lt;Equity_Share_Sponsor)</f>
        <v>0</v>
      </c>
      <c r="B5" s="355" t="s">
        <v>553</v>
      </c>
      <c r="C5" s="356"/>
      <c r="D5" s="363" t="s">
        <v>554</v>
      </c>
      <c r="E5" s="364" t="s">
        <v>77</v>
      </c>
      <c r="F5" s="365" t="s">
        <v>555</v>
      </c>
      <c r="G5" s="366">
        <f>Proforma!D97</f>
        <v>4</v>
      </c>
      <c r="H5" s="367" t="s">
        <v>556</v>
      </c>
      <c r="I5" s="357"/>
      <c r="J5" s="357"/>
      <c r="K5" s="357"/>
      <c r="L5" s="357"/>
      <c r="M5" s="357"/>
      <c r="N5" s="362"/>
      <c r="O5" s="782"/>
      <c r="P5" s="782"/>
      <c r="Q5" s="782"/>
      <c r="R5" s="782"/>
      <c r="S5" s="782"/>
      <c r="T5" s="357"/>
      <c r="U5" s="357"/>
    </row>
    <row r="6" spans="1:21" ht="5" customHeight="1" x14ac:dyDescent="0.2">
      <c r="B6" s="368"/>
      <c r="C6" s="368"/>
      <c r="D6" s="369"/>
      <c r="E6" s="368"/>
      <c r="F6" s="370"/>
      <c r="G6" s="370"/>
      <c r="H6" s="370"/>
      <c r="I6" s="370"/>
      <c r="J6" s="370"/>
      <c r="K6" s="370"/>
      <c r="L6" s="370"/>
      <c r="M6" s="357"/>
      <c r="N6" s="370"/>
      <c r="O6" s="370"/>
      <c r="P6" s="370"/>
      <c r="Q6" s="368"/>
      <c r="R6" s="368"/>
      <c r="S6" s="368"/>
      <c r="T6" s="368"/>
      <c r="U6" s="368"/>
    </row>
    <row r="7" spans="1:21" ht="17" thickBot="1" x14ac:dyDescent="0.25">
      <c r="B7" s="371" t="s">
        <v>557</v>
      </c>
      <c r="C7" s="372" t="s">
        <v>558</v>
      </c>
      <c r="D7" s="372" t="s">
        <v>559</v>
      </c>
      <c r="E7" s="365"/>
      <c r="F7" s="372" t="s">
        <v>560</v>
      </c>
      <c r="G7" s="373">
        <f>Proforma!E102</f>
        <v>6.5000000000000002E-2</v>
      </c>
      <c r="H7" s="367" t="s">
        <v>561</v>
      </c>
      <c r="I7" s="370"/>
      <c r="J7" s="370"/>
      <c r="K7" s="370"/>
      <c r="L7" s="370"/>
      <c r="M7" s="357"/>
      <c r="N7" s="370"/>
      <c r="O7" s="370"/>
      <c r="P7" s="370"/>
      <c r="Q7" s="368"/>
      <c r="R7" s="368"/>
      <c r="S7" s="368"/>
      <c r="T7" s="368"/>
      <c r="U7" s="368"/>
    </row>
    <row r="8" spans="1:21" ht="15" x14ac:dyDescent="0.2">
      <c r="B8" s="368" t="s">
        <v>562</v>
      </c>
      <c r="C8" s="374">
        <v>0.05</v>
      </c>
      <c r="D8" s="375">
        <f ca="1">Equity_Share_Sponsor*Total_Equity</f>
        <v>264800</v>
      </c>
      <c r="E8" s="368"/>
      <c r="F8" s="376"/>
      <c r="G8" s="367"/>
      <c r="H8" s="370"/>
      <c r="I8" s="370"/>
      <c r="J8" s="370"/>
      <c r="K8" s="377" t="s">
        <v>563</v>
      </c>
      <c r="L8" s="378" t="str">
        <f ca="1">IF(ROUND(L10,0)=ROUND(L9,0),"OK","Error")</f>
        <v>OK</v>
      </c>
      <c r="M8" s="370"/>
      <c r="N8" s="370"/>
      <c r="O8" s="370"/>
      <c r="P8" s="370"/>
      <c r="Q8" s="368"/>
      <c r="R8" s="368"/>
      <c r="S8" s="368"/>
      <c r="T8" s="368"/>
      <c r="U8" s="368"/>
    </row>
    <row r="9" spans="1:21" ht="15" x14ac:dyDescent="0.2">
      <c r="B9" s="368" t="s">
        <v>564</v>
      </c>
      <c r="C9" s="379">
        <f>1-C8</f>
        <v>0.95</v>
      </c>
      <c r="D9" s="380">
        <f ca="1">Total_Equity*Equity_Share_LP</f>
        <v>5031200</v>
      </c>
      <c r="E9" s="368"/>
      <c r="F9" s="376"/>
      <c r="G9" s="381"/>
      <c r="H9" s="370"/>
      <c r="I9" s="370"/>
      <c r="J9" s="370"/>
      <c r="K9" s="382" t="s">
        <v>565</v>
      </c>
      <c r="L9" s="383">
        <f ca="1">(D23+D33)/1000000</f>
        <v>8.4272667356060484</v>
      </c>
      <c r="M9" s="370"/>
      <c r="N9" s="370"/>
      <c r="O9" s="370"/>
      <c r="P9" s="370"/>
      <c r="Q9" s="368"/>
      <c r="R9" s="384"/>
      <c r="S9" s="368"/>
      <c r="T9" s="368"/>
      <c r="U9" s="368"/>
    </row>
    <row r="10" spans="1:21" ht="16" thickBot="1" x14ac:dyDescent="0.25">
      <c r="B10" s="368" t="s">
        <v>566</v>
      </c>
      <c r="C10" s="385"/>
      <c r="D10" s="375">
        <f ca="1">-SUMIF(F47:U47,"&lt;0")</f>
        <v>5296000</v>
      </c>
      <c r="E10" s="368"/>
      <c r="F10" s="376"/>
      <c r="G10" s="381"/>
      <c r="H10" s="370"/>
      <c r="I10" s="370"/>
      <c r="J10" s="370"/>
      <c r="K10" s="386" t="s">
        <v>567</v>
      </c>
      <c r="L10" s="387">
        <f ca="1">(SUM(F47:U47)+SUM(F40:U42))/1000000</f>
        <v>8.4272667356060484</v>
      </c>
      <c r="M10" s="370"/>
      <c r="N10" s="388"/>
      <c r="O10" s="370"/>
      <c r="P10" s="370"/>
      <c r="Q10" s="368"/>
      <c r="R10" s="384"/>
      <c r="S10" s="368"/>
      <c r="T10" s="368"/>
      <c r="U10" s="368"/>
    </row>
    <row r="11" spans="1:21" ht="5" customHeight="1" x14ac:dyDescent="0.2">
      <c r="B11" s="368"/>
      <c r="C11" s="385"/>
      <c r="D11" s="389"/>
      <c r="E11" s="368"/>
      <c r="F11" s="376"/>
      <c r="G11" s="381"/>
      <c r="H11" s="370"/>
      <c r="I11" s="370"/>
      <c r="J11" s="370"/>
      <c r="K11" s="370"/>
      <c r="L11" s="370"/>
      <c r="M11" s="370"/>
      <c r="N11" s="370"/>
      <c r="O11" s="370"/>
      <c r="P11" s="370"/>
      <c r="Q11" s="368"/>
      <c r="R11" s="368"/>
      <c r="S11" s="368"/>
      <c r="T11" s="368"/>
      <c r="U11" s="368"/>
    </row>
    <row r="12" spans="1:21" ht="15" x14ac:dyDescent="0.2">
      <c r="B12" s="368"/>
      <c r="C12" s="368"/>
      <c r="D12" s="369"/>
      <c r="E12" s="368"/>
      <c r="F12" s="783" t="s">
        <v>568</v>
      </c>
      <c r="G12" s="784"/>
      <c r="H12" s="787" t="s">
        <v>569</v>
      </c>
      <c r="I12" s="787"/>
      <c r="J12" s="390"/>
      <c r="K12" s="370"/>
      <c r="L12" s="370"/>
      <c r="M12" s="370"/>
      <c r="N12" s="370"/>
      <c r="O12" s="370"/>
      <c r="P12" s="370"/>
      <c r="Q12" s="368"/>
      <c r="R12" s="384"/>
      <c r="S12" s="368"/>
      <c r="T12" s="368"/>
      <c r="U12" s="368"/>
    </row>
    <row r="13" spans="1:21" ht="16" x14ac:dyDescent="0.2">
      <c r="B13" s="391" t="str">
        <f>IF(D4="Equity Multiple","Promote Structure (Equity Multiple Hurdles)","Promote Structure (IRR Hurdles)")</f>
        <v>Promote Structure (IRR Hurdles)</v>
      </c>
      <c r="C13" s="392"/>
      <c r="D13" s="393"/>
      <c r="E13" s="392"/>
      <c r="F13" s="785"/>
      <c r="G13" s="786"/>
      <c r="H13" s="394" t="s">
        <v>570</v>
      </c>
      <c r="I13" s="395" t="s">
        <v>571</v>
      </c>
      <c r="J13" s="396" t="s">
        <v>102</v>
      </c>
      <c r="K13" s="397"/>
      <c r="L13" s="397"/>
      <c r="M13" s="397"/>
      <c r="N13" s="397"/>
      <c r="O13" s="370"/>
      <c r="P13" s="370"/>
      <c r="Q13" s="368"/>
      <c r="R13" s="368"/>
      <c r="S13" s="368"/>
      <c r="T13" s="368"/>
      <c r="U13" s="368"/>
    </row>
    <row r="14" spans="1:21" ht="15" x14ac:dyDescent="0.2">
      <c r="B14" s="368" t="s">
        <v>572</v>
      </c>
      <c r="C14" s="398" t="s">
        <v>573</v>
      </c>
      <c r="D14" s="399" t="s">
        <v>574</v>
      </c>
      <c r="E14" s="400">
        <f>IF($D$4="Equity Multiple",C15,D15)</f>
        <v>7.0000000000000007E-2</v>
      </c>
      <c r="F14" s="401" t="s">
        <v>575</v>
      </c>
      <c r="G14" s="402"/>
      <c r="H14" s="403">
        <f>Equity_Share_Sponsor</f>
        <v>0.05</v>
      </c>
      <c r="I14" s="385">
        <f>1-H14</f>
        <v>0.95</v>
      </c>
      <c r="J14" s="788" t="str">
        <f>IF(I14=Equity_Share_LP,"Pref prorata to LP/GP, then Pro rata return of capital",IF(CU?,"Return of capital and Pref NOT pro rata + GP Catch Up","Return of capital and Pref NOT pro rata"))</f>
        <v>Pref prorata to LP/GP, then Pro rata return of capital</v>
      </c>
      <c r="K14" s="789"/>
      <c r="L14" s="789"/>
      <c r="M14" s="789"/>
      <c r="N14" s="789"/>
      <c r="O14" s="370"/>
      <c r="P14" s="370"/>
      <c r="Q14" s="368"/>
      <c r="R14" s="404"/>
      <c r="S14" s="368"/>
      <c r="T14" s="368"/>
      <c r="U14" s="368"/>
    </row>
    <row r="15" spans="1:21" ht="15" x14ac:dyDescent="0.2">
      <c r="B15" s="368" t="s">
        <v>576</v>
      </c>
      <c r="C15" s="405">
        <v>2</v>
      </c>
      <c r="D15" s="406">
        <v>7.0000000000000007E-2</v>
      </c>
      <c r="E15" s="407">
        <f t="shared" ref="E15:E16" si="0">IF($D$4="Equity Multiple",C16,D16)</f>
        <v>0.15</v>
      </c>
      <c r="F15" s="403">
        <v>0.4</v>
      </c>
      <c r="G15" s="408"/>
      <c r="H15" s="409">
        <f>1-(Equity_Share_LP*(1-F15))</f>
        <v>0.43000000000000005</v>
      </c>
      <c r="I15" s="385">
        <f t="shared" ref="I15:I17" si="1">1-H15</f>
        <v>0.56999999999999995</v>
      </c>
      <c r="J15" s="780" t="str">
        <f>IF(Equity_Share_Sponsor&lt;&gt;H14,TEXT(I14,"0.0%")&amp;"/"&amp;TEXT(H14,"0.0%")&amp;" to "&amp;(IF(D4="IRR",TEXT(E14,"0.0%"),TEXT(E14,"0.0X")))&amp;", then "&amp;TEXT(I15,"0.0%")&amp;"/"&amp;TEXT(H15,"0.0%")&amp;" to "&amp;(IF(D4="IRR",TEXT(E15,"0.0%"),TEXT(E15,"0.0X"))),"Prorata to LP/GP to "&amp;(IF(D4="IRR",TEXT(E14,"0.0%"),TEXT(E14,"0.0X")))&amp;", then "&amp;TEXT(I15,"0.0%")&amp;"/"&amp;TEXT(H15,"0.0%")&amp;" to "&amp;(IF(D4="IRR",TEXT(E15,"0.0%"),TEXT(E15,"0.0X"))))</f>
        <v>Prorata to LP/GP to 7.0%, then 57.0%/43.0% to 15.0%</v>
      </c>
      <c r="K15" s="781"/>
      <c r="L15" s="781"/>
      <c r="M15" s="781"/>
      <c r="N15" s="781"/>
      <c r="O15" s="370"/>
      <c r="P15" s="370"/>
      <c r="Q15" s="368"/>
      <c r="R15" s="368"/>
      <c r="S15" s="368"/>
      <c r="T15" s="368"/>
      <c r="U15" s="368"/>
    </row>
    <row r="16" spans="1:21" ht="15" x14ac:dyDescent="0.2">
      <c r="B16" s="368" t="s">
        <v>577</v>
      </c>
      <c r="C16" s="405">
        <v>2.5</v>
      </c>
      <c r="D16" s="406">
        <v>0.15</v>
      </c>
      <c r="E16" s="407">
        <f t="shared" si="0"/>
        <v>0.99</v>
      </c>
      <c r="F16" s="403">
        <v>0.5</v>
      </c>
      <c r="G16" s="408"/>
      <c r="H16" s="409">
        <f>1-(Equity_Share_LP*(1-F16))</f>
        <v>0.52500000000000002</v>
      </c>
      <c r="I16" s="385">
        <f t="shared" si="1"/>
        <v>0.47499999999999998</v>
      </c>
      <c r="J16" s="780" t="str">
        <f>TEXT(I15,"0.0%")&amp;"/"&amp;TEXT(H15,"0.0%")&amp;" to "&amp;(IF(D4="IRR",TEXT(E15,"0.0%"),TEXT(E15,"0.0X")))&amp;", then "&amp;TEXT(I16,"0.0%")&amp;"/"&amp;TEXT(H16,"0.0%")&amp;" to "&amp;(IF(D4="IRR",TEXT(E16,"0.0%"),TEXT(E16,"0.0X")))</f>
        <v>57.0%/43.0% to 15.0%, then 47.5%/52.5% to 99.0%</v>
      </c>
      <c r="K16" s="781"/>
      <c r="L16" s="781"/>
      <c r="M16" s="781"/>
      <c r="N16" s="781"/>
      <c r="O16" s="370"/>
      <c r="P16" s="370"/>
      <c r="Q16" s="368"/>
      <c r="R16" s="410"/>
      <c r="S16" s="368"/>
      <c r="T16" s="368"/>
      <c r="U16" s="368"/>
    </row>
    <row r="17" spans="2:21" ht="15" x14ac:dyDescent="0.2">
      <c r="B17" s="368" t="s">
        <v>578</v>
      </c>
      <c r="C17" s="405">
        <v>3</v>
      </c>
      <c r="D17" s="406">
        <v>0.99</v>
      </c>
      <c r="E17" s="407"/>
      <c r="F17" s="403">
        <v>0.5</v>
      </c>
      <c r="G17" s="408"/>
      <c r="H17" s="409">
        <f>1-(Equity_Share_LP*(1-F17))</f>
        <v>0.52500000000000002</v>
      </c>
      <c r="I17" s="385">
        <f t="shared" si="1"/>
        <v>0.47499999999999998</v>
      </c>
      <c r="J17" s="780" t="str">
        <f>TEXT(I16,"0.0%")&amp;"/"&amp;TEXT(H16,"0.0%")&amp;" to "&amp;(IF(D4="IRR",TEXT(E16,"0.0%"),TEXT(E16,"0.0X")))&amp;", then "&amp;TEXT(I17,"0.0%")&amp;"/"&amp;TEXT(H17,"0.0%")&amp;" thereafter"</f>
        <v>47.5%/52.5% to 99.0%, then 47.5%/52.5% thereafter</v>
      </c>
      <c r="K17" s="781"/>
      <c r="L17" s="781"/>
      <c r="M17" s="781"/>
      <c r="N17" s="781"/>
      <c r="O17" s="370"/>
      <c r="P17" s="370"/>
      <c r="Q17" s="368"/>
      <c r="R17" s="368"/>
      <c r="S17" s="368"/>
      <c r="T17" s="368"/>
      <c r="U17" s="368"/>
    </row>
    <row r="18" spans="2:21" ht="5" customHeight="1" x14ac:dyDescent="0.2">
      <c r="B18" s="368"/>
      <c r="C18" s="368"/>
      <c r="D18" s="411"/>
      <c r="E18" s="407"/>
      <c r="F18" s="381"/>
      <c r="G18" s="412"/>
      <c r="H18" s="413"/>
      <c r="I18" s="413"/>
      <c r="J18" s="370"/>
      <c r="K18" s="370"/>
      <c r="L18" s="370"/>
      <c r="M18" s="370"/>
      <c r="N18" s="370"/>
      <c r="O18" s="370"/>
      <c r="P18" s="370"/>
      <c r="Q18" s="368"/>
      <c r="R18" s="368"/>
      <c r="S18" s="368"/>
      <c r="T18" s="368"/>
      <c r="U18" s="368"/>
    </row>
    <row r="19" spans="2:21" ht="16" x14ac:dyDescent="0.2">
      <c r="B19" s="391" t="s">
        <v>579</v>
      </c>
      <c r="C19" s="392"/>
      <c r="D19" s="414"/>
      <c r="E19" s="415"/>
      <c r="F19" s="416">
        <v>0</v>
      </c>
      <c r="G19" s="416">
        <f ca="1">IF(G39="","",F19+1)</f>
        <v>1</v>
      </c>
      <c r="H19" s="416">
        <f t="shared" ref="H19:U19" ca="1" si="2">IF(H39="","",G19+1)</f>
        <v>2</v>
      </c>
      <c r="I19" s="416">
        <f t="shared" ca="1" si="2"/>
        <v>3</v>
      </c>
      <c r="J19" s="416">
        <f t="shared" ca="1" si="2"/>
        <v>4</v>
      </c>
      <c r="K19" s="416">
        <f t="shared" ca="1" si="2"/>
        <v>5</v>
      </c>
      <c r="L19" s="416">
        <f t="shared" ca="1" si="2"/>
        <v>6</v>
      </c>
      <c r="M19" s="416">
        <f t="shared" ca="1" si="2"/>
        <v>7</v>
      </c>
      <c r="N19" s="416">
        <f t="shared" ca="1" si="2"/>
        <v>8</v>
      </c>
      <c r="O19" s="416">
        <f t="shared" ca="1" si="2"/>
        <v>9</v>
      </c>
      <c r="P19" s="416">
        <f t="shared" ca="1" si="2"/>
        <v>10</v>
      </c>
      <c r="Q19" s="416" t="str">
        <f t="shared" si="2"/>
        <v/>
      </c>
      <c r="R19" s="416" t="str">
        <f t="shared" si="2"/>
        <v/>
      </c>
      <c r="S19" s="416" t="str">
        <f t="shared" si="2"/>
        <v/>
      </c>
      <c r="T19" s="416" t="str">
        <f t="shared" si="2"/>
        <v/>
      </c>
      <c r="U19" s="416" t="str">
        <f t="shared" si="2"/>
        <v/>
      </c>
    </row>
    <row r="20" spans="2:21" ht="15" x14ac:dyDescent="0.2">
      <c r="B20" s="417" t="s">
        <v>580</v>
      </c>
      <c r="C20" s="368"/>
      <c r="D20" s="411"/>
      <c r="E20" s="407"/>
      <c r="F20" s="418"/>
      <c r="G20" s="419"/>
      <c r="H20" s="420"/>
      <c r="I20" s="420"/>
      <c r="J20" s="369"/>
      <c r="K20" s="369"/>
      <c r="L20" s="369"/>
      <c r="M20" s="369"/>
      <c r="N20" s="369"/>
      <c r="O20" s="369"/>
      <c r="P20" s="369"/>
      <c r="Q20" s="369"/>
      <c r="R20" s="369"/>
      <c r="S20" s="369"/>
      <c r="T20" s="369"/>
      <c r="U20" s="369"/>
    </row>
    <row r="21" spans="2:21" ht="15" x14ac:dyDescent="0.2">
      <c r="B21" s="421" t="s">
        <v>581</v>
      </c>
      <c r="C21" s="368"/>
      <c r="D21" s="422">
        <f ca="1">SUM(F21:U21)</f>
        <v>9728287.271174226</v>
      </c>
      <c r="E21" s="407"/>
      <c r="F21" s="375">
        <f t="shared" ref="F21:U21" si="3">IF(F19="","",F60+F82+F97+F104)</f>
        <v>0</v>
      </c>
      <c r="G21" s="375">
        <f t="shared" ca="1" si="3"/>
        <v>188882.04950000005</v>
      </c>
      <c r="H21" s="375">
        <f t="shared" ca="1" si="3"/>
        <v>580558.74099000019</v>
      </c>
      <c r="I21" s="375">
        <f t="shared" ca="1" si="3"/>
        <v>916738.13637679687</v>
      </c>
      <c r="J21" s="375">
        <f t="shared" ca="1" si="3"/>
        <v>5204624.344834731</v>
      </c>
      <c r="K21" s="375">
        <f t="shared" ca="1" si="3"/>
        <v>450866.77388251916</v>
      </c>
      <c r="L21" s="375">
        <f t="shared" ca="1" si="3"/>
        <v>480498.87132181582</v>
      </c>
      <c r="M21" s="375">
        <f t="shared" ca="1" si="3"/>
        <v>511453.94853132317</v>
      </c>
      <c r="N21" s="375">
        <f t="shared" ca="1" si="3"/>
        <v>543787.67861930223</v>
      </c>
      <c r="O21" s="375">
        <f t="shared" ca="1" si="3"/>
        <v>509151.02988391218</v>
      </c>
      <c r="P21" s="375">
        <f t="shared" ca="1" si="3"/>
        <v>341725.69723382511</v>
      </c>
      <c r="Q21" s="375" t="str">
        <f t="shared" si="3"/>
        <v/>
      </c>
      <c r="R21" s="375" t="str">
        <f t="shared" si="3"/>
        <v/>
      </c>
      <c r="S21" s="375" t="str">
        <f t="shared" si="3"/>
        <v/>
      </c>
      <c r="T21" s="375" t="str">
        <f t="shared" si="3"/>
        <v/>
      </c>
      <c r="U21" s="375" t="str">
        <f t="shared" si="3"/>
        <v/>
      </c>
    </row>
    <row r="22" spans="2:21" ht="15" x14ac:dyDescent="0.2">
      <c r="B22" s="421" t="s">
        <v>582</v>
      </c>
      <c r="C22" s="368"/>
      <c r="D22" s="422">
        <f ca="1">SUM(F22:U22)</f>
        <v>5031200</v>
      </c>
      <c r="E22" s="407"/>
      <c r="F22" s="375">
        <f t="shared" ref="F22:U22" si="4">F56</f>
        <v>5031200</v>
      </c>
      <c r="G22" s="375">
        <f t="shared" ca="1" si="4"/>
        <v>0</v>
      </c>
      <c r="H22" s="375">
        <f t="shared" ca="1" si="4"/>
        <v>0</v>
      </c>
      <c r="I22" s="375">
        <f t="shared" ca="1" si="4"/>
        <v>0</v>
      </c>
      <c r="J22" s="375">
        <f t="shared" ca="1" si="4"/>
        <v>0</v>
      </c>
      <c r="K22" s="375">
        <f t="shared" ca="1" si="4"/>
        <v>0</v>
      </c>
      <c r="L22" s="375">
        <f t="shared" ca="1" si="4"/>
        <v>0</v>
      </c>
      <c r="M22" s="375">
        <f t="shared" ca="1" si="4"/>
        <v>0</v>
      </c>
      <c r="N22" s="375">
        <f t="shared" ca="1" si="4"/>
        <v>0</v>
      </c>
      <c r="O22" s="375">
        <f t="shared" ca="1" si="4"/>
        <v>0</v>
      </c>
      <c r="P22" s="375">
        <f t="shared" ca="1" si="4"/>
        <v>0</v>
      </c>
      <c r="Q22" s="375" t="str">
        <f t="shared" si="4"/>
        <v/>
      </c>
      <c r="R22" s="375" t="str">
        <f t="shared" si="4"/>
        <v/>
      </c>
      <c r="S22" s="375" t="str">
        <f t="shared" si="4"/>
        <v/>
      </c>
      <c r="T22" s="375" t="str">
        <f t="shared" si="4"/>
        <v/>
      </c>
      <c r="U22" s="375" t="str">
        <f t="shared" si="4"/>
        <v/>
      </c>
    </row>
    <row r="23" spans="2:21" ht="15" x14ac:dyDescent="0.2">
      <c r="B23" s="421" t="s">
        <v>583</v>
      </c>
      <c r="C23" s="368"/>
      <c r="D23" s="422">
        <f ca="1">D21-D22</f>
        <v>4697087.271174226</v>
      </c>
      <c r="E23" s="407"/>
      <c r="F23" s="418"/>
      <c r="G23" s="419"/>
      <c r="H23" s="420"/>
      <c r="I23" s="420"/>
      <c r="J23" s="369"/>
      <c r="K23" s="369"/>
      <c r="L23" s="369"/>
      <c r="M23" s="369"/>
      <c r="N23" s="369"/>
      <c r="O23" s="369"/>
      <c r="P23" s="369"/>
      <c r="Q23" s="369"/>
      <c r="R23" s="369"/>
      <c r="S23" s="369"/>
      <c r="T23" s="369"/>
      <c r="U23" s="369"/>
    </row>
    <row r="24" spans="2:21" ht="15" x14ac:dyDescent="0.2">
      <c r="B24" s="421" t="s">
        <v>584</v>
      </c>
      <c r="C24" s="368"/>
      <c r="D24" s="423">
        <f ca="1">IRR(F24:U24)</f>
        <v>0.15972143347506274</v>
      </c>
      <c r="E24" s="407"/>
      <c r="F24" s="375">
        <f t="shared" ref="F24:U24" si="5">IF(F19="","",(-F22)+F21)</f>
        <v>-5031200</v>
      </c>
      <c r="G24" s="375">
        <f t="shared" ca="1" si="5"/>
        <v>188882.04950000005</v>
      </c>
      <c r="H24" s="375">
        <f t="shared" ca="1" si="5"/>
        <v>580558.74099000019</v>
      </c>
      <c r="I24" s="375">
        <f t="shared" ca="1" si="5"/>
        <v>916738.13637679687</v>
      </c>
      <c r="J24" s="375">
        <f t="shared" ca="1" si="5"/>
        <v>5204624.344834731</v>
      </c>
      <c r="K24" s="375">
        <f t="shared" ca="1" si="5"/>
        <v>450866.77388251916</v>
      </c>
      <c r="L24" s="375">
        <f t="shared" ca="1" si="5"/>
        <v>480498.87132181582</v>
      </c>
      <c r="M24" s="375">
        <f t="shared" ca="1" si="5"/>
        <v>511453.94853132317</v>
      </c>
      <c r="N24" s="375">
        <f t="shared" ca="1" si="5"/>
        <v>543787.67861930223</v>
      </c>
      <c r="O24" s="375">
        <f t="shared" ca="1" si="5"/>
        <v>509151.02988391218</v>
      </c>
      <c r="P24" s="375">
        <f t="shared" ca="1" si="5"/>
        <v>341725.69723382511</v>
      </c>
      <c r="Q24" s="375" t="str">
        <f t="shared" si="5"/>
        <v/>
      </c>
      <c r="R24" s="375" t="str">
        <f t="shared" si="5"/>
        <v/>
      </c>
      <c r="S24" s="375" t="str">
        <f t="shared" si="5"/>
        <v/>
      </c>
      <c r="T24" s="375" t="str">
        <f t="shared" si="5"/>
        <v/>
      </c>
      <c r="U24" s="375" t="str">
        <f t="shared" si="5"/>
        <v/>
      </c>
    </row>
    <row r="25" spans="2:21" ht="15" x14ac:dyDescent="0.2">
      <c r="B25" s="421" t="s">
        <v>585</v>
      </c>
      <c r="C25" s="368"/>
      <c r="D25" s="424">
        <f ca="1">D21/D22</f>
        <v>1.9335918411460935</v>
      </c>
      <c r="E25" s="407"/>
      <c r="F25" s="418"/>
      <c r="G25" s="419"/>
      <c r="H25" s="420"/>
      <c r="I25" s="420"/>
      <c r="J25" s="369"/>
      <c r="K25" s="369"/>
      <c r="L25" s="369"/>
      <c r="M25" s="369"/>
      <c r="N25" s="369"/>
      <c r="O25" s="369"/>
      <c r="P25" s="369"/>
      <c r="Q25" s="369"/>
      <c r="R25" s="369"/>
      <c r="S25" s="369"/>
      <c r="T25" s="369"/>
      <c r="U25" s="369"/>
    </row>
    <row r="26" spans="2:21" ht="5" customHeight="1" x14ac:dyDescent="0.2">
      <c r="B26" s="421"/>
      <c r="C26" s="368"/>
      <c r="D26" s="411"/>
      <c r="E26" s="407"/>
      <c r="F26" s="418"/>
      <c r="G26" s="419"/>
      <c r="H26" s="420"/>
      <c r="I26" s="420"/>
      <c r="J26" s="369"/>
      <c r="K26" s="369"/>
      <c r="L26" s="369"/>
      <c r="M26" s="369"/>
      <c r="N26" s="369"/>
      <c r="O26" s="369"/>
      <c r="P26" s="369"/>
      <c r="Q26" s="369"/>
      <c r="R26" s="369"/>
      <c r="S26" s="369"/>
      <c r="T26" s="369"/>
      <c r="U26" s="369"/>
    </row>
    <row r="27" spans="2:21" ht="15" x14ac:dyDescent="0.2">
      <c r="B27" s="417" t="s">
        <v>586</v>
      </c>
      <c r="C27" s="368"/>
      <c r="D27" s="411"/>
      <c r="E27" s="407"/>
      <c r="F27" s="418"/>
      <c r="G27" s="419"/>
      <c r="H27" s="420"/>
      <c r="I27" s="420"/>
      <c r="J27" s="369"/>
      <c r="K27" s="369"/>
      <c r="L27" s="369"/>
      <c r="M27" s="369"/>
      <c r="N27" s="369"/>
      <c r="O27" s="369"/>
      <c r="P27" s="369"/>
      <c r="Q27" s="369"/>
      <c r="R27" s="369"/>
      <c r="S27" s="369"/>
      <c r="T27" s="369"/>
      <c r="U27" s="369"/>
    </row>
    <row r="28" spans="2:21" s="430" customFormat="1" ht="15" x14ac:dyDescent="0.2">
      <c r="B28" s="425" t="s">
        <v>587</v>
      </c>
      <c r="C28" s="426"/>
      <c r="D28" s="427">
        <f ca="1">SUM(F28:U28)</f>
        <v>3084711.200582887</v>
      </c>
      <c r="E28" s="428"/>
      <c r="F28" s="429">
        <f t="shared" ref="F28:U28" si="6">IF(F19="","",F65+F83+F98+F105)</f>
        <v>0</v>
      </c>
      <c r="G28" s="429">
        <f t="shared" ca="1" si="6"/>
        <v>9941.1605000000036</v>
      </c>
      <c r="H28" s="429">
        <f t="shared" ca="1" si="6"/>
        <v>30555.723210000062</v>
      </c>
      <c r="I28" s="429">
        <f t="shared" ca="1" si="6"/>
        <v>48249.375598778788</v>
      </c>
      <c r="J28" s="429">
        <f t="shared" ca="1" si="6"/>
        <v>615490.82542707911</v>
      </c>
      <c r="K28" s="429">
        <f t="shared" ca="1" si="6"/>
        <v>340127.56626225141</v>
      </c>
      <c r="L28" s="429">
        <f t="shared" ca="1" si="6"/>
        <v>362481.60468136991</v>
      </c>
      <c r="M28" s="429">
        <f t="shared" ca="1" si="6"/>
        <v>385833.68047099822</v>
      </c>
      <c r="N28" s="429">
        <f t="shared" ca="1" si="6"/>
        <v>410225.79264263157</v>
      </c>
      <c r="O28" s="429">
        <f t="shared" ca="1" si="6"/>
        <v>504108.64853134018</v>
      </c>
      <c r="P28" s="429">
        <f t="shared" ca="1" si="6"/>
        <v>377696.82325843826</v>
      </c>
      <c r="Q28" s="429" t="str">
        <f t="shared" si="6"/>
        <v/>
      </c>
      <c r="R28" s="429" t="str">
        <f t="shared" si="6"/>
        <v/>
      </c>
      <c r="S28" s="429" t="str">
        <f t="shared" si="6"/>
        <v/>
      </c>
      <c r="T28" s="429" t="str">
        <f t="shared" si="6"/>
        <v/>
      </c>
      <c r="U28" s="429" t="str">
        <f t="shared" si="6"/>
        <v/>
      </c>
    </row>
    <row r="29" spans="2:21" ht="15" x14ac:dyDescent="0.2">
      <c r="B29" s="421" t="s">
        <v>588</v>
      </c>
      <c r="C29" s="368"/>
      <c r="D29" s="422"/>
      <c r="E29" s="407"/>
      <c r="F29" s="375"/>
      <c r="G29" s="375">
        <f t="shared" ref="G29:U29" ca="1" si="7">IF(ISERROR((+G21/Equity_Share_LP*Equity_Share_Sponsor)),"-",(+G21/Equity_Share_LP*Equity_Share_Sponsor))</f>
        <v>9941.1605000000036</v>
      </c>
      <c r="H29" s="375">
        <f t="shared" ca="1" si="7"/>
        <v>30555.723210000015</v>
      </c>
      <c r="I29" s="375">
        <f t="shared" ca="1" si="7"/>
        <v>48249.375598778788</v>
      </c>
      <c r="J29" s="375">
        <f t="shared" ca="1" si="7"/>
        <v>273927.59709656483</v>
      </c>
      <c r="K29" s="375">
        <f t="shared" ca="1" si="7"/>
        <v>23729.830204343118</v>
      </c>
      <c r="L29" s="375">
        <f t="shared" ca="1" si="7"/>
        <v>25289.414280095574</v>
      </c>
      <c r="M29" s="375">
        <f t="shared" ca="1" si="7"/>
        <v>26918.628870069646</v>
      </c>
      <c r="N29" s="375">
        <f t="shared" ca="1" si="7"/>
        <v>28620.404137858015</v>
      </c>
      <c r="O29" s="375">
        <f t="shared" ca="1" si="7"/>
        <v>26797.422625469062</v>
      </c>
      <c r="P29" s="375">
        <f t="shared" ca="1" si="7"/>
        <v>17985.563012306586</v>
      </c>
      <c r="Q29" s="375" t="str">
        <f t="shared" si="7"/>
        <v>-</v>
      </c>
      <c r="R29" s="375" t="str">
        <f t="shared" si="7"/>
        <v>-</v>
      </c>
      <c r="S29" s="375" t="str">
        <f t="shared" si="7"/>
        <v>-</v>
      </c>
      <c r="T29" s="375" t="str">
        <f t="shared" si="7"/>
        <v>-</v>
      </c>
      <c r="U29" s="375" t="str">
        <f t="shared" si="7"/>
        <v>-</v>
      </c>
    </row>
    <row r="30" spans="2:21" ht="15" x14ac:dyDescent="0.2">
      <c r="B30" s="421" t="s">
        <v>589</v>
      </c>
      <c r="C30" s="368"/>
      <c r="D30" s="422"/>
      <c r="E30" s="407"/>
      <c r="F30" s="375"/>
      <c r="G30" s="375">
        <f ca="1">IF(ISERROR((+G28-G29)),"-",(+G28-G29))</f>
        <v>0</v>
      </c>
      <c r="H30" s="375">
        <f t="shared" ref="H30:U30" ca="1" si="8">IF(ISERROR((+H28-H29)),"-",(+H28-H29))</f>
        <v>4.7293724492192268E-11</v>
      </c>
      <c r="I30" s="375">
        <f t="shared" ca="1" si="8"/>
        <v>0</v>
      </c>
      <c r="J30" s="375">
        <f t="shared" ca="1" si="8"/>
        <v>341563.22833051428</v>
      </c>
      <c r="K30" s="375">
        <f t="shared" ca="1" si="8"/>
        <v>316397.73605790827</v>
      </c>
      <c r="L30" s="375">
        <f t="shared" ca="1" si="8"/>
        <v>337192.19040127436</v>
      </c>
      <c r="M30" s="375">
        <f t="shared" ca="1" si="8"/>
        <v>358915.05160092859</v>
      </c>
      <c r="N30" s="375">
        <f t="shared" ca="1" si="8"/>
        <v>381605.38850477355</v>
      </c>
      <c r="O30" s="375">
        <f t="shared" ca="1" si="8"/>
        <v>477311.22590587114</v>
      </c>
      <c r="P30" s="375">
        <f t="shared" ca="1" si="8"/>
        <v>359711.26024613169</v>
      </c>
      <c r="Q30" s="375" t="str">
        <f t="shared" si="8"/>
        <v>-</v>
      </c>
      <c r="R30" s="375" t="str">
        <f t="shared" si="8"/>
        <v>-</v>
      </c>
      <c r="S30" s="375" t="str">
        <f t="shared" si="8"/>
        <v>-</v>
      </c>
      <c r="T30" s="375" t="str">
        <f t="shared" si="8"/>
        <v>-</v>
      </c>
      <c r="U30" s="375" t="str">
        <f t="shared" si="8"/>
        <v>-</v>
      </c>
    </row>
    <row r="31" spans="2:21" ht="15" x14ac:dyDescent="0.2">
      <c r="B31" s="421" t="s">
        <v>590</v>
      </c>
      <c r="C31" s="368"/>
      <c r="D31" s="422">
        <f ca="1">SUM(F31:U31)</f>
        <v>910268.26384893456</v>
      </c>
      <c r="E31" s="407"/>
      <c r="F31" s="375">
        <f>IF(F19="","",SUM(F40:F42))</f>
        <v>200000</v>
      </c>
      <c r="G31" s="375">
        <f t="shared" ref="G31:U31" ca="1" si="9">IF(G19="","",SUM(G40:G42))</f>
        <v>50500</v>
      </c>
      <c r="H31" s="375">
        <f t="shared" ca="1" si="9"/>
        <v>50500</v>
      </c>
      <c r="I31" s="375">
        <f t="shared" ca="1" si="9"/>
        <v>50500</v>
      </c>
      <c r="J31" s="375">
        <f t="shared" ca="1" si="9"/>
        <v>50500</v>
      </c>
      <c r="K31" s="375">
        <f t="shared" ca="1" si="9"/>
        <v>50500</v>
      </c>
      <c r="L31" s="375">
        <f t="shared" ca="1" si="9"/>
        <v>50500</v>
      </c>
      <c r="M31" s="375">
        <f t="shared" ca="1" si="9"/>
        <v>50500</v>
      </c>
      <c r="N31" s="375">
        <f t="shared" ca="1" si="9"/>
        <v>50500</v>
      </c>
      <c r="O31" s="375">
        <f t="shared" ca="1" si="9"/>
        <v>50500</v>
      </c>
      <c r="P31" s="375">
        <f t="shared" ca="1" si="9"/>
        <v>255768.26384893453</v>
      </c>
      <c r="Q31" s="375" t="str">
        <f t="shared" si="9"/>
        <v/>
      </c>
      <c r="R31" s="375" t="str">
        <f t="shared" si="9"/>
        <v/>
      </c>
      <c r="S31" s="375" t="str">
        <f t="shared" si="9"/>
        <v/>
      </c>
      <c r="T31" s="375" t="str">
        <f t="shared" si="9"/>
        <v/>
      </c>
      <c r="U31" s="375" t="str">
        <f t="shared" si="9"/>
        <v/>
      </c>
    </row>
    <row r="32" spans="2:21" ht="15" x14ac:dyDescent="0.2">
      <c r="B32" s="421" t="s">
        <v>591</v>
      </c>
      <c r="C32" s="368"/>
      <c r="D32" s="422">
        <f ca="1">SUM(F32:U32)</f>
        <v>264800</v>
      </c>
      <c r="E32" s="407"/>
      <c r="F32" s="375">
        <f t="shared" ref="F32:U32" si="10">IF(F19="","",-(MIN(F47,0)+F56))</f>
        <v>264800</v>
      </c>
      <c r="G32" s="375">
        <f t="shared" ca="1" si="10"/>
        <v>0</v>
      </c>
      <c r="H32" s="375">
        <f t="shared" ca="1" si="10"/>
        <v>0</v>
      </c>
      <c r="I32" s="375">
        <f t="shared" ca="1" si="10"/>
        <v>0</v>
      </c>
      <c r="J32" s="375">
        <f t="shared" ca="1" si="10"/>
        <v>0</v>
      </c>
      <c r="K32" s="375">
        <f t="shared" ca="1" si="10"/>
        <v>0</v>
      </c>
      <c r="L32" s="375">
        <f t="shared" ca="1" si="10"/>
        <v>0</v>
      </c>
      <c r="M32" s="375">
        <f t="shared" ca="1" si="10"/>
        <v>0</v>
      </c>
      <c r="N32" s="375">
        <f t="shared" ca="1" si="10"/>
        <v>0</v>
      </c>
      <c r="O32" s="375">
        <f t="shared" ca="1" si="10"/>
        <v>0</v>
      </c>
      <c r="P32" s="375">
        <f t="shared" ca="1" si="10"/>
        <v>0</v>
      </c>
      <c r="Q32" s="375" t="str">
        <f t="shared" si="10"/>
        <v/>
      </c>
      <c r="R32" s="375" t="str">
        <f t="shared" si="10"/>
        <v/>
      </c>
      <c r="S32" s="375" t="str">
        <f t="shared" si="10"/>
        <v/>
      </c>
      <c r="T32" s="375" t="str">
        <f t="shared" si="10"/>
        <v/>
      </c>
      <c r="U32" s="375" t="str">
        <f t="shared" si="10"/>
        <v/>
      </c>
    </row>
    <row r="33" spans="2:25" ht="15" x14ac:dyDescent="0.2">
      <c r="B33" s="421" t="s">
        <v>592</v>
      </c>
      <c r="C33" s="368"/>
      <c r="D33" s="422">
        <f ca="1">+D28+D31-D32</f>
        <v>3730179.4644318214</v>
      </c>
      <c r="E33" s="407"/>
      <c r="F33" s="418"/>
      <c r="G33" s="419"/>
      <c r="H33" s="420"/>
      <c r="I33" s="420"/>
      <c r="J33" s="369"/>
      <c r="K33" s="369"/>
      <c r="L33" s="369"/>
      <c r="M33" s="369"/>
      <c r="N33" s="369"/>
      <c r="O33" s="369"/>
      <c r="P33" s="369"/>
      <c r="Q33" s="369"/>
      <c r="R33" s="369"/>
      <c r="S33" s="369"/>
      <c r="T33" s="369"/>
      <c r="U33" s="369"/>
    </row>
    <row r="34" spans="2:25" ht="15" x14ac:dyDescent="0.2">
      <c r="B34" s="421" t="s">
        <v>593</v>
      </c>
      <c r="C34" s="368"/>
      <c r="D34" s="423">
        <f ca="1">IRR(F34:U34)</f>
        <v>1.5385877700539892</v>
      </c>
      <c r="E34" s="407"/>
      <c r="F34" s="375">
        <f>IF(F19="","",(-F32)+F28+F31)</f>
        <v>-64800</v>
      </c>
      <c r="G34" s="375">
        <f t="shared" ref="G34:U34" ca="1" si="11">IF(G19="","",(-G32)+G28+G31)</f>
        <v>60441.160500000005</v>
      </c>
      <c r="H34" s="375">
        <f t="shared" ca="1" si="11"/>
        <v>81055.723210000055</v>
      </c>
      <c r="I34" s="375">
        <f t="shared" ca="1" si="11"/>
        <v>98749.375598778788</v>
      </c>
      <c r="J34" s="375">
        <f t="shared" ca="1" si="11"/>
        <v>665990.82542707911</v>
      </c>
      <c r="K34" s="375">
        <f t="shared" ca="1" si="11"/>
        <v>390627.56626225141</v>
      </c>
      <c r="L34" s="375">
        <f t="shared" ca="1" si="11"/>
        <v>412981.60468136991</v>
      </c>
      <c r="M34" s="375">
        <f t="shared" ca="1" si="11"/>
        <v>436333.68047099822</v>
      </c>
      <c r="N34" s="375">
        <f t="shared" ca="1" si="11"/>
        <v>460725.79264263157</v>
      </c>
      <c r="O34" s="375">
        <f t="shared" ca="1" si="11"/>
        <v>554608.64853134018</v>
      </c>
      <c r="P34" s="375">
        <f t="shared" ca="1" si="11"/>
        <v>633465.08710737282</v>
      </c>
      <c r="Q34" s="375" t="str">
        <f t="shared" si="11"/>
        <v/>
      </c>
      <c r="R34" s="375" t="str">
        <f t="shared" si="11"/>
        <v/>
      </c>
      <c r="S34" s="375" t="str">
        <f t="shared" si="11"/>
        <v/>
      </c>
      <c r="T34" s="375" t="str">
        <f t="shared" si="11"/>
        <v/>
      </c>
      <c r="U34" s="375" t="str">
        <f t="shared" si="11"/>
        <v/>
      </c>
    </row>
    <row r="35" spans="2:25" ht="15" x14ac:dyDescent="0.2">
      <c r="B35" s="421" t="s">
        <v>594</v>
      </c>
      <c r="C35" s="368"/>
      <c r="D35" s="424">
        <f ca="1">D28/D32</f>
        <v>11.649211482563773</v>
      </c>
      <c r="E35" s="407"/>
      <c r="F35" s="418"/>
      <c r="G35" s="419"/>
      <c r="H35" s="420"/>
      <c r="I35" s="420"/>
      <c r="J35" s="369"/>
      <c r="K35" s="369"/>
      <c r="L35" s="369"/>
      <c r="M35" s="369"/>
      <c r="N35" s="369"/>
      <c r="O35" s="369"/>
      <c r="P35" s="369"/>
      <c r="Q35" s="369"/>
      <c r="R35" s="369"/>
      <c r="S35" s="369"/>
      <c r="T35" s="369"/>
      <c r="U35" s="369"/>
    </row>
    <row r="36" spans="2:25" ht="5" customHeight="1" x14ac:dyDescent="0.2">
      <c r="B36" s="431"/>
      <c r="C36" s="432"/>
      <c r="D36" s="433"/>
      <c r="E36" s="368"/>
      <c r="F36" s="369"/>
      <c r="G36" s="369"/>
      <c r="H36" s="369"/>
      <c r="I36" s="369"/>
      <c r="J36" s="369"/>
      <c r="K36" s="369"/>
      <c r="L36" s="369"/>
      <c r="M36" s="369"/>
      <c r="N36" s="369"/>
      <c r="O36" s="369"/>
      <c r="P36" s="369"/>
      <c r="Q36" s="369"/>
      <c r="R36" s="369"/>
      <c r="S36" s="369"/>
      <c r="T36" s="369"/>
      <c r="U36" s="369"/>
    </row>
    <row r="37" spans="2:25" ht="16" x14ac:dyDescent="0.2">
      <c r="B37" s="391" t="s">
        <v>595</v>
      </c>
      <c r="C37" s="392"/>
      <c r="D37" s="392"/>
      <c r="E37" s="397"/>
      <c r="F37" s="416">
        <v>0</v>
      </c>
      <c r="G37" s="416">
        <f t="shared" ref="G37:U37" si="12">IF(F37&gt;=$G$4,"",F37+1)</f>
        <v>1</v>
      </c>
      <c r="H37" s="416">
        <f t="shared" si="12"/>
        <v>2</v>
      </c>
      <c r="I37" s="416">
        <f t="shared" si="12"/>
        <v>3</v>
      </c>
      <c r="J37" s="416">
        <f t="shared" si="12"/>
        <v>4</v>
      </c>
      <c r="K37" s="416">
        <f t="shared" si="12"/>
        <v>5</v>
      </c>
      <c r="L37" s="416">
        <f t="shared" si="12"/>
        <v>6</v>
      </c>
      <c r="M37" s="416">
        <f t="shared" si="12"/>
        <v>7</v>
      </c>
      <c r="N37" s="416">
        <f t="shared" si="12"/>
        <v>8</v>
      </c>
      <c r="O37" s="416">
        <f t="shared" si="12"/>
        <v>9</v>
      </c>
      <c r="P37" s="416">
        <f t="shared" si="12"/>
        <v>10</v>
      </c>
      <c r="Q37" s="416" t="str">
        <f t="shared" si="12"/>
        <v/>
      </c>
      <c r="R37" s="416" t="str">
        <f t="shared" si="12"/>
        <v/>
      </c>
      <c r="S37" s="416" t="str">
        <f t="shared" si="12"/>
        <v/>
      </c>
      <c r="T37" s="416" t="str">
        <f t="shared" si="12"/>
        <v/>
      </c>
      <c r="U37" s="416" t="str">
        <f t="shared" si="12"/>
        <v/>
      </c>
      <c r="V37" s="434"/>
      <c r="W37" s="434"/>
      <c r="X37" s="434"/>
      <c r="Y37" s="434"/>
    </row>
    <row r="38" spans="2:25" ht="15" x14ac:dyDescent="0.2">
      <c r="B38" s="368"/>
      <c r="C38" s="368"/>
      <c r="D38" s="368"/>
      <c r="E38" s="376" t="s">
        <v>596</v>
      </c>
      <c r="F38" s="435">
        <f ca="1">EOMONTH(TODAY(),0)</f>
        <v>45930</v>
      </c>
      <c r="G38" s="436">
        <f ca="1">IF(G37="","",EOMONTH(F38,12))</f>
        <v>46295</v>
      </c>
      <c r="H38" s="436">
        <f t="shared" ref="H38:U38" ca="1" si="13">IF(H37="","",EOMONTH(G38,12))</f>
        <v>46660</v>
      </c>
      <c r="I38" s="436">
        <f t="shared" ca="1" si="13"/>
        <v>47026</v>
      </c>
      <c r="J38" s="436">
        <f t="shared" ca="1" si="13"/>
        <v>47391</v>
      </c>
      <c r="K38" s="436">
        <f t="shared" ca="1" si="13"/>
        <v>47756</v>
      </c>
      <c r="L38" s="436">
        <f t="shared" ca="1" si="13"/>
        <v>48121</v>
      </c>
      <c r="M38" s="436">
        <f t="shared" ca="1" si="13"/>
        <v>48487</v>
      </c>
      <c r="N38" s="436">
        <f t="shared" ca="1" si="13"/>
        <v>48852</v>
      </c>
      <c r="O38" s="436">
        <f t="shared" ca="1" si="13"/>
        <v>49217</v>
      </c>
      <c r="P38" s="436">
        <f t="shared" ca="1" si="13"/>
        <v>49582</v>
      </c>
      <c r="Q38" s="436" t="str">
        <f t="shared" si="13"/>
        <v/>
      </c>
      <c r="R38" s="436" t="str">
        <f t="shared" si="13"/>
        <v/>
      </c>
      <c r="S38" s="436" t="str">
        <f t="shared" si="13"/>
        <v/>
      </c>
      <c r="T38" s="436" t="str">
        <f t="shared" si="13"/>
        <v/>
      </c>
      <c r="U38" s="436" t="str">
        <f t="shared" si="13"/>
        <v/>
      </c>
      <c r="V38" s="434"/>
      <c r="W38" s="434"/>
      <c r="X38" s="434"/>
      <c r="Y38" s="434"/>
    </row>
    <row r="39" spans="2:25" ht="15" x14ac:dyDescent="0.2">
      <c r="B39" s="437" t="s">
        <v>597</v>
      </c>
      <c r="C39" s="368"/>
      <c r="D39" s="368"/>
      <c r="E39" s="404"/>
      <c r="F39" s="438">
        <f>Proforma!E115</f>
        <v>-5050000</v>
      </c>
      <c r="G39" s="438">
        <f ca="1">IF(G37="","",IF(G37=$G$4,Proforma!F115+Proforma!F104-Proforma!F99,Proforma!F115))</f>
        <v>254323.21000000005</v>
      </c>
      <c r="H39" s="438">
        <f ca="1">IF(H37="","",IF(H37=$G$4,Proforma!G115+Proforma!G104-Proforma!G99,Proforma!G115))</f>
        <v>666614.46420000016</v>
      </c>
      <c r="I39" s="438">
        <f ca="1">IF(I37="","",IF(I37=$G$4,Proforma!H115+Proforma!H104-Proforma!H99,Proforma!H115))</f>
        <v>1020487.5119755757</v>
      </c>
      <c r="J39" s="438">
        <f ca="1">IF(J37="","",IF(J37=$G$4,Proforma!I115+Proforma!I104-Proforma!I99,Proforma!I115))</f>
        <v>5875615.1702618105</v>
      </c>
      <c r="K39" s="438">
        <f ca="1">IF(K37="","",IF(K37=$G$4,Proforma!J115+Proforma!J104-Proforma!J99,Proforma!J115))</f>
        <v>846494.34014477057</v>
      </c>
      <c r="L39" s="438">
        <f ca="1">IF(L37="","",IF(L37=$G$4,Proforma!K115+Proforma!K104-Proforma!K99,Proforma!K115))</f>
        <v>898480.47600318573</v>
      </c>
      <c r="M39" s="438">
        <f ca="1">IF(M37="","",IF(M37=$G$4,Proforma!L115+Proforma!L104-Proforma!L99,Proforma!L115))</f>
        <v>952787.6290023214</v>
      </c>
      <c r="N39" s="438">
        <f ca="1">IF(N37="","",IF(N37=$G$4,Proforma!M115+Proforma!M104-Proforma!M99,Proforma!M115))</f>
        <v>1009513.4712619338</v>
      </c>
      <c r="O39" s="438">
        <f ca="1">IF(O37="","",IF(O37=$G$4,Proforma!N115+Proforma!N104-Proforma!N99,Proforma!N115))</f>
        <v>1068759.6784152524</v>
      </c>
      <c r="P39" s="438">
        <f ca="1">IF(P37="","",IF(P37=$G$4,Proforma!O115+Proforma!O104-Proforma!O99,Proforma!O115))</f>
        <v>1698629.7078124688</v>
      </c>
      <c r="Q39" s="438" t="str">
        <f>IF(Q37="","",IF(Q37=$G$4,Proforma!P115+Proforma!P104-Proforma!P99,Proforma!P115))</f>
        <v/>
      </c>
      <c r="R39" s="438" t="str">
        <f>IF(R37="","",IF(R37=$G$4,Proforma!Q115+Proforma!Q104-Proforma!Q99,Proforma!Q115))</f>
        <v/>
      </c>
      <c r="S39" s="438" t="str">
        <f>IF(S37="","",IF(S37=$G$4,Proforma!R115+Proforma!R104-Proforma!R99,Proforma!R115))</f>
        <v/>
      </c>
      <c r="T39" s="438" t="str">
        <f>IF(T37="","",IF(T37=$G$4,Proforma!S115+Proforma!S104-Proforma!S99,Proforma!S115))</f>
        <v/>
      </c>
      <c r="U39" s="438" t="str">
        <f>IF(U37="","",IF(U37=$G$4,Proforma!T115+Proforma!T104-Proforma!T99,Proforma!T115))</f>
        <v/>
      </c>
    </row>
    <row r="40" spans="2:25" ht="15" x14ac:dyDescent="0.2">
      <c r="B40" s="421" t="s">
        <v>598</v>
      </c>
      <c r="C40" s="439">
        <v>0.01</v>
      </c>
      <c r="D40" s="368"/>
      <c r="E40" s="404"/>
      <c r="F40" s="438">
        <v>0</v>
      </c>
      <c r="G40" s="438">
        <f ca="1">IF(G39="","",$C$40*(-Proforma!$E$115))</f>
        <v>50500</v>
      </c>
      <c r="H40" s="438">
        <f ca="1">IF(H39="","",$C$40*(-Proforma!$E$115))</f>
        <v>50500</v>
      </c>
      <c r="I40" s="438">
        <f ca="1">IF(I39="","",$C$40*(-Proforma!$E$115))</f>
        <v>50500</v>
      </c>
      <c r="J40" s="438">
        <f ca="1">IF(J39="","",$C$40*(-Proforma!$E$115))</f>
        <v>50500</v>
      </c>
      <c r="K40" s="438">
        <f ca="1">IF(K39="","",$C$40*(-Proforma!$E$115))</f>
        <v>50500</v>
      </c>
      <c r="L40" s="438">
        <f ca="1">IF(L39="","",$C$40*(-Proforma!$E$115))</f>
        <v>50500</v>
      </c>
      <c r="M40" s="438">
        <f ca="1">IF(M39="","",$C$40*(-Proforma!$E$115))</f>
        <v>50500</v>
      </c>
      <c r="N40" s="438">
        <f ca="1">IF(N39="","",$C$40*(-Proforma!$E$115))</f>
        <v>50500</v>
      </c>
      <c r="O40" s="438">
        <f ca="1">IF(O39="","",$C$40*(-Proforma!$E$115))</f>
        <v>50500</v>
      </c>
      <c r="P40" s="438">
        <f ca="1">IF(P39="","",$C$40*(-Proforma!$E$115))</f>
        <v>50500</v>
      </c>
      <c r="Q40" s="438" t="str">
        <f>IF(Q39="","",$C$40*(-Proforma!$E$115))</f>
        <v/>
      </c>
      <c r="R40" s="438" t="str">
        <f>IF(R39="","",$C$40*(-Proforma!$E$115))</f>
        <v/>
      </c>
      <c r="S40" s="438" t="str">
        <f>IF(S39="","",$C$40*(-Proforma!$E$115))</f>
        <v/>
      </c>
      <c r="T40" s="438" t="str">
        <f>IF(T39="","",$C$40*(-Proforma!$E$115))</f>
        <v/>
      </c>
      <c r="U40" s="438" t="str">
        <f>IF(U39="","",$C$40*(-Proforma!$E$115))</f>
        <v/>
      </c>
    </row>
    <row r="41" spans="2:25" ht="15" x14ac:dyDescent="0.2">
      <c r="B41" s="421" t="s">
        <v>599</v>
      </c>
      <c r="C41" s="440">
        <v>0.01</v>
      </c>
      <c r="D41" s="368"/>
      <c r="E41" s="404"/>
      <c r="F41" s="438">
        <v>200000</v>
      </c>
      <c r="G41" s="438">
        <f ca="1">IF(G39="","",0)</f>
        <v>0</v>
      </c>
      <c r="H41" s="438">
        <f t="shared" ref="H41:U41" ca="1" si="14">IF(H39="","",0)</f>
        <v>0</v>
      </c>
      <c r="I41" s="438">
        <f t="shared" ca="1" si="14"/>
        <v>0</v>
      </c>
      <c r="J41" s="438">
        <f t="shared" ca="1" si="14"/>
        <v>0</v>
      </c>
      <c r="K41" s="438">
        <f t="shared" ca="1" si="14"/>
        <v>0</v>
      </c>
      <c r="L41" s="438">
        <f t="shared" ca="1" si="14"/>
        <v>0</v>
      </c>
      <c r="M41" s="438">
        <f t="shared" ca="1" si="14"/>
        <v>0</v>
      </c>
      <c r="N41" s="438">
        <f t="shared" ca="1" si="14"/>
        <v>0</v>
      </c>
      <c r="O41" s="438">
        <f t="shared" ca="1" si="14"/>
        <v>0</v>
      </c>
      <c r="P41" s="438">
        <f t="shared" ca="1" si="14"/>
        <v>0</v>
      </c>
      <c r="Q41" s="438" t="str">
        <f t="shared" si="14"/>
        <v/>
      </c>
      <c r="R41" s="438" t="str">
        <f t="shared" si="14"/>
        <v/>
      </c>
      <c r="S41" s="438" t="str">
        <f t="shared" si="14"/>
        <v/>
      </c>
      <c r="T41" s="438" t="str">
        <f t="shared" si="14"/>
        <v/>
      </c>
      <c r="U41" s="438" t="str">
        <f t="shared" si="14"/>
        <v/>
      </c>
    </row>
    <row r="42" spans="2:25" ht="15" x14ac:dyDescent="0.2">
      <c r="B42" s="421" t="s">
        <v>600</v>
      </c>
      <c r="C42" s="440">
        <v>0.01</v>
      </c>
      <c r="D42" s="368"/>
      <c r="E42" s="404"/>
      <c r="F42" s="438">
        <v>0</v>
      </c>
      <c r="G42" s="438">
        <f ca="1">IF(G37=$G$4,$C$42*Proforma!F102,IF(G41="","",0))</f>
        <v>0</v>
      </c>
      <c r="H42" s="438">
        <f ca="1">IF(H37=$G$4,$C$42*Proforma!G102,IF(H41="","",0))</f>
        <v>0</v>
      </c>
      <c r="I42" s="438">
        <f ca="1">IF(I37=$G$4,$C$42*Proforma!H102,IF(I41="","",0))</f>
        <v>0</v>
      </c>
      <c r="J42" s="438">
        <f ca="1">IF(J37=$G$4,$C$42*Proforma!I102,IF(J41="","",0))</f>
        <v>0</v>
      </c>
      <c r="K42" s="438">
        <f ca="1">IF(K37=$G$4,$C$42*Proforma!J102,IF(K41="","",0))</f>
        <v>0</v>
      </c>
      <c r="L42" s="438">
        <f ca="1">IF(L37=$G$4,$C$42*Proforma!K102,IF(L41="","",0))</f>
        <v>0</v>
      </c>
      <c r="M42" s="438">
        <f ca="1">IF(M37=$G$4,$C$42*Proforma!L102,IF(M41="","",0))</f>
        <v>0</v>
      </c>
      <c r="N42" s="438">
        <f ca="1">IF(N37=$G$4,$C$42*Proforma!M102,IF(N41="","",0))</f>
        <v>0</v>
      </c>
      <c r="O42" s="438">
        <f ca="1">IF(O37=$G$4,$C$42*Proforma!N102,IF(O41="","",0))</f>
        <v>0</v>
      </c>
      <c r="P42" s="438">
        <f ca="1">IF(P37=$G$4,$C$42*Proforma!O102,IF(P41="","",0))</f>
        <v>205268.26384893453</v>
      </c>
      <c r="Q42" s="438" t="str">
        <f>IF(Q37=$G$4,$C$42*Proforma!P102,IF(Q41="","",0))</f>
        <v/>
      </c>
      <c r="R42" s="438" t="str">
        <f>IF(R37=$G$4,$C$42*Proforma!Q102,IF(R41="","",0))</f>
        <v/>
      </c>
      <c r="S42" s="438" t="str">
        <f>IF(S37=$G$4,$C$42*Proforma!R102,IF(S41="","",0))</f>
        <v/>
      </c>
      <c r="T42" s="438" t="str">
        <f>IF(T37=$G$4,$C$42*Proforma!S102,IF(T41="","",0))</f>
        <v/>
      </c>
      <c r="U42" s="438" t="str">
        <f>IF(U37=$G$4,$C$42*Proforma!T102,IF(U41="","",0))</f>
        <v/>
      </c>
    </row>
    <row r="43" spans="2:25" ht="15" x14ac:dyDescent="0.2">
      <c r="B43" s="421" t="s">
        <v>601</v>
      </c>
      <c r="C43" s="441">
        <v>25</v>
      </c>
      <c r="D43" s="368" t="s">
        <v>602</v>
      </c>
      <c r="E43" s="404"/>
      <c r="F43" s="438"/>
      <c r="G43" s="438">
        <f ca="1">IF(G42="","",$C43*200)</f>
        <v>5000</v>
      </c>
      <c r="H43" s="438">
        <f t="shared" ref="H43:U43" ca="1" si="15">IF(H42="","",$C43*200)</f>
        <v>5000</v>
      </c>
      <c r="I43" s="438">
        <f t="shared" ca="1" si="15"/>
        <v>5000</v>
      </c>
      <c r="J43" s="438">
        <f t="shared" ca="1" si="15"/>
        <v>5000</v>
      </c>
      <c r="K43" s="438">
        <f t="shared" ca="1" si="15"/>
        <v>5000</v>
      </c>
      <c r="L43" s="438">
        <f t="shared" ca="1" si="15"/>
        <v>5000</v>
      </c>
      <c r="M43" s="438">
        <f t="shared" ca="1" si="15"/>
        <v>5000</v>
      </c>
      <c r="N43" s="438">
        <f t="shared" ca="1" si="15"/>
        <v>5000</v>
      </c>
      <c r="O43" s="438">
        <f t="shared" ca="1" si="15"/>
        <v>5000</v>
      </c>
      <c r="P43" s="438">
        <f t="shared" ca="1" si="15"/>
        <v>5000</v>
      </c>
      <c r="Q43" s="438" t="str">
        <f t="shared" si="15"/>
        <v/>
      </c>
      <c r="R43" s="438" t="str">
        <f t="shared" si="15"/>
        <v/>
      </c>
      <c r="S43" s="438" t="str">
        <f t="shared" si="15"/>
        <v/>
      </c>
      <c r="T43" s="438" t="str">
        <f t="shared" si="15"/>
        <v/>
      </c>
      <c r="U43" s="438" t="str">
        <f t="shared" si="15"/>
        <v/>
      </c>
    </row>
    <row r="44" spans="2:25" ht="15" x14ac:dyDescent="0.2">
      <c r="B44" s="421" t="s">
        <v>603</v>
      </c>
      <c r="C44" s="437">
        <f>C43</f>
        <v>25</v>
      </c>
      <c r="D44" s="442" t="str">
        <f>IF(C44&lt;25,"Need to calculate manually when less than 25","")</f>
        <v/>
      </c>
      <c r="E44" s="404"/>
      <c r="F44" s="438">
        <f>MAX(C44-25,0)*1200+24000+22000</f>
        <v>46000</v>
      </c>
      <c r="G44" s="438"/>
      <c r="H44" s="438"/>
      <c r="I44" s="438"/>
      <c r="J44" s="438"/>
      <c r="K44" s="438"/>
      <c r="L44" s="438"/>
      <c r="M44" s="438"/>
      <c r="N44" s="438"/>
      <c r="O44" s="438"/>
      <c r="P44" s="438"/>
      <c r="Q44" s="438"/>
      <c r="R44" s="438"/>
      <c r="S44" s="438"/>
      <c r="T44" s="438"/>
      <c r="U44" s="438"/>
    </row>
    <row r="45" spans="2:25" ht="15" x14ac:dyDescent="0.2">
      <c r="B45" s="421" t="s">
        <v>604</v>
      </c>
      <c r="C45" s="440">
        <v>0.03</v>
      </c>
      <c r="D45" s="368"/>
      <c r="E45" s="404"/>
      <c r="F45" s="438">
        <v>0</v>
      </c>
      <c r="G45" s="438">
        <f ca="1">IF(G$37=$G$4,$C$45*Proforma!F$102,IF(G42="","",0))</f>
        <v>0</v>
      </c>
      <c r="H45" s="438">
        <f ca="1">IF(H$37=$G$4,$C$45*Proforma!G$102,IF(H42="","",0))</f>
        <v>0</v>
      </c>
      <c r="I45" s="438">
        <f ca="1">IF(I$37=$G$4,$C$45*Proforma!H$102,IF(I42="","",0))</f>
        <v>0</v>
      </c>
      <c r="J45" s="438">
        <f ca="1">IF(J$37=$G$4,$C$45*Proforma!I$102,IF(J42="","",0))</f>
        <v>0</v>
      </c>
      <c r="K45" s="438">
        <f ca="1">IF(K$37=$G$4,$C$45*Proforma!J$102,IF(K42="","",0))</f>
        <v>0</v>
      </c>
      <c r="L45" s="438">
        <f ca="1">IF(L$37=$G$4,$C$45*Proforma!K$102,IF(L42="","",0))</f>
        <v>0</v>
      </c>
      <c r="M45" s="438">
        <f ca="1">IF(M$37=$G$4,$C$45*Proforma!L$102,IF(M42="","",0))</f>
        <v>0</v>
      </c>
      <c r="N45" s="438">
        <f ca="1">IF(N$37=$G$4,$C$45*Proforma!M$102,IF(N42="","",0))</f>
        <v>0</v>
      </c>
      <c r="O45" s="438">
        <f ca="1">IF(O$37=$G$4,$C$45*Proforma!N$102,IF(O42="","",0))</f>
        <v>0</v>
      </c>
      <c r="P45" s="438">
        <f ca="1">IF(P$37=$G$4,$C$45*Proforma!O$102,IF(P42="","",0))</f>
        <v>615804.79154680355</v>
      </c>
      <c r="Q45" s="438" t="str">
        <f>IF(Q$37=$G$4,$C$45*Proforma!P$102,IF(Q42="","",0))</f>
        <v/>
      </c>
      <c r="R45" s="438" t="str">
        <f>IF(R$37=$G$4,$C$45*Proforma!Q$102,IF(R42="","",0))</f>
        <v/>
      </c>
      <c r="S45" s="438" t="str">
        <f>IF(S$37=$G$4,$C$45*Proforma!R$102,IF(S42="","",0))</f>
        <v/>
      </c>
      <c r="T45" s="438" t="str">
        <f>IF(T$37=$G$4,$C$45*Proforma!S$102,IF(T42="","",0))</f>
        <v/>
      </c>
      <c r="U45" s="438" t="str">
        <f>IF(U$37=$G$4,$C$45*Proforma!T$102,IF(U42="","",0))</f>
        <v/>
      </c>
    </row>
    <row r="46" spans="2:25" ht="15" x14ac:dyDescent="0.2">
      <c r="B46" s="421" t="s">
        <v>605</v>
      </c>
      <c r="C46" s="440">
        <v>5.0000000000000001E-3</v>
      </c>
      <c r="D46" s="368"/>
      <c r="E46" s="404"/>
      <c r="F46" s="438">
        <v>0</v>
      </c>
      <c r="G46" s="438">
        <f ca="1">IF(G$37=$G$4,$C$46*Proforma!F$102,IF(G45="","",0))</f>
        <v>0</v>
      </c>
      <c r="H46" s="438">
        <f ca="1">IF(H$37=$G$4,$C$46*Proforma!G$102,IF(H45="","",0))</f>
        <v>0</v>
      </c>
      <c r="I46" s="438">
        <f ca="1">IF(I$37=$G$4,$C$46*Proforma!H$102,IF(I45="","",0))</f>
        <v>0</v>
      </c>
      <c r="J46" s="438">
        <f ca="1">IF(J$37=$G$4,$C$46*Proforma!I$102,IF(J45="","",0))</f>
        <v>0</v>
      </c>
      <c r="K46" s="438">
        <f ca="1">IF(K$37=$G$4,$C$46*Proforma!J$102,IF(K45="","",0))</f>
        <v>0</v>
      </c>
      <c r="L46" s="438">
        <f ca="1">IF(L$37=$G$4,$C$46*Proforma!K$102,IF(L45="","",0))</f>
        <v>0</v>
      </c>
      <c r="M46" s="438">
        <f ca="1">IF(M$37=$G$4,$C$46*Proforma!L$102,IF(M45="","",0))</f>
        <v>0</v>
      </c>
      <c r="N46" s="438">
        <f ca="1">IF(N$37=$G$4,$C$46*Proforma!M$102,IF(N45="","",0))</f>
        <v>0</v>
      </c>
      <c r="O46" s="438">
        <f ca="1">IF(O$37=$G$4,$C$46*Proforma!N$102,IF(O45="","",0))</f>
        <v>0</v>
      </c>
      <c r="P46" s="438">
        <f ca="1">IF(P$37=$G$4,$C$46*Proforma!O$102,IF(P45="","",0))</f>
        <v>102634.13192446726</v>
      </c>
      <c r="Q46" s="438" t="str">
        <f>IF(Q$37=$G$4,$C$46*Proforma!P$102,IF(Q45="","",0))</f>
        <v/>
      </c>
      <c r="R46" s="438" t="str">
        <f>IF(R$37=$G$4,$C$46*Proforma!Q$102,IF(R45="","",0))</f>
        <v/>
      </c>
      <c r="S46" s="438" t="str">
        <f>IF(S$37=$G$4,$C$46*Proforma!R$102,IF(S45="","",0))</f>
        <v/>
      </c>
      <c r="T46" s="438" t="str">
        <f>IF(T$37=$G$4,$C$46*Proforma!S$102,IF(T45="","",0))</f>
        <v/>
      </c>
      <c r="U46" s="438" t="str">
        <f>IF(U$37=$G$4,$C$46*Proforma!T$102,IF(U45="","",0))</f>
        <v/>
      </c>
    </row>
    <row r="47" spans="2:25" ht="15" x14ac:dyDescent="0.2">
      <c r="B47" s="368" t="s">
        <v>606</v>
      </c>
      <c r="C47" s="368"/>
      <c r="D47" s="368"/>
      <c r="E47" s="404"/>
      <c r="F47" s="438">
        <f>IF(F37="","",F39-SUM(F40:F46))</f>
        <v>-5296000</v>
      </c>
      <c r="G47" s="438">
        <f t="shared" ref="G47:U47" ca="1" si="16">IF(G37="","",G39-SUM(G40:G46))</f>
        <v>198823.21000000005</v>
      </c>
      <c r="H47" s="438">
        <f t="shared" ca="1" si="16"/>
        <v>611114.46420000016</v>
      </c>
      <c r="I47" s="438">
        <f t="shared" ca="1" si="16"/>
        <v>964987.5119755757</v>
      </c>
      <c r="J47" s="438">
        <f t="shared" ca="1" si="16"/>
        <v>5820115.1702618105</v>
      </c>
      <c r="K47" s="438">
        <f t="shared" ca="1" si="16"/>
        <v>790994.34014477057</v>
      </c>
      <c r="L47" s="438">
        <f t="shared" ca="1" si="16"/>
        <v>842980.47600318573</v>
      </c>
      <c r="M47" s="438">
        <f t="shared" ca="1" si="16"/>
        <v>897287.6290023214</v>
      </c>
      <c r="N47" s="438">
        <f t="shared" ca="1" si="16"/>
        <v>954013.4712619338</v>
      </c>
      <c r="O47" s="438">
        <f t="shared" ca="1" si="16"/>
        <v>1013259.6784152524</v>
      </c>
      <c r="P47" s="438">
        <f t="shared" ca="1" si="16"/>
        <v>719422.52049226337</v>
      </c>
      <c r="Q47" s="438" t="str">
        <f t="shared" si="16"/>
        <v/>
      </c>
      <c r="R47" s="438" t="str">
        <f t="shared" si="16"/>
        <v/>
      </c>
      <c r="S47" s="438" t="str">
        <f t="shared" si="16"/>
        <v/>
      </c>
      <c r="T47" s="438" t="str">
        <f t="shared" si="16"/>
        <v/>
      </c>
      <c r="U47" s="438" t="str">
        <f t="shared" si="16"/>
        <v/>
      </c>
    </row>
    <row r="48" spans="2:25" ht="15" x14ac:dyDescent="0.2">
      <c r="B48" s="368" t="s">
        <v>607</v>
      </c>
      <c r="C48" s="368"/>
      <c r="D48" s="368"/>
      <c r="E48" s="368"/>
      <c r="F48" s="420">
        <f ca="1">IRR(F47:U47)</f>
        <v>0.20226201683224132</v>
      </c>
      <c r="G48" s="369"/>
      <c r="H48" s="369"/>
      <c r="I48" s="369"/>
      <c r="J48" s="369"/>
      <c r="K48" s="369"/>
      <c r="L48" s="369"/>
      <c r="M48" s="369"/>
      <c r="N48" s="369"/>
      <c r="O48" s="369"/>
      <c r="P48" s="369"/>
      <c r="Q48" s="369"/>
      <c r="R48" s="369"/>
      <c r="S48" s="369"/>
      <c r="T48" s="369"/>
      <c r="U48" s="369"/>
    </row>
    <row r="49" spans="2:21" ht="15" x14ac:dyDescent="0.2">
      <c r="B49" s="368" t="s">
        <v>573</v>
      </c>
      <c r="C49" s="368"/>
      <c r="D49" s="368"/>
      <c r="E49" s="368"/>
      <c r="F49" s="443">
        <f ca="1">SUMIF(F47:U47,"&gt;0")/-SUMIF(F47:U47,"&lt;0")</f>
        <v>2.4193728232169773</v>
      </c>
      <c r="G49" s="369"/>
      <c r="H49" s="369"/>
      <c r="I49" s="369"/>
      <c r="J49" s="369"/>
      <c r="K49" s="369"/>
      <c r="L49" s="369"/>
      <c r="M49" s="369"/>
      <c r="N49" s="369"/>
      <c r="O49" s="369"/>
      <c r="P49" s="369"/>
      <c r="Q49" s="369"/>
      <c r="R49" s="369"/>
      <c r="S49" s="369"/>
      <c r="T49" s="369"/>
      <c r="U49" s="369"/>
    </row>
    <row r="50" spans="2:21" ht="5" customHeight="1" x14ac:dyDescent="0.2">
      <c r="B50" s="368"/>
      <c r="C50" s="368"/>
      <c r="D50" s="368"/>
      <c r="E50" s="369"/>
      <c r="F50" s="444"/>
      <c r="G50" s="369"/>
      <c r="H50" s="369"/>
      <c r="I50" s="369"/>
      <c r="J50" s="369"/>
      <c r="K50" s="369"/>
      <c r="L50" s="369"/>
      <c r="M50" s="369"/>
      <c r="N50" s="369"/>
      <c r="O50" s="369"/>
      <c r="P50" s="444"/>
      <c r="Q50" s="369"/>
      <c r="R50" s="369"/>
      <c r="S50" s="369"/>
      <c r="T50" s="369"/>
      <c r="U50" s="369"/>
    </row>
    <row r="51" spans="2:21" ht="16" x14ac:dyDescent="0.2">
      <c r="B51" s="371" t="s">
        <v>608</v>
      </c>
      <c r="C51" s="368"/>
      <c r="D51" s="368"/>
      <c r="E51" s="368"/>
      <c r="F51" s="369"/>
      <c r="G51" s="369"/>
      <c r="H51" s="369"/>
      <c r="I51" s="369"/>
      <c r="J51" s="369"/>
      <c r="K51" s="369"/>
      <c r="L51" s="369"/>
      <c r="M51" s="369"/>
      <c r="N51" s="369"/>
      <c r="O51" s="369"/>
      <c r="P51" s="369"/>
      <c r="Q51" s="369"/>
      <c r="R51" s="369"/>
      <c r="S51" s="369"/>
      <c r="T51" s="369"/>
      <c r="U51" s="369"/>
    </row>
    <row r="52" spans="2:21" ht="15" x14ac:dyDescent="0.2">
      <c r="B52" s="445" t="s">
        <v>609</v>
      </c>
      <c r="C52" s="446">
        <f>E14</f>
        <v>7.0000000000000007E-2</v>
      </c>
      <c r="D52" s="392"/>
      <c r="E52" s="392"/>
      <c r="F52" s="393"/>
      <c r="G52" s="393"/>
      <c r="H52" s="393"/>
      <c r="I52" s="393"/>
      <c r="J52" s="393"/>
      <c r="K52" s="393"/>
      <c r="L52" s="393"/>
      <c r="M52" s="393"/>
      <c r="N52" s="393"/>
      <c r="O52" s="393"/>
      <c r="P52" s="393"/>
      <c r="Q52" s="393"/>
      <c r="R52" s="393"/>
      <c r="S52" s="393"/>
      <c r="T52" s="393"/>
      <c r="U52" s="393"/>
    </row>
    <row r="53" spans="2:21" ht="15" x14ac:dyDescent="0.2">
      <c r="B53" s="368" t="s">
        <v>610</v>
      </c>
      <c r="C53" s="368"/>
      <c r="D53" s="368"/>
      <c r="E53" s="368"/>
      <c r="F53" s="447">
        <f t="shared" ref="F53:U53" si="17">IF(F37="","",E58)</f>
        <v>0</v>
      </c>
      <c r="G53" s="447">
        <f t="shared" si="17"/>
        <v>5031200</v>
      </c>
      <c r="H53" s="447">
        <f t="shared" ca="1" si="17"/>
        <v>5194501.9505000003</v>
      </c>
      <c r="I53" s="447">
        <f t="shared" ca="1" si="17"/>
        <v>4977558.3460450005</v>
      </c>
      <c r="J53" s="447">
        <f t="shared" ca="1" si="17"/>
        <v>4409249.2938913535</v>
      </c>
      <c r="K53" s="447">
        <f t="shared" ca="1" si="17"/>
        <v>0</v>
      </c>
      <c r="L53" s="447">
        <f t="shared" ca="1" si="17"/>
        <v>0</v>
      </c>
      <c r="M53" s="447">
        <f t="shared" ca="1" si="17"/>
        <v>0</v>
      </c>
      <c r="N53" s="447">
        <f t="shared" ca="1" si="17"/>
        <v>0</v>
      </c>
      <c r="O53" s="447">
        <f t="shared" ca="1" si="17"/>
        <v>0</v>
      </c>
      <c r="P53" s="447">
        <f t="shared" ca="1" si="17"/>
        <v>0</v>
      </c>
      <c r="Q53" s="447" t="str">
        <f t="shared" si="17"/>
        <v/>
      </c>
      <c r="R53" s="447" t="str">
        <f t="shared" si="17"/>
        <v/>
      </c>
      <c r="S53" s="447" t="str">
        <f t="shared" si="17"/>
        <v/>
      </c>
      <c r="T53" s="447" t="str">
        <f t="shared" si="17"/>
        <v/>
      </c>
      <c r="U53" s="447" t="str">
        <f t="shared" si="17"/>
        <v/>
      </c>
    </row>
    <row r="54" spans="2:21" ht="15" x14ac:dyDescent="0.2">
      <c r="B54" s="368" t="s">
        <v>611</v>
      </c>
      <c r="C54" s="368"/>
      <c r="D54" s="368"/>
      <c r="E54" s="368"/>
      <c r="F54" s="448" t="str">
        <f ca="1">IF(ROUND(SUM(G54:U54),0)=ROUND(SUM(F56:U56),0),"All Capital Returned","Capital Not Returned")</f>
        <v>All Capital Returned</v>
      </c>
      <c r="G54" s="447">
        <f ca="1">IF(G37="","",G60-G55)</f>
        <v>-163301.95050000001</v>
      </c>
      <c r="H54" s="447">
        <f t="shared" ref="H54:U54" ca="1" si="18">IF(H37="","",H60-H55)</f>
        <v>216943.60445500002</v>
      </c>
      <c r="I54" s="447">
        <f t="shared" ca="1" si="18"/>
        <v>568309.05215364683</v>
      </c>
      <c r="J54" s="447">
        <f t="shared" ca="1" si="18"/>
        <v>4409249.2938913535</v>
      </c>
      <c r="K54" s="447">
        <f t="shared" ca="1" si="18"/>
        <v>0</v>
      </c>
      <c r="L54" s="447">
        <f t="shared" ca="1" si="18"/>
        <v>0</v>
      </c>
      <c r="M54" s="447">
        <f t="shared" ca="1" si="18"/>
        <v>0</v>
      </c>
      <c r="N54" s="447">
        <f t="shared" ca="1" si="18"/>
        <v>0</v>
      </c>
      <c r="O54" s="447">
        <f t="shared" ca="1" si="18"/>
        <v>0</v>
      </c>
      <c r="P54" s="447">
        <f t="shared" ca="1" si="18"/>
        <v>0</v>
      </c>
      <c r="Q54" s="447" t="str">
        <f t="shared" si="18"/>
        <v/>
      </c>
      <c r="R54" s="447" t="str">
        <f t="shared" si="18"/>
        <v/>
      </c>
      <c r="S54" s="447" t="str">
        <f t="shared" si="18"/>
        <v/>
      </c>
      <c r="T54" s="447" t="str">
        <f t="shared" si="18"/>
        <v/>
      </c>
      <c r="U54" s="447" t="str">
        <f t="shared" si="18"/>
        <v/>
      </c>
    </row>
    <row r="55" spans="2:21" ht="15" x14ac:dyDescent="0.2">
      <c r="B55" s="368" t="s">
        <v>612</v>
      </c>
      <c r="C55" s="368"/>
      <c r="D55" s="368"/>
      <c r="E55" s="368"/>
      <c r="F55" s="447">
        <f>IF(F53="","",IF($D$4="Equity Multiple",E56*$C52-E56,F53*Preferred_Return))</f>
        <v>0</v>
      </c>
      <c r="G55" s="447">
        <f t="shared" ref="G55:U55" si="19">IF(G53="","",IF($D$4="Equity Multiple",F56*$C52-F56,G53*Preferred_Return))</f>
        <v>352184.00000000006</v>
      </c>
      <c r="H55" s="447">
        <f t="shared" ca="1" si="19"/>
        <v>363615.13653500006</v>
      </c>
      <c r="I55" s="447">
        <f t="shared" ca="1" si="19"/>
        <v>348429.08422315004</v>
      </c>
      <c r="J55" s="447">
        <f t="shared" ca="1" si="19"/>
        <v>308647.45057239477</v>
      </c>
      <c r="K55" s="447">
        <f t="shared" ca="1" si="19"/>
        <v>0</v>
      </c>
      <c r="L55" s="447">
        <f t="shared" ca="1" si="19"/>
        <v>0</v>
      </c>
      <c r="M55" s="447">
        <f t="shared" ca="1" si="19"/>
        <v>0</v>
      </c>
      <c r="N55" s="447">
        <f t="shared" ca="1" si="19"/>
        <v>0</v>
      </c>
      <c r="O55" s="447">
        <f t="shared" ca="1" si="19"/>
        <v>0</v>
      </c>
      <c r="P55" s="447">
        <f t="shared" ca="1" si="19"/>
        <v>0</v>
      </c>
      <c r="Q55" s="447" t="str">
        <f t="shared" si="19"/>
        <v/>
      </c>
      <c r="R55" s="447" t="str">
        <f t="shared" si="19"/>
        <v/>
      </c>
      <c r="S55" s="447" t="str">
        <f t="shared" si="19"/>
        <v/>
      </c>
      <c r="T55" s="447" t="str">
        <f t="shared" si="19"/>
        <v/>
      </c>
      <c r="U55" s="447" t="str">
        <f t="shared" si="19"/>
        <v/>
      </c>
    </row>
    <row r="56" spans="2:21" ht="15" x14ac:dyDescent="0.2">
      <c r="B56" s="368" t="s">
        <v>613</v>
      </c>
      <c r="C56" s="368"/>
      <c r="D56" s="368"/>
      <c r="E56" s="368"/>
      <c r="F56" s="447">
        <f t="shared" ref="F56:U56" si="20">IF(F53="","",-MIN(0,F47*Equity_Share_LP))</f>
        <v>5031200</v>
      </c>
      <c r="G56" s="447">
        <f t="shared" ca="1" si="20"/>
        <v>0</v>
      </c>
      <c r="H56" s="447">
        <f t="shared" ca="1" si="20"/>
        <v>0</v>
      </c>
      <c r="I56" s="447">
        <f t="shared" ca="1" si="20"/>
        <v>0</v>
      </c>
      <c r="J56" s="447">
        <f t="shared" ca="1" si="20"/>
        <v>0</v>
      </c>
      <c r="K56" s="447">
        <f t="shared" ca="1" si="20"/>
        <v>0</v>
      </c>
      <c r="L56" s="447">
        <f t="shared" ca="1" si="20"/>
        <v>0</v>
      </c>
      <c r="M56" s="447">
        <f t="shared" ca="1" si="20"/>
        <v>0</v>
      </c>
      <c r="N56" s="447">
        <f t="shared" ca="1" si="20"/>
        <v>0</v>
      </c>
      <c r="O56" s="447">
        <f t="shared" ca="1" si="20"/>
        <v>0</v>
      </c>
      <c r="P56" s="447">
        <f t="shared" ca="1" si="20"/>
        <v>0</v>
      </c>
      <c r="Q56" s="447" t="str">
        <f t="shared" si="20"/>
        <v/>
      </c>
      <c r="R56" s="447" t="str">
        <f t="shared" si="20"/>
        <v/>
      </c>
      <c r="S56" s="447" t="str">
        <f t="shared" si="20"/>
        <v/>
      </c>
      <c r="T56" s="447" t="str">
        <f t="shared" si="20"/>
        <v/>
      </c>
      <c r="U56" s="447" t="str">
        <f t="shared" si="20"/>
        <v/>
      </c>
    </row>
    <row r="57" spans="2:21" ht="15" x14ac:dyDescent="0.2">
      <c r="B57" s="368" t="s">
        <v>614</v>
      </c>
      <c r="C57" s="368"/>
      <c r="D57" s="368"/>
      <c r="E57" s="368"/>
      <c r="F57" s="447">
        <f>MAX(F47,F55)</f>
        <v>0</v>
      </c>
      <c r="G57" s="375">
        <f t="shared" ref="G57:U57" ca="1" si="21">IF(G53="","",MIN(G53+G55,MAX(G47,0)*$I$14))</f>
        <v>188882.04950000005</v>
      </c>
      <c r="H57" s="375">
        <f t="shared" ca="1" si="21"/>
        <v>580558.74099000008</v>
      </c>
      <c r="I57" s="375">
        <f t="shared" ca="1" si="21"/>
        <v>916738.13637679687</v>
      </c>
      <c r="J57" s="375">
        <f t="shared" ca="1" si="21"/>
        <v>4717896.7444637483</v>
      </c>
      <c r="K57" s="375">
        <f t="shared" ca="1" si="21"/>
        <v>0</v>
      </c>
      <c r="L57" s="375">
        <f t="shared" ca="1" si="21"/>
        <v>0</v>
      </c>
      <c r="M57" s="375">
        <f t="shared" ca="1" si="21"/>
        <v>0</v>
      </c>
      <c r="N57" s="375">
        <f t="shared" ca="1" si="21"/>
        <v>0</v>
      </c>
      <c r="O57" s="375">
        <f t="shared" ca="1" si="21"/>
        <v>0</v>
      </c>
      <c r="P57" s="375">
        <f t="shared" ca="1" si="21"/>
        <v>0</v>
      </c>
      <c r="Q57" s="375" t="str">
        <f t="shared" si="21"/>
        <v/>
      </c>
      <c r="R57" s="375" t="str">
        <f t="shared" si="21"/>
        <v/>
      </c>
      <c r="S57" s="375" t="str">
        <f t="shared" si="21"/>
        <v/>
      </c>
      <c r="T57" s="375" t="str">
        <f t="shared" si="21"/>
        <v/>
      </c>
      <c r="U57" s="375" t="str">
        <f t="shared" si="21"/>
        <v/>
      </c>
    </row>
    <row r="58" spans="2:21" ht="15" x14ac:dyDescent="0.2">
      <c r="B58" s="368" t="s">
        <v>615</v>
      </c>
      <c r="C58" s="368"/>
      <c r="D58" s="368"/>
      <c r="E58" s="368"/>
      <c r="F58" s="447">
        <f>F53+F56-F57</f>
        <v>5031200</v>
      </c>
      <c r="G58" s="447">
        <f ca="1">IF(G53="","",G53+G55+G56-G57)</f>
        <v>5194501.9505000003</v>
      </c>
      <c r="H58" s="447">
        <f t="shared" ref="H58:U58" ca="1" si="22">IF(H53="","",H53+H55+H56-H57)</f>
        <v>4977558.3460450005</v>
      </c>
      <c r="I58" s="447">
        <f t="shared" ca="1" si="22"/>
        <v>4409249.2938913535</v>
      </c>
      <c r="J58" s="447">
        <f t="shared" ca="1" si="22"/>
        <v>0</v>
      </c>
      <c r="K58" s="447">
        <f t="shared" ca="1" si="22"/>
        <v>0</v>
      </c>
      <c r="L58" s="447">
        <f t="shared" ca="1" si="22"/>
        <v>0</v>
      </c>
      <c r="M58" s="447">
        <f t="shared" ca="1" si="22"/>
        <v>0</v>
      </c>
      <c r="N58" s="447">
        <f t="shared" ca="1" si="22"/>
        <v>0</v>
      </c>
      <c r="O58" s="447">
        <f t="shared" ca="1" si="22"/>
        <v>0</v>
      </c>
      <c r="P58" s="447">
        <f t="shared" ca="1" si="22"/>
        <v>0</v>
      </c>
      <c r="Q58" s="447" t="str">
        <f t="shared" si="22"/>
        <v/>
      </c>
      <c r="R58" s="447" t="str">
        <f t="shared" si="22"/>
        <v/>
      </c>
      <c r="S58" s="447" t="str">
        <f t="shared" si="22"/>
        <v/>
      </c>
      <c r="T58" s="447" t="str">
        <f t="shared" si="22"/>
        <v/>
      </c>
      <c r="U58" s="447" t="str">
        <f t="shared" si="22"/>
        <v/>
      </c>
    </row>
    <row r="59" spans="2:21" ht="15" x14ac:dyDescent="0.2">
      <c r="B59" s="449" t="str">
        <f>IF(D4="Equity Multiple", "LP EMx Check","LP IRR Check")</f>
        <v>LP IRR Check</v>
      </c>
      <c r="C59" s="368"/>
      <c r="D59" s="368"/>
      <c r="E59" s="450">
        <f ca="1">IF($D$4="IRR",IRR(F59:U59),SUMIF(F59:U59,"&gt;0")/-SUMIF(F59:U59,"&lt;0"))</f>
        <v>7.0000000000000062E-2</v>
      </c>
      <c r="F59" s="447">
        <f t="shared" ref="F59:U59" si="23">IF(F53="","",-F56+F57)</f>
        <v>-5031200</v>
      </c>
      <c r="G59" s="447">
        <f t="shared" ca="1" si="23"/>
        <v>188882.04950000005</v>
      </c>
      <c r="H59" s="447">
        <f t="shared" ca="1" si="23"/>
        <v>580558.74099000008</v>
      </c>
      <c r="I59" s="447">
        <f t="shared" ca="1" si="23"/>
        <v>916738.13637679687</v>
      </c>
      <c r="J59" s="447">
        <f t="shared" ca="1" si="23"/>
        <v>4717896.7444637483</v>
      </c>
      <c r="K59" s="447">
        <f t="shared" ca="1" si="23"/>
        <v>0</v>
      </c>
      <c r="L59" s="447">
        <f t="shared" ca="1" si="23"/>
        <v>0</v>
      </c>
      <c r="M59" s="447">
        <f t="shared" ca="1" si="23"/>
        <v>0</v>
      </c>
      <c r="N59" s="447">
        <f t="shared" ca="1" si="23"/>
        <v>0</v>
      </c>
      <c r="O59" s="447">
        <f t="shared" ca="1" si="23"/>
        <v>0</v>
      </c>
      <c r="P59" s="447">
        <f t="shared" ca="1" si="23"/>
        <v>0</v>
      </c>
      <c r="Q59" s="447" t="str">
        <f t="shared" si="23"/>
        <v/>
      </c>
      <c r="R59" s="447" t="str">
        <f t="shared" si="23"/>
        <v/>
      </c>
      <c r="S59" s="447" t="str">
        <f t="shared" si="23"/>
        <v/>
      </c>
      <c r="T59" s="447" t="str">
        <f t="shared" si="23"/>
        <v/>
      </c>
      <c r="U59" s="447" t="str">
        <f t="shared" si="23"/>
        <v/>
      </c>
    </row>
    <row r="60" spans="2:21" ht="15" x14ac:dyDescent="0.2">
      <c r="B60" s="368" t="s">
        <v>616</v>
      </c>
      <c r="C60" s="368"/>
      <c r="D60" s="368"/>
      <c r="E60" s="368"/>
      <c r="F60" s="447">
        <f>MAX(F47,F55)</f>
        <v>0</v>
      </c>
      <c r="G60" s="447">
        <f ca="1">IF(G53="","",MIN(G53+G55,MAX(G47,0)*$I$14))</f>
        <v>188882.04950000005</v>
      </c>
      <c r="H60" s="447">
        <f t="shared" ref="H60:U60" ca="1" si="24">H57</f>
        <v>580558.74099000008</v>
      </c>
      <c r="I60" s="447">
        <f t="shared" ca="1" si="24"/>
        <v>916738.13637679687</v>
      </c>
      <c r="J60" s="447">
        <f t="shared" ca="1" si="24"/>
        <v>4717896.7444637483</v>
      </c>
      <c r="K60" s="447">
        <f t="shared" ca="1" si="24"/>
        <v>0</v>
      </c>
      <c r="L60" s="447">
        <f t="shared" ca="1" si="24"/>
        <v>0</v>
      </c>
      <c r="M60" s="447">
        <f t="shared" ca="1" si="24"/>
        <v>0</v>
      </c>
      <c r="N60" s="447">
        <f t="shared" ca="1" si="24"/>
        <v>0</v>
      </c>
      <c r="O60" s="447">
        <f t="shared" ca="1" si="24"/>
        <v>0</v>
      </c>
      <c r="P60" s="447">
        <f t="shared" ca="1" si="24"/>
        <v>0</v>
      </c>
      <c r="Q60" s="447" t="str">
        <f t="shared" si="24"/>
        <v/>
      </c>
      <c r="R60" s="447" t="str">
        <f t="shared" si="24"/>
        <v/>
      </c>
      <c r="S60" s="447" t="str">
        <f t="shared" si="24"/>
        <v/>
      </c>
      <c r="T60" s="447" t="str">
        <f t="shared" si="24"/>
        <v/>
      </c>
      <c r="U60" s="447" t="str">
        <f t="shared" si="24"/>
        <v/>
      </c>
    </row>
    <row r="61" spans="2:21" ht="5" customHeight="1" x14ac:dyDescent="0.2">
      <c r="B61" s="368"/>
      <c r="C61" s="368"/>
      <c r="D61" s="368"/>
      <c r="E61" s="368"/>
      <c r="F61" s="447"/>
      <c r="G61" s="447"/>
      <c r="H61" s="447"/>
      <c r="I61" s="447"/>
      <c r="J61" s="447"/>
      <c r="K61" s="447"/>
      <c r="L61" s="447"/>
      <c r="M61" s="447"/>
      <c r="N61" s="447"/>
      <c r="O61" s="447"/>
      <c r="P61" s="447"/>
      <c r="Q61" s="447"/>
      <c r="R61" s="447"/>
      <c r="S61" s="447"/>
      <c r="T61" s="447"/>
      <c r="U61" s="447"/>
    </row>
    <row r="62" spans="2:21" ht="15" x14ac:dyDescent="0.2">
      <c r="B62" s="368" t="s">
        <v>617</v>
      </c>
      <c r="C62" s="368"/>
      <c r="D62" s="368"/>
      <c r="E62" s="368"/>
      <c r="F62" s="447">
        <f>IF(F37="","",E66)</f>
        <v>0</v>
      </c>
      <c r="G62" s="447">
        <f t="shared" ref="G62:U62" si="25">IF(G37="","",F66)</f>
        <v>264800</v>
      </c>
      <c r="H62" s="447">
        <f t="shared" ca="1" si="25"/>
        <v>273394.8395</v>
      </c>
      <c r="I62" s="447">
        <f t="shared" ca="1" si="25"/>
        <v>261976.75505499996</v>
      </c>
      <c r="J62" s="447">
        <f t="shared" ca="1" si="25"/>
        <v>232065.7523100712</v>
      </c>
      <c r="K62" s="447">
        <f t="shared" ca="1" si="25"/>
        <v>-5.8207660913467407E-11</v>
      </c>
      <c r="L62" s="447">
        <f t="shared" ca="1" si="25"/>
        <v>-6.2282197177410129E-11</v>
      </c>
      <c r="M62" s="447">
        <f t="shared" ca="1" si="25"/>
        <v>-6.6641950979828836E-11</v>
      </c>
      <c r="N62" s="447">
        <f t="shared" ca="1" si="25"/>
        <v>-7.1306887548416859E-11</v>
      </c>
      <c r="O62" s="447">
        <f t="shared" ca="1" si="25"/>
        <v>-7.6298369676806046E-11</v>
      </c>
      <c r="P62" s="447">
        <f t="shared" ca="1" si="25"/>
        <v>-8.1639255554182465E-11</v>
      </c>
      <c r="Q62" s="447" t="str">
        <f t="shared" si="25"/>
        <v/>
      </c>
      <c r="R62" s="447" t="str">
        <f t="shared" si="25"/>
        <v/>
      </c>
      <c r="S62" s="447" t="str">
        <f t="shared" si="25"/>
        <v/>
      </c>
      <c r="T62" s="447" t="str">
        <f t="shared" si="25"/>
        <v/>
      </c>
      <c r="U62" s="447" t="str">
        <f t="shared" si="25"/>
        <v/>
      </c>
    </row>
    <row r="63" spans="2:21" ht="15" x14ac:dyDescent="0.2">
      <c r="B63" s="368" t="s">
        <v>618</v>
      </c>
      <c r="C63" s="368"/>
      <c r="D63" s="368"/>
      <c r="E63" s="368"/>
      <c r="F63" s="447">
        <f t="shared" ref="F63:U63" si="26">IF(F62="","",IF($D$4="Equity Multiple",E64*$C52-E64,F62*Preferred_Return))</f>
        <v>0</v>
      </c>
      <c r="G63" s="447">
        <f t="shared" si="26"/>
        <v>18536</v>
      </c>
      <c r="H63" s="447">
        <f t="shared" ca="1" si="26"/>
        <v>19137.638765000003</v>
      </c>
      <c r="I63" s="447">
        <f t="shared" ca="1" si="26"/>
        <v>18338.37285385</v>
      </c>
      <c r="J63" s="447">
        <f t="shared" ca="1" si="26"/>
        <v>16244.602661704985</v>
      </c>
      <c r="K63" s="447">
        <f t="shared" ca="1" si="26"/>
        <v>-4.0745362639427189E-12</v>
      </c>
      <c r="L63" s="447">
        <f t="shared" ca="1" si="26"/>
        <v>-4.3597538024187093E-12</v>
      </c>
      <c r="M63" s="447">
        <f t="shared" ca="1" si="26"/>
        <v>-4.6649365685880188E-12</v>
      </c>
      <c r="N63" s="447">
        <f t="shared" ca="1" si="26"/>
        <v>-4.9914821283891808E-12</v>
      </c>
      <c r="O63" s="447">
        <f t="shared" ca="1" si="26"/>
        <v>-5.340885877376424E-12</v>
      </c>
      <c r="P63" s="447">
        <f t="shared" ca="1" si="26"/>
        <v>-5.7147478887927727E-12</v>
      </c>
      <c r="Q63" s="447" t="str">
        <f t="shared" si="26"/>
        <v/>
      </c>
      <c r="R63" s="447" t="str">
        <f t="shared" si="26"/>
        <v/>
      </c>
      <c r="S63" s="447" t="str">
        <f t="shared" si="26"/>
        <v/>
      </c>
      <c r="T63" s="447" t="str">
        <f t="shared" si="26"/>
        <v/>
      </c>
      <c r="U63" s="447" t="str">
        <f t="shared" si="26"/>
        <v/>
      </c>
    </row>
    <row r="64" spans="2:21" ht="15" x14ac:dyDescent="0.2">
      <c r="B64" s="368" t="s">
        <v>619</v>
      </c>
      <c r="C64" s="368"/>
      <c r="D64" s="368"/>
      <c r="E64" s="368"/>
      <c r="F64" s="447">
        <f t="shared" ref="F64:U64" si="27">IF(F37="","",-MIN(0,F47*Equity_Share_Sponsor))</f>
        <v>264800</v>
      </c>
      <c r="G64" s="447">
        <f t="shared" ca="1" si="27"/>
        <v>0</v>
      </c>
      <c r="H64" s="447">
        <f t="shared" ca="1" si="27"/>
        <v>0</v>
      </c>
      <c r="I64" s="447">
        <f t="shared" ca="1" si="27"/>
        <v>0</v>
      </c>
      <c r="J64" s="447">
        <f t="shared" ca="1" si="27"/>
        <v>0</v>
      </c>
      <c r="K64" s="447">
        <f t="shared" ca="1" si="27"/>
        <v>0</v>
      </c>
      <c r="L64" s="447">
        <f t="shared" ca="1" si="27"/>
        <v>0</v>
      </c>
      <c r="M64" s="447">
        <f t="shared" ca="1" si="27"/>
        <v>0</v>
      </c>
      <c r="N64" s="447">
        <f t="shared" ca="1" si="27"/>
        <v>0</v>
      </c>
      <c r="O64" s="447">
        <f t="shared" ca="1" si="27"/>
        <v>0</v>
      </c>
      <c r="P64" s="447">
        <f t="shared" ca="1" si="27"/>
        <v>0</v>
      </c>
      <c r="Q64" s="447" t="str">
        <f t="shared" si="27"/>
        <v/>
      </c>
      <c r="R64" s="447" t="str">
        <f t="shared" si="27"/>
        <v/>
      </c>
      <c r="S64" s="447" t="str">
        <f t="shared" si="27"/>
        <v/>
      </c>
      <c r="T64" s="447" t="str">
        <f t="shared" si="27"/>
        <v/>
      </c>
      <c r="U64" s="447" t="str">
        <f t="shared" si="27"/>
        <v/>
      </c>
    </row>
    <row r="65" spans="2:21" ht="15" x14ac:dyDescent="0.2">
      <c r="B65" s="368" t="s">
        <v>620</v>
      </c>
      <c r="C65" s="368"/>
      <c r="D65" s="368"/>
      <c r="E65" s="368"/>
      <c r="F65" s="447">
        <f t="shared" ref="F65:U65" si="28">IF(F37="","",IF(CU?,MAX(MIN(F47-F60,F62+F63+F64),0),F57/$I$14*$H$14))</f>
        <v>0</v>
      </c>
      <c r="G65" s="375">
        <f t="shared" ca="1" si="28"/>
        <v>9941.1605000000036</v>
      </c>
      <c r="H65" s="375">
        <f t="shared" ca="1" si="28"/>
        <v>30555.723210000011</v>
      </c>
      <c r="I65" s="375">
        <f t="shared" ca="1" si="28"/>
        <v>48249.375598778788</v>
      </c>
      <c r="J65" s="375">
        <f t="shared" ca="1" si="28"/>
        <v>248310.35497177625</v>
      </c>
      <c r="K65" s="375">
        <f t="shared" ca="1" si="28"/>
        <v>0</v>
      </c>
      <c r="L65" s="375">
        <f t="shared" ca="1" si="28"/>
        <v>0</v>
      </c>
      <c r="M65" s="375">
        <f t="shared" ca="1" si="28"/>
        <v>0</v>
      </c>
      <c r="N65" s="375">
        <f t="shared" ca="1" si="28"/>
        <v>0</v>
      </c>
      <c r="O65" s="375">
        <f t="shared" ca="1" si="28"/>
        <v>0</v>
      </c>
      <c r="P65" s="375">
        <f t="shared" ca="1" si="28"/>
        <v>0</v>
      </c>
      <c r="Q65" s="375" t="str">
        <f t="shared" si="28"/>
        <v/>
      </c>
      <c r="R65" s="375" t="str">
        <f t="shared" si="28"/>
        <v/>
      </c>
      <c r="S65" s="375" t="str">
        <f t="shared" si="28"/>
        <v/>
      </c>
      <c r="T65" s="375" t="str">
        <f t="shared" si="28"/>
        <v/>
      </c>
      <c r="U65" s="375" t="str">
        <f t="shared" si="28"/>
        <v/>
      </c>
    </row>
    <row r="66" spans="2:21" ht="15" x14ac:dyDescent="0.2">
      <c r="B66" s="368" t="s">
        <v>621</v>
      </c>
      <c r="C66" s="368"/>
      <c r="D66" s="368"/>
      <c r="E66" s="368"/>
      <c r="F66" s="447">
        <f>IF(F37="","",F62+F63+F64-F65)</f>
        <v>264800</v>
      </c>
      <c r="G66" s="375">
        <f t="shared" ref="G66:U66" ca="1" si="29">IF(G37="","",G62+G63+G64-G65)</f>
        <v>273394.8395</v>
      </c>
      <c r="H66" s="375">
        <f t="shared" ca="1" si="29"/>
        <v>261976.75505499996</v>
      </c>
      <c r="I66" s="375">
        <f t="shared" ca="1" si="29"/>
        <v>232065.7523100712</v>
      </c>
      <c r="J66" s="375">
        <f t="shared" ca="1" si="29"/>
        <v>-5.8207660913467407E-11</v>
      </c>
      <c r="K66" s="375">
        <f t="shared" ca="1" si="29"/>
        <v>-6.2282197177410129E-11</v>
      </c>
      <c r="L66" s="375">
        <f t="shared" ca="1" si="29"/>
        <v>-6.6641950979828836E-11</v>
      </c>
      <c r="M66" s="375">
        <f t="shared" ca="1" si="29"/>
        <v>-7.1306887548416859E-11</v>
      </c>
      <c r="N66" s="375">
        <f t="shared" ca="1" si="29"/>
        <v>-7.6298369676806046E-11</v>
      </c>
      <c r="O66" s="375">
        <f t="shared" ca="1" si="29"/>
        <v>-8.1639255554182465E-11</v>
      </c>
      <c r="P66" s="375">
        <f t="shared" ca="1" si="29"/>
        <v>-8.7354003442975243E-11</v>
      </c>
      <c r="Q66" s="375" t="str">
        <f t="shared" si="29"/>
        <v/>
      </c>
      <c r="R66" s="375" t="str">
        <f t="shared" si="29"/>
        <v/>
      </c>
      <c r="S66" s="375" t="str">
        <f t="shared" si="29"/>
        <v/>
      </c>
      <c r="T66" s="375" t="str">
        <f t="shared" si="29"/>
        <v/>
      </c>
      <c r="U66" s="375" t="str">
        <f t="shared" si="29"/>
        <v/>
      </c>
    </row>
    <row r="67" spans="2:21" ht="15" x14ac:dyDescent="0.2">
      <c r="B67" s="449" t="str">
        <f>IF(D4="Equity Multiple", "GP EMx Check","GP IRR Check")</f>
        <v>GP IRR Check</v>
      </c>
      <c r="C67" s="368"/>
      <c r="D67" s="368"/>
      <c r="E67" s="450">
        <f ca="1">IF($D$4="IRR",IFERROR(IRR(F67:U67),"NA"),SUMIF(F67:U67,"&gt;0")/-SUMIF(F67:U67,"&lt;0"))</f>
        <v>7.0000000000000062E-2</v>
      </c>
      <c r="F67" s="447">
        <f>IF(F37="","",-F64+F65)</f>
        <v>-264800</v>
      </c>
      <c r="G67" s="375">
        <f t="shared" ref="G67:U67" ca="1" si="30">IF(G37="","",-G64+G65)</f>
        <v>9941.1605000000036</v>
      </c>
      <c r="H67" s="375">
        <f t="shared" ca="1" si="30"/>
        <v>30555.723210000011</v>
      </c>
      <c r="I67" s="375">
        <f t="shared" ca="1" si="30"/>
        <v>48249.375598778788</v>
      </c>
      <c r="J67" s="375">
        <f t="shared" ca="1" si="30"/>
        <v>248310.35497177625</v>
      </c>
      <c r="K67" s="375">
        <f t="shared" ca="1" si="30"/>
        <v>0</v>
      </c>
      <c r="L67" s="375">
        <f t="shared" ca="1" si="30"/>
        <v>0</v>
      </c>
      <c r="M67" s="375">
        <f t="shared" ca="1" si="30"/>
        <v>0</v>
      </c>
      <c r="N67" s="375">
        <f t="shared" ca="1" si="30"/>
        <v>0</v>
      </c>
      <c r="O67" s="375">
        <f t="shared" ca="1" si="30"/>
        <v>0</v>
      </c>
      <c r="P67" s="375">
        <f t="shared" ca="1" si="30"/>
        <v>0</v>
      </c>
      <c r="Q67" s="375" t="str">
        <f t="shared" si="30"/>
        <v/>
      </c>
      <c r="R67" s="375" t="str">
        <f t="shared" si="30"/>
        <v/>
      </c>
      <c r="S67" s="375" t="str">
        <f t="shared" si="30"/>
        <v/>
      </c>
      <c r="T67" s="375" t="str">
        <f t="shared" si="30"/>
        <v/>
      </c>
      <c r="U67" s="375" t="str">
        <f t="shared" si="30"/>
        <v/>
      </c>
    </row>
    <row r="68" spans="2:21" ht="5" customHeight="1" x14ac:dyDescent="0.2">
      <c r="B68" s="368"/>
      <c r="C68" s="368"/>
      <c r="D68" s="368"/>
      <c r="E68" s="368"/>
      <c r="F68" s="447"/>
      <c r="G68" s="375"/>
      <c r="H68" s="375"/>
      <c r="I68" s="375"/>
      <c r="J68" s="375"/>
      <c r="K68" s="375"/>
      <c r="L68" s="375"/>
      <c r="M68" s="375"/>
      <c r="N68" s="375"/>
      <c r="O68" s="375"/>
      <c r="P68" s="375"/>
      <c r="Q68" s="375"/>
      <c r="R68" s="375"/>
      <c r="S68" s="375"/>
      <c r="T68" s="375"/>
      <c r="U68" s="375"/>
    </row>
    <row r="69" spans="2:21" ht="15" x14ac:dyDescent="0.2">
      <c r="B69" s="368" t="str">
        <f>"Total Distributions ("&amp;B51&amp;")"</f>
        <v>Total Distributions (Return of Capital &amp; Hurdle 1 (Preferred Return))</v>
      </c>
      <c r="C69" s="368"/>
      <c r="D69" s="368"/>
      <c r="E69" s="368"/>
      <c r="F69" s="447">
        <f t="shared" ref="F69:U69" si="31">IF(F53="","",F65+F60)</f>
        <v>0</v>
      </c>
      <c r="G69" s="447">
        <f t="shared" ca="1" si="31"/>
        <v>198823.21000000005</v>
      </c>
      <c r="H69" s="447">
        <f t="shared" ca="1" si="31"/>
        <v>611114.46420000005</v>
      </c>
      <c r="I69" s="447">
        <f t="shared" ca="1" si="31"/>
        <v>964987.5119755757</v>
      </c>
      <c r="J69" s="447">
        <f t="shared" ca="1" si="31"/>
        <v>4966207.099435525</v>
      </c>
      <c r="K69" s="447">
        <f t="shared" ca="1" si="31"/>
        <v>0</v>
      </c>
      <c r="L69" s="447">
        <f t="shared" ca="1" si="31"/>
        <v>0</v>
      </c>
      <c r="M69" s="447">
        <f t="shared" ca="1" si="31"/>
        <v>0</v>
      </c>
      <c r="N69" s="447">
        <f t="shared" ca="1" si="31"/>
        <v>0</v>
      </c>
      <c r="O69" s="447">
        <f t="shared" ca="1" si="31"/>
        <v>0</v>
      </c>
      <c r="P69" s="447">
        <f t="shared" ca="1" si="31"/>
        <v>0</v>
      </c>
      <c r="Q69" s="447" t="str">
        <f t="shared" si="31"/>
        <v/>
      </c>
      <c r="R69" s="447" t="str">
        <f t="shared" si="31"/>
        <v/>
      </c>
      <c r="S69" s="447" t="str">
        <f t="shared" si="31"/>
        <v/>
      </c>
      <c r="T69" s="447" t="str">
        <f t="shared" si="31"/>
        <v/>
      </c>
      <c r="U69" s="447" t="str">
        <f t="shared" si="31"/>
        <v/>
      </c>
    </row>
    <row r="70" spans="2:21" ht="15" x14ac:dyDescent="0.2">
      <c r="B70" s="368" t="s">
        <v>622</v>
      </c>
      <c r="C70" s="368"/>
      <c r="D70" s="368"/>
      <c r="E70" s="368"/>
      <c r="F70" s="447">
        <f t="shared" ref="F70:U70" si="32">IF(F53="","",MAX(F47-F69,0))</f>
        <v>0</v>
      </c>
      <c r="G70" s="447">
        <f t="shared" ca="1" si="32"/>
        <v>0</v>
      </c>
      <c r="H70" s="447">
        <f t="shared" ca="1" si="32"/>
        <v>1.1641532182693481E-10</v>
      </c>
      <c r="I70" s="447">
        <f t="shared" ca="1" si="32"/>
        <v>0</v>
      </c>
      <c r="J70" s="447">
        <f t="shared" ca="1" si="32"/>
        <v>853908.07082628552</v>
      </c>
      <c r="K70" s="447">
        <f t="shared" ca="1" si="32"/>
        <v>790994.34014477057</v>
      </c>
      <c r="L70" s="447">
        <f t="shared" ca="1" si="32"/>
        <v>842980.47600318573</v>
      </c>
      <c r="M70" s="447">
        <f t="shared" ca="1" si="32"/>
        <v>897287.6290023214</v>
      </c>
      <c r="N70" s="447">
        <f t="shared" ca="1" si="32"/>
        <v>954013.4712619338</v>
      </c>
      <c r="O70" s="447">
        <f t="shared" ca="1" si="32"/>
        <v>1013259.6784152524</v>
      </c>
      <c r="P70" s="447">
        <f t="shared" ca="1" si="32"/>
        <v>719422.52049226337</v>
      </c>
      <c r="Q70" s="447" t="str">
        <f t="shared" si="32"/>
        <v/>
      </c>
      <c r="R70" s="447" t="str">
        <f t="shared" si="32"/>
        <v/>
      </c>
      <c r="S70" s="447" t="str">
        <f t="shared" si="32"/>
        <v/>
      </c>
      <c r="T70" s="447" t="str">
        <f t="shared" si="32"/>
        <v/>
      </c>
      <c r="U70" s="447" t="str">
        <f t="shared" si="32"/>
        <v/>
      </c>
    </row>
    <row r="71" spans="2:21" ht="5" customHeight="1" x14ac:dyDescent="0.2">
      <c r="B71" s="368"/>
      <c r="C71" s="368"/>
      <c r="D71" s="368"/>
      <c r="E71" s="368"/>
      <c r="F71" s="369"/>
      <c r="G71" s="369"/>
      <c r="H71" s="369"/>
      <c r="I71" s="369"/>
      <c r="J71" s="369"/>
      <c r="K71" s="369"/>
      <c r="L71" s="369"/>
      <c r="M71" s="369"/>
      <c r="N71" s="369"/>
      <c r="O71" s="369"/>
      <c r="P71" s="369"/>
      <c r="Q71" s="369"/>
      <c r="R71" s="369"/>
      <c r="S71" s="369"/>
      <c r="T71" s="369"/>
      <c r="U71" s="369"/>
    </row>
    <row r="72" spans="2:21" ht="16" x14ac:dyDescent="0.2">
      <c r="B72" s="371" t="s">
        <v>576</v>
      </c>
      <c r="C72" s="368"/>
      <c r="D72" s="368"/>
      <c r="E72" s="368"/>
      <c r="F72" s="369"/>
      <c r="G72" s="369"/>
      <c r="H72" s="369"/>
      <c r="I72" s="369"/>
      <c r="J72" s="369"/>
      <c r="K72" s="369"/>
      <c r="L72" s="369"/>
      <c r="M72" s="369"/>
      <c r="N72" s="369"/>
      <c r="O72" s="369"/>
      <c r="P72" s="369"/>
      <c r="Q72" s="369"/>
      <c r="R72" s="369"/>
      <c r="S72" s="369"/>
      <c r="T72" s="369"/>
      <c r="U72" s="369"/>
    </row>
    <row r="73" spans="2:21" ht="15" x14ac:dyDescent="0.2">
      <c r="B73" s="445" t="s">
        <v>609</v>
      </c>
      <c r="C73" s="446">
        <f>E15</f>
        <v>0.15</v>
      </c>
      <c r="D73" s="392"/>
      <c r="E73" s="392"/>
      <c r="F73" s="393"/>
      <c r="G73" s="393"/>
      <c r="H73" s="393"/>
      <c r="I73" s="393"/>
      <c r="J73" s="393"/>
      <c r="K73" s="393"/>
      <c r="L73" s="393"/>
      <c r="M73" s="393"/>
      <c r="N73" s="393"/>
      <c r="O73" s="393"/>
      <c r="P73" s="393"/>
      <c r="Q73" s="393"/>
      <c r="R73" s="393"/>
      <c r="S73" s="393"/>
      <c r="T73" s="393"/>
      <c r="U73" s="393"/>
    </row>
    <row r="74" spans="2:21" ht="15" x14ac:dyDescent="0.2">
      <c r="B74" s="368" t="s">
        <v>610</v>
      </c>
      <c r="C74" s="368"/>
      <c r="D74" s="368"/>
      <c r="E74" s="368"/>
      <c r="F74" s="447">
        <f t="shared" ref="F74:U74" si="33">IF(F37="","",E79)</f>
        <v>0</v>
      </c>
      <c r="G74" s="447">
        <f t="shared" si="33"/>
        <v>5031200</v>
      </c>
      <c r="H74" s="447">
        <f t="shared" ca="1" si="33"/>
        <v>5596997.9505000003</v>
      </c>
      <c r="I74" s="447">
        <f t="shared" ca="1" si="33"/>
        <v>5855988.9020850006</v>
      </c>
      <c r="J74" s="447">
        <f t="shared" ca="1" si="33"/>
        <v>5817649.1010209536</v>
      </c>
      <c r="K74" s="447">
        <f t="shared" ca="1" si="33"/>
        <v>1485672.1213393658</v>
      </c>
      <c r="L74" s="447">
        <f t="shared" ca="1" si="33"/>
        <v>1257656.1656577515</v>
      </c>
      <c r="M74" s="447">
        <f t="shared" ca="1" si="33"/>
        <v>965805.71918459842</v>
      </c>
      <c r="N74" s="447">
        <f t="shared" ca="1" si="33"/>
        <v>599222.62853096519</v>
      </c>
      <c r="O74" s="447">
        <f t="shared" ca="1" si="33"/>
        <v>145318.34419130778</v>
      </c>
      <c r="P74" s="447">
        <f t="shared" ca="1" si="33"/>
        <v>0</v>
      </c>
      <c r="Q74" s="447" t="str">
        <f t="shared" si="33"/>
        <v/>
      </c>
      <c r="R74" s="447" t="str">
        <f t="shared" si="33"/>
        <v/>
      </c>
      <c r="S74" s="447" t="str">
        <f t="shared" si="33"/>
        <v/>
      </c>
      <c r="T74" s="447" t="str">
        <f t="shared" si="33"/>
        <v/>
      </c>
      <c r="U74" s="447" t="str">
        <f t="shared" si="33"/>
        <v/>
      </c>
    </row>
    <row r="75" spans="2:21" ht="15" x14ac:dyDescent="0.2">
      <c r="B75" s="368" t="s">
        <v>623</v>
      </c>
      <c r="C75" s="368"/>
      <c r="D75" s="368"/>
      <c r="E75" s="368"/>
      <c r="F75" s="447">
        <f>IF(F74="","",IF($D$4="Equity Multiple",E76*$C73-E76,F74*$C73))</f>
        <v>0</v>
      </c>
      <c r="G75" s="447">
        <f t="shared" ref="G75:U75" si="34">IF(G74="","",IF($D$4="Equity Multiple",F76*$C73-F76,G74*$C73))</f>
        <v>754680</v>
      </c>
      <c r="H75" s="447">
        <f t="shared" ca="1" si="34"/>
        <v>839549.69257499999</v>
      </c>
      <c r="I75" s="447">
        <f t="shared" ca="1" si="34"/>
        <v>878398.33531275007</v>
      </c>
      <c r="J75" s="447">
        <f t="shared" ca="1" si="34"/>
        <v>872647.36515314307</v>
      </c>
      <c r="K75" s="447">
        <f t="shared" ca="1" si="34"/>
        <v>222850.81820090488</v>
      </c>
      <c r="L75" s="447">
        <f t="shared" ca="1" si="34"/>
        <v>188648.42484866272</v>
      </c>
      <c r="M75" s="447">
        <f t="shared" ca="1" si="34"/>
        <v>144870.85787768976</v>
      </c>
      <c r="N75" s="447">
        <f t="shared" ca="1" si="34"/>
        <v>89883.394279644781</v>
      </c>
      <c r="O75" s="447">
        <f t="shared" ca="1" si="34"/>
        <v>21797.751628696165</v>
      </c>
      <c r="P75" s="447">
        <f t="shared" ca="1" si="34"/>
        <v>0</v>
      </c>
      <c r="Q75" s="447" t="str">
        <f t="shared" si="34"/>
        <v/>
      </c>
      <c r="R75" s="447" t="str">
        <f t="shared" si="34"/>
        <v/>
      </c>
      <c r="S75" s="447" t="str">
        <f t="shared" si="34"/>
        <v/>
      </c>
      <c r="T75" s="447" t="str">
        <f t="shared" si="34"/>
        <v/>
      </c>
      <c r="U75" s="447" t="str">
        <f t="shared" si="34"/>
        <v/>
      </c>
    </row>
    <row r="76" spans="2:21" ht="15" x14ac:dyDescent="0.2">
      <c r="B76" s="368" t="s">
        <v>613</v>
      </c>
      <c r="C76" s="368"/>
      <c r="D76" s="368"/>
      <c r="E76" s="368"/>
      <c r="F76" s="447">
        <f t="shared" ref="F76:U76" si="35">IF(F74="","",-MIN(0,F$47*Equity_Share_LP))</f>
        <v>5031200</v>
      </c>
      <c r="G76" s="447">
        <f t="shared" ca="1" si="35"/>
        <v>0</v>
      </c>
      <c r="H76" s="447">
        <f t="shared" ca="1" si="35"/>
        <v>0</v>
      </c>
      <c r="I76" s="447">
        <f t="shared" ca="1" si="35"/>
        <v>0</v>
      </c>
      <c r="J76" s="447">
        <f t="shared" ca="1" si="35"/>
        <v>0</v>
      </c>
      <c r="K76" s="447">
        <f t="shared" ca="1" si="35"/>
        <v>0</v>
      </c>
      <c r="L76" s="447">
        <f t="shared" ca="1" si="35"/>
        <v>0</v>
      </c>
      <c r="M76" s="447">
        <f t="shared" ca="1" si="35"/>
        <v>0</v>
      </c>
      <c r="N76" s="447">
        <f t="shared" ca="1" si="35"/>
        <v>0</v>
      </c>
      <c r="O76" s="447">
        <f t="shared" ca="1" si="35"/>
        <v>0</v>
      </c>
      <c r="P76" s="447">
        <f t="shared" ca="1" si="35"/>
        <v>0</v>
      </c>
      <c r="Q76" s="447" t="str">
        <f t="shared" si="35"/>
        <v/>
      </c>
      <c r="R76" s="447" t="str">
        <f t="shared" si="35"/>
        <v/>
      </c>
      <c r="S76" s="447" t="str">
        <f t="shared" si="35"/>
        <v/>
      </c>
      <c r="T76" s="447" t="str">
        <f t="shared" si="35"/>
        <v/>
      </c>
      <c r="U76" s="447" t="str">
        <f t="shared" si="35"/>
        <v/>
      </c>
    </row>
    <row r="77" spans="2:21" ht="15" x14ac:dyDescent="0.2">
      <c r="B77" s="368" t="s">
        <v>624</v>
      </c>
      <c r="C77" s="368"/>
      <c r="D77" s="368"/>
      <c r="E77" s="368"/>
      <c r="F77" s="447">
        <f t="shared" ref="F77:U77" si="36">F60</f>
        <v>0</v>
      </c>
      <c r="G77" s="447">
        <f t="shared" ca="1" si="36"/>
        <v>188882.04950000005</v>
      </c>
      <c r="H77" s="447">
        <f t="shared" ca="1" si="36"/>
        <v>580558.74099000008</v>
      </c>
      <c r="I77" s="447">
        <f t="shared" ca="1" si="36"/>
        <v>916738.13637679687</v>
      </c>
      <c r="J77" s="447">
        <f t="shared" ca="1" si="36"/>
        <v>4717896.7444637483</v>
      </c>
      <c r="K77" s="447">
        <f t="shared" ca="1" si="36"/>
        <v>0</v>
      </c>
      <c r="L77" s="447">
        <f t="shared" ca="1" si="36"/>
        <v>0</v>
      </c>
      <c r="M77" s="447">
        <f t="shared" ca="1" si="36"/>
        <v>0</v>
      </c>
      <c r="N77" s="447">
        <f t="shared" ca="1" si="36"/>
        <v>0</v>
      </c>
      <c r="O77" s="447">
        <f t="shared" ca="1" si="36"/>
        <v>0</v>
      </c>
      <c r="P77" s="447">
        <f t="shared" ca="1" si="36"/>
        <v>0</v>
      </c>
      <c r="Q77" s="447" t="str">
        <f t="shared" si="36"/>
        <v/>
      </c>
      <c r="R77" s="447" t="str">
        <f t="shared" si="36"/>
        <v/>
      </c>
      <c r="S77" s="447" t="str">
        <f t="shared" si="36"/>
        <v/>
      </c>
      <c r="T77" s="447" t="str">
        <f t="shared" si="36"/>
        <v/>
      </c>
      <c r="U77" s="447" t="str">
        <f t="shared" si="36"/>
        <v/>
      </c>
    </row>
    <row r="78" spans="2:21" ht="15" x14ac:dyDescent="0.2">
      <c r="B78" s="368" t="str">
        <f>"Distributions to LP "&amp;B72</f>
        <v>Distributions to LP Hurdle 2</v>
      </c>
      <c r="C78" s="368"/>
      <c r="D78" s="368"/>
      <c r="E78" s="368"/>
      <c r="F78" s="447">
        <f t="shared" ref="F78:U78" si="37">IF(F74="","",MIN(F74+F75-F77,F70*$I$15))</f>
        <v>0</v>
      </c>
      <c r="G78" s="447">
        <f t="shared" ca="1" si="37"/>
        <v>0</v>
      </c>
      <c r="H78" s="447">
        <f t="shared" ca="1" si="37"/>
        <v>6.6356733441352839E-11</v>
      </c>
      <c r="I78" s="447">
        <f t="shared" ca="1" si="37"/>
        <v>0</v>
      </c>
      <c r="J78" s="447">
        <f t="shared" ca="1" si="37"/>
        <v>486727.60037098272</v>
      </c>
      <c r="K78" s="447">
        <f t="shared" ca="1" si="37"/>
        <v>450866.77388251916</v>
      </c>
      <c r="L78" s="447">
        <f t="shared" ca="1" si="37"/>
        <v>480498.87132181582</v>
      </c>
      <c r="M78" s="447">
        <f t="shared" ca="1" si="37"/>
        <v>511453.94853132317</v>
      </c>
      <c r="N78" s="447">
        <f t="shared" ca="1" si="37"/>
        <v>543787.67861930223</v>
      </c>
      <c r="O78" s="447">
        <f t="shared" ca="1" si="37"/>
        <v>167116.09582000395</v>
      </c>
      <c r="P78" s="447">
        <f t="shared" ca="1" si="37"/>
        <v>0</v>
      </c>
      <c r="Q78" s="447" t="str">
        <f t="shared" si="37"/>
        <v/>
      </c>
      <c r="R78" s="447" t="str">
        <f t="shared" si="37"/>
        <v/>
      </c>
      <c r="S78" s="447" t="str">
        <f t="shared" si="37"/>
        <v/>
      </c>
      <c r="T78" s="447" t="str">
        <f t="shared" si="37"/>
        <v/>
      </c>
      <c r="U78" s="447" t="str">
        <f t="shared" si="37"/>
        <v/>
      </c>
    </row>
    <row r="79" spans="2:21" ht="15" x14ac:dyDescent="0.2">
      <c r="B79" s="368" t="s">
        <v>615</v>
      </c>
      <c r="C79" s="368"/>
      <c r="D79" s="368"/>
      <c r="E79" s="368"/>
      <c r="F79" s="447">
        <f>F74+F76-F78</f>
        <v>5031200</v>
      </c>
      <c r="G79" s="447">
        <f t="shared" ref="G79:U79" ca="1" si="38">IF(G74="","",G74+G75+G76-G77-G78)</f>
        <v>5596997.9505000003</v>
      </c>
      <c r="H79" s="447">
        <f t="shared" ca="1" si="38"/>
        <v>5855988.9020850006</v>
      </c>
      <c r="I79" s="447">
        <f t="shared" ca="1" si="38"/>
        <v>5817649.1010209536</v>
      </c>
      <c r="J79" s="447">
        <f t="shared" ca="1" si="38"/>
        <v>1485672.1213393658</v>
      </c>
      <c r="K79" s="447">
        <f t="shared" ca="1" si="38"/>
        <v>1257656.1656577515</v>
      </c>
      <c r="L79" s="447">
        <f t="shared" ca="1" si="38"/>
        <v>965805.71918459842</v>
      </c>
      <c r="M79" s="447">
        <f t="shared" ca="1" si="38"/>
        <v>599222.62853096519</v>
      </c>
      <c r="N79" s="447">
        <f t="shared" ca="1" si="38"/>
        <v>145318.34419130778</v>
      </c>
      <c r="O79" s="447">
        <f t="shared" ca="1" si="38"/>
        <v>0</v>
      </c>
      <c r="P79" s="447">
        <f t="shared" ca="1" si="38"/>
        <v>0</v>
      </c>
      <c r="Q79" s="447" t="str">
        <f t="shared" si="38"/>
        <v/>
      </c>
      <c r="R79" s="447" t="str">
        <f t="shared" si="38"/>
        <v/>
      </c>
      <c r="S79" s="447" t="str">
        <f t="shared" si="38"/>
        <v/>
      </c>
      <c r="T79" s="447" t="str">
        <f t="shared" si="38"/>
        <v/>
      </c>
      <c r="U79" s="447" t="str">
        <f t="shared" si="38"/>
        <v/>
      </c>
    </row>
    <row r="80" spans="2:21" ht="15" x14ac:dyDescent="0.2">
      <c r="B80" s="451">
        <f>C73</f>
        <v>0.15</v>
      </c>
      <c r="C80" s="368"/>
      <c r="D80" s="368"/>
      <c r="E80" s="450">
        <f ca="1">IF($D$4="IRR",IRR(F80:U80),SUMIF(F80:U80,"&gt;0")/-SUMIF(F80:U80,"&lt;0"))</f>
        <v>0.14999999999999702</v>
      </c>
      <c r="F80" s="447">
        <f>IF(F74="","",-F76+F78)</f>
        <v>-5031200</v>
      </c>
      <c r="G80" s="447">
        <f t="shared" ref="G80:U80" ca="1" si="39">IF(G74="","",-G76+G77+G78)</f>
        <v>188882.04950000005</v>
      </c>
      <c r="H80" s="447">
        <f t="shared" ca="1" si="39"/>
        <v>580558.74099000019</v>
      </c>
      <c r="I80" s="447">
        <f t="shared" ca="1" si="39"/>
        <v>916738.13637679687</v>
      </c>
      <c r="J80" s="447">
        <f t="shared" ca="1" si="39"/>
        <v>5204624.344834731</v>
      </c>
      <c r="K80" s="447">
        <f t="shared" ca="1" si="39"/>
        <v>450866.77388251916</v>
      </c>
      <c r="L80" s="447">
        <f t="shared" ca="1" si="39"/>
        <v>480498.87132181582</v>
      </c>
      <c r="M80" s="447">
        <f t="shared" ca="1" si="39"/>
        <v>511453.94853132317</v>
      </c>
      <c r="N80" s="447">
        <f t="shared" ca="1" si="39"/>
        <v>543787.67861930223</v>
      </c>
      <c r="O80" s="447">
        <f t="shared" ca="1" si="39"/>
        <v>167116.09582000395</v>
      </c>
      <c r="P80" s="447">
        <f t="shared" ca="1" si="39"/>
        <v>0</v>
      </c>
      <c r="Q80" s="447" t="str">
        <f t="shared" si="39"/>
        <v/>
      </c>
      <c r="R80" s="447" t="str">
        <f t="shared" si="39"/>
        <v/>
      </c>
      <c r="S80" s="447" t="str">
        <f t="shared" si="39"/>
        <v/>
      </c>
      <c r="T80" s="447" t="str">
        <f t="shared" si="39"/>
        <v/>
      </c>
      <c r="U80" s="447" t="str">
        <f t="shared" si="39"/>
        <v/>
      </c>
    </row>
    <row r="81" spans="2:21" ht="5" customHeight="1" x14ac:dyDescent="0.2">
      <c r="B81" s="356" t="s">
        <v>625</v>
      </c>
      <c r="C81" s="356" t="s">
        <v>625</v>
      </c>
      <c r="D81" s="356" t="s">
        <v>625</v>
      </c>
      <c r="E81" s="356" t="s">
        <v>625</v>
      </c>
      <c r="F81" s="452" t="str">
        <f t="shared" ref="F81:U81" si="40">IF(F74="","",".")</f>
        <v>.</v>
      </c>
      <c r="G81" s="452" t="str">
        <f t="shared" si="40"/>
        <v>.</v>
      </c>
      <c r="H81" s="452" t="str">
        <f t="shared" ca="1" si="40"/>
        <v>.</v>
      </c>
      <c r="I81" s="452" t="str">
        <f t="shared" ca="1" si="40"/>
        <v>.</v>
      </c>
      <c r="J81" s="452" t="str">
        <f t="shared" ca="1" si="40"/>
        <v>.</v>
      </c>
      <c r="K81" s="452" t="str">
        <f t="shared" ca="1" si="40"/>
        <v>.</v>
      </c>
      <c r="L81" s="452" t="str">
        <f t="shared" ca="1" si="40"/>
        <v>.</v>
      </c>
      <c r="M81" s="452" t="str">
        <f t="shared" ca="1" si="40"/>
        <v>.</v>
      </c>
      <c r="N81" s="452" t="str">
        <f t="shared" ca="1" si="40"/>
        <v>.</v>
      </c>
      <c r="O81" s="452" t="str">
        <f t="shared" ca="1" si="40"/>
        <v>.</v>
      </c>
      <c r="P81" s="452" t="str">
        <f t="shared" ca="1" si="40"/>
        <v>.</v>
      </c>
      <c r="Q81" s="452" t="str">
        <f t="shared" si="40"/>
        <v/>
      </c>
      <c r="R81" s="452" t="str">
        <f t="shared" si="40"/>
        <v/>
      </c>
      <c r="S81" s="452" t="str">
        <f t="shared" si="40"/>
        <v/>
      </c>
      <c r="T81" s="452" t="str">
        <f t="shared" si="40"/>
        <v/>
      </c>
      <c r="U81" s="452" t="str">
        <f t="shared" si="40"/>
        <v/>
      </c>
    </row>
    <row r="82" spans="2:21" ht="15" x14ac:dyDescent="0.2">
      <c r="B82" s="368" t="s">
        <v>616</v>
      </c>
      <c r="C82" s="368"/>
      <c r="D82" s="368"/>
      <c r="E82" s="368"/>
      <c r="F82" s="447">
        <f t="shared" ref="F82:U82" si="41">IF(F74="","",F78)</f>
        <v>0</v>
      </c>
      <c r="G82" s="447">
        <f t="shared" ca="1" si="41"/>
        <v>0</v>
      </c>
      <c r="H82" s="447">
        <f t="shared" ca="1" si="41"/>
        <v>6.6356733441352839E-11</v>
      </c>
      <c r="I82" s="447">
        <f t="shared" ca="1" si="41"/>
        <v>0</v>
      </c>
      <c r="J82" s="447">
        <f t="shared" ca="1" si="41"/>
        <v>486727.60037098272</v>
      </c>
      <c r="K82" s="447">
        <f t="shared" ca="1" si="41"/>
        <v>450866.77388251916</v>
      </c>
      <c r="L82" s="447">
        <f t="shared" ca="1" si="41"/>
        <v>480498.87132181582</v>
      </c>
      <c r="M82" s="447">
        <f t="shared" ca="1" si="41"/>
        <v>511453.94853132317</v>
      </c>
      <c r="N82" s="447">
        <f t="shared" ca="1" si="41"/>
        <v>543787.67861930223</v>
      </c>
      <c r="O82" s="447">
        <f t="shared" ca="1" si="41"/>
        <v>167116.09582000395</v>
      </c>
      <c r="P82" s="447">
        <f t="shared" ca="1" si="41"/>
        <v>0</v>
      </c>
      <c r="Q82" s="447" t="str">
        <f t="shared" si="41"/>
        <v/>
      </c>
      <c r="R82" s="447" t="str">
        <f t="shared" si="41"/>
        <v/>
      </c>
      <c r="S82" s="447" t="str">
        <f t="shared" si="41"/>
        <v/>
      </c>
      <c r="T82" s="447" t="str">
        <f t="shared" si="41"/>
        <v/>
      </c>
      <c r="U82" s="447" t="str">
        <f t="shared" si="41"/>
        <v/>
      </c>
    </row>
    <row r="83" spans="2:21" ht="15" x14ac:dyDescent="0.2">
      <c r="B83" s="368" t="s">
        <v>620</v>
      </c>
      <c r="C83" s="368"/>
      <c r="D83" s="368"/>
      <c r="E83" s="368"/>
      <c r="F83" s="447">
        <f>IF(F74="","",F82/$I$15*$H$15)</f>
        <v>0</v>
      </c>
      <c r="G83" s="447">
        <f t="shared" ref="G83:U83" ca="1" si="42">IF(G74="","",G82/$I$15*$H$15)</f>
        <v>0</v>
      </c>
      <c r="H83" s="447">
        <f t="shared" ca="1" si="42"/>
        <v>5.0058588385581976E-11</v>
      </c>
      <c r="I83" s="447">
        <f t="shared" ca="1" si="42"/>
        <v>0</v>
      </c>
      <c r="J83" s="447">
        <f t="shared" ca="1" si="42"/>
        <v>367180.4704553028</v>
      </c>
      <c r="K83" s="447">
        <f t="shared" ca="1" si="42"/>
        <v>340127.56626225141</v>
      </c>
      <c r="L83" s="447">
        <f t="shared" ca="1" si="42"/>
        <v>362481.60468136991</v>
      </c>
      <c r="M83" s="447">
        <f t="shared" ca="1" si="42"/>
        <v>385833.68047099822</v>
      </c>
      <c r="N83" s="447">
        <f t="shared" ca="1" si="42"/>
        <v>410225.79264263157</v>
      </c>
      <c r="O83" s="447">
        <f t="shared" ca="1" si="42"/>
        <v>126070.03719754686</v>
      </c>
      <c r="P83" s="447">
        <f t="shared" ca="1" si="42"/>
        <v>0</v>
      </c>
      <c r="Q83" s="447" t="str">
        <f t="shared" si="42"/>
        <v/>
      </c>
      <c r="R83" s="447" t="str">
        <f t="shared" si="42"/>
        <v/>
      </c>
      <c r="S83" s="447" t="str">
        <f t="shared" si="42"/>
        <v/>
      </c>
      <c r="T83" s="447" t="str">
        <f t="shared" si="42"/>
        <v/>
      </c>
      <c r="U83" s="447" t="str">
        <f t="shared" si="42"/>
        <v/>
      </c>
    </row>
    <row r="84" spans="2:21" ht="15" x14ac:dyDescent="0.2">
      <c r="B84" s="368" t="str">
        <f>"Total Distributions ("&amp;B72&amp;")"</f>
        <v>Total Distributions (Hurdle 2)</v>
      </c>
      <c r="C84" s="368"/>
      <c r="D84" s="368"/>
      <c r="E84" s="368"/>
      <c r="F84" s="447">
        <f t="shared" ref="F84:U84" si="43">IF(F74="","",F82+F83)</f>
        <v>0</v>
      </c>
      <c r="G84" s="447">
        <f t="shared" ca="1" si="43"/>
        <v>0</v>
      </c>
      <c r="H84" s="447">
        <f t="shared" ca="1" si="43"/>
        <v>1.1641532182693481E-10</v>
      </c>
      <c r="I84" s="447">
        <f t="shared" ca="1" si="43"/>
        <v>0</v>
      </c>
      <c r="J84" s="447">
        <f t="shared" ca="1" si="43"/>
        <v>853908.07082628552</v>
      </c>
      <c r="K84" s="447">
        <f t="shared" ca="1" si="43"/>
        <v>790994.34014477057</v>
      </c>
      <c r="L84" s="447">
        <f t="shared" ca="1" si="43"/>
        <v>842980.47600318573</v>
      </c>
      <c r="M84" s="447">
        <f t="shared" ca="1" si="43"/>
        <v>897287.6290023214</v>
      </c>
      <c r="N84" s="447">
        <f t="shared" ca="1" si="43"/>
        <v>954013.4712619338</v>
      </c>
      <c r="O84" s="447">
        <f t="shared" ca="1" si="43"/>
        <v>293186.1330175508</v>
      </c>
      <c r="P84" s="447">
        <f t="shared" ca="1" si="43"/>
        <v>0</v>
      </c>
      <c r="Q84" s="447" t="str">
        <f t="shared" si="43"/>
        <v/>
      </c>
      <c r="R84" s="447" t="str">
        <f t="shared" si="43"/>
        <v/>
      </c>
      <c r="S84" s="447" t="str">
        <f t="shared" si="43"/>
        <v/>
      </c>
      <c r="T84" s="447" t="str">
        <f t="shared" si="43"/>
        <v/>
      </c>
      <c r="U84" s="447" t="str">
        <f t="shared" si="43"/>
        <v/>
      </c>
    </row>
    <row r="85" spans="2:21" ht="15" x14ac:dyDescent="0.2">
      <c r="B85" s="368" t="s">
        <v>622</v>
      </c>
      <c r="C85" s="368"/>
      <c r="D85" s="368"/>
      <c r="E85" s="368"/>
      <c r="F85" s="447">
        <f t="shared" ref="F85:U85" si="44">IF(F74="","",MAX(F$47-F69-F84,0))</f>
        <v>0</v>
      </c>
      <c r="G85" s="447">
        <f t="shared" ca="1" si="44"/>
        <v>0</v>
      </c>
      <c r="H85" s="447">
        <f t="shared" ca="1" si="44"/>
        <v>0</v>
      </c>
      <c r="I85" s="447">
        <f t="shared" ca="1" si="44"/>
        <v>0</v>
      </c>
      <c r="J85" s="447">
        <f t="shared" ca="1" si="44"/>
        <v>0</v>
      </c>
      <c r="K85" s="447">
        <f t="shared" ca="1" si="44"/>
        <v>0</v>
      </c>
      <c r="L85" s="447">
        <f t="shared" ca="1" si="44"/>
        <v>0</v>
      </c>
      <c r="M85" s="447">
        <f t="shared" ca="1" si="44"/>
        <v>0</v>
      </c>
      <c r="N85" s="447">
        <f t="shared" ca="1" si="44"/>
        <v>0</v>
      </c>
      <c r="O85" s="447">
        <f t="shared" ca="1" si="44"/>
        <v>720073.54539770156</v>
      </c>
      <c r="P85" s="447">
        <f t="shared" ca="1" si="44"/>
        <v>719422.52049226337</v>
      </c>
      <c r="Q85" s="447" t="str">
        <f t="shared" si="44"/>
        <v/>
      </c>
      <c r="R85" s="447" t="str">
        <f t="shared" si="44"/>
        <v/>
      </c>
      <c r="S85" s="447" t="str">
        <f t="shared" si="44"/>
        <v/>
      </c>
      <c r="T85" s="447" t="str">
        <f t="shared" si="44"/>
        <v/>
      </c>
      <c r="U85" s="447" t="str">
        <f t="shared" si="44"/>
        <v/>
      </c>
    </row>
    <row r="86" spans="2:21" ht="5" customHeight="1" x14ac:dyDescent="0.2">
      <c r="B86" s="368"/>
      <c r="C86" s="368"/>
      <c r="D86" s="368"/>
      <c r="E86" s="368"/>
      <c r="F86" s="369"/>
      <c r="G86" s="369"/>
      <c r="H86" s="369"/>
      <c r="I86" s="369"/>
      <c r="J86" s="369"/>
      <c r="K86" s="369"/>
      <c r="L86" s="369"/>
      <c r="M86" s="369"/>
      <c r="N86" s="369"/>
      <c r="O86" s="369"/>
      <c r="P86" s="369"/>
      <c r="Q86" s="369"/>
      <c r="R86" s="369"/>
      <c r="S86" s="369"/>
      <c r="T86" s="369"/>
      <c r="U86" s="369"/>
    </row>
    <row r="87" spans="2:21" ht="16" x14ac:dyDescent="0.2">
      <c r="B87" s="371" t="s">
        <v>577</v>
      </c>
      <c r="C87" s="368"/>
      <c r="D87" s="368"/>
      <c r="E87" s="368"/>
      <c r="F87" s="369"/>
      <c r="G87" s="369"/>
      <c r="H87" s="369"/>
      <c r="I87" s="369"/>
      <c r="J87" s="369"/>
      <c r="K87" s="369"/>
      <c r="L87" s="369"/>
      <c r="M87" s="369"/>
      <c r="N87" s="369"/>
      <c r="O87" s="369"/>
      <c r="P87" s="369"/>
      <c r="Q87" s="369"/>
      <c r="R87" s="369"/>
      <c r="S87" s="369"/>
      <c r="T87" s="369"/>
      <c r="U87" s="369"/>
    </row>
    <row r="88" spans="2:21" ht="15" x14ac:dyDescent="0.2">
      <c r="B88" s="445" t="s">
        <v>609</v>
      </c>
      <c r="C88" s="446">
        <f>E16</f>
        <v>0.99</v>
      </c>
      <c r="D88" s="392"/>
      <c r="E88" s="392"/>
      <c r="F88" s="393"/>
      <c r="G88" s="393"/>
      <c r="H88" s="393"/>
      <c r="I88" s="393"/>
      <c r="J88" s="393"/>
      <c r="K88" s="393"/>
      <c r="L88" s="393"/>
      <c r="M88" s="393"/>
      <c r="N88" s="393"/>
      <c r="O88" s="393"/>
      <c r="P88" s="393"/>
      <c r="Q88" s="393"/>
      <c r="R88" s="393"/>
      <c r="S88" s="393"/>
      <c r="T88" s="393"/>
      <c r="U88" s="393"/>
    </row>
    <row r="89" spans="2:21" ht="15" x14ac:dyDescent="0.2">
      <c r="B89" s="368" t="s">
        <v>610</v>
      </c>
      <c r="C89" s="368"/>
      <c r="D89" s="368"/>
      <c r="E89" s="368"/>
      <c r="F89" s="447">
        <f t="shared" ref="F89:U89" si="45">IF(F65="","",E94)</f>
        <v>0</v>
      </c>
      <c r="G89" s="447">
        <f t="shared" ca="1" si="45"/>
        <v>5031200</v>
      </c>
      <c r="H89" s="447">
        <f t="shared" ca="1" si="45"/>
        <v>9823205.9505000003</v>
      </c>
      <c r="I89" s="447">
        <f t="shared" ca="1" si="45"/>
        <v>18967621.100504998</v>
      </c>
      <c r="J89" s="447">
        <f t="shared" ca="1" si="45"/>
        <v>36828827.853628144</v>
      </c>
      <c r="K89" s="447">
        <f t="shared" ca="1" si="45"/>
        <v>68084743.083885267</v>
      </c>
      <c r="L89" s="447">
        <f t="shared" ca="1" si="45"/>
        <v>135037771.96304917</v>
      </c>
      <c r="M89" s="447">
        <f t="shared" ca="1" si="45"/>
        <v>268244667.33514604</v>
      </c>
      <c r="N89" s="447">
        <f t="shared" ca="1" si="45"/>
        <v>533295434.04840928</v>
      </c>
      <c r="O89" s="447">
        <f t="shared" ca="1" si="45"/>
        <v>1060714126.0777153</v>
      </c>
      <c r="P89" s="447">
        <f t="shared" ca="1" si="45"/>
        <v>2110311959.8647695</v>
      </c>
      <c r="Q89" s="447" t="str">
        <f t="shared" si="45"/>
        <v/>
      </c>
      <c r="R89" s="447" t="str">
        <f t="shared" si="45"/>
        <v/>
      </c>
      <c r="S89" s="447" t="str">
        <f t="shared" si="45"/>
        <v/>
      </c>
      <c r="T89" s="447" t="str">
        <f t="shared" si="45"/>
        <v/>
      </c>
      <c r="U89" s="447" t="str">
        <f t="shared" si="45"/>
        <v/>
      </c>
    </row>
    <row r="90" spans="2:21" ht="15" x14ac:dyDescent="0.2">
      <c r="B90" s="368" t="s">
        <v>626</v>
      </c>
      <c r="C90" s="368"/>
      <c r="D90" s="368"/>
      <c r="E90" s="368"/>
      <c r="F90" s="447">
        <f>IF(F89="","",IF($D$4="Equity Multiple",E91*$C88-E91,F89*$C88))</f>
        <v>0</v>
      </c>
      <c r="G90" s="447">
        <f t="shared" ref="G90:U90" ca="1" si="46">IF(G89="","",IF($D$4="Equity Multiple",F91*$C88-F91,G89*$C88))</f>
        <v>4980888</v>
      </c>
      <c r="H90" s="447">
        <f t="shared" ca="1" si="46"/>
        <v>9724973.8909949996</v>
      </c>
      <c r="I90" s="447">
        <f t="shared" ca="1" si="46"/>
        <v>18777944.889499947</v>
      </c>
      <c r="J90" s="447">
        <f t="shared" ca="1" si="46"/>
        <v>36460539.575091861</v>
      </c>
      <c r="K90" s="447">
        <f t="shared" ca="1" si="46"/>
        <v>67403895.653046414</v>
      </c>
      <c r="L90" s="447">
        <f t="shared" ca="1" si="46"/>
        <v>133687394.24341868</v>
      </c>
      <c r="M90" s="447">
        <f t="shared" ca="1" si="46"/>
        <v>265562220.66179457</v>
      </c>
      <c r="N90" s="447">
        <f t="shared" ca="1" si="46"/>
        <v>527962479.7079252</v>
      </c>
      <c r="O90" s="447">
        <f t="shared" ca="1" si="46"/>
        <v>1050106984.8169382</v>
      </c>
      <c r="P90" s="447">
        <f t="shared" ca="1" si="46"/>
        <v>2089208840.2661219</v>
      </c>
      <c r="Q90" s="447" t="str">
        <f t="shared" si="46"/>
        <v/>
      </c>
      <c r="R90" s="447" t="str">
        <f t="shared" si="46"/>
        <v/>
      </c>
      <c r="S90" s="447" t="str">
        <f t="shared" si="46"/>
        <v/>
      </c>
      <c r="T90" s="447" t="str">
        <f t="shared" si="46"/>
        <v/>
      </c>
      <c r="U90" s="447" t="str">
        <f t="shared" si="46"/>
        <v/>
      </c>
    </row>
    <row r="91" spans="2:21" ht="15" x14ac:dyDescent="0.2">
      <c r="B91" s="368" t="s">
        <v>613</v>
      </c>
      <c r="C91" s="368"/>
      <c r="D91" s="368"/>
      <c r="E91" s="368"/>
      <c r="F91" s="447">
        <f t="shared" ref="F91:U91" si="47">IF(F89="","",-MIN(0,F$47*Equity_Share_LP))</f>
        <v>5031200</v>
      </c>
      <c r="G91" s="447">
        <f t="shared" ca="1" si="47"/>
        <v>0</v>
      </c>
      <c r="H91" s="447">
        <f t="shared" ca="1" si="47"/>
        <v>0</v>
      </c>
      <c r="I91" s="447">
        <f t="shared" ca="1" si="47"/>
        <v>0</v>
      </c>
      <c r="J91" s="447">
        <f t="shared" ca="1" si="47"/>
        <v>0</v>
      </c>
      <c r="K91" s="447">
        <f t="shared" ca="1" si="47"/>
        <v>0</v>
      </c>
      <c r="L91" s="447">
        <f t="shared" ca="1" si="47"/>
        <v>0</v>
      </c>
      <c r="M91" s="447">
        <f t="shared" ca="1" si="47"/>
        <v>0</v>
      </c>
      <c r="N91" s="447">
        <f t="shared" ca="1" si="47"/>
        <v>0</v>
      </c>
      <c r="O91" s="447">
        <f t="shared" ca="1" si="47"/>
        <v>0</v>
      </c>
      <c r="P91" s="447">
        <f t="shared" ca="1" si="47"/>
        <v>0</v>
      </c>
      <c r="Q91" s="447" t="str">
        <f t="shared" si="47"/>
        <v/>
      </c>
      <c r="R91" s="447" t="str">
        <f t="shared" si="47"/>
        <v/>
      </c>
      <c r="S91" s="447" t="str">
        <f t="shared" si="47"/>
        <v/>
      </c>
      <c r="T91" s="447" t="str">
        <f t="shared" si="47"/>
        <v/>
      </c>
      <c r="U91" s="447" t="str">
        <f t="shared" si="47"/>
        <v/>
      </c>
    </row>
    <row r="92" spans="2:21" ht="15" x14ac:dyDescent="0.2">
      <c r="B92" s="368" t="s">
        <v>624</v>
      </c>
      <c r="C92" s="368"/>
      <c r="D92" s="368"/>
      <c r="E92" s="368"/>
      <c r="F92" s="447">
        <f t="shared" ref="F92:U92" si="48">IF(F89="","",F82+F60)</f>
        <v>0</v>
      </c>
      <c r="G92" s="447">
        <f t="shared" ca="1" si="48"/>
        <v>188882.04950000005</v>
      </c>
      <c r="H92" s="447">
        <f t="shared" ca="1" si="48"/>
        <v>580558.74099000019</v>
      </c>
      <c r="I92" s="447">
        <f t="shared" ca="1" si="48"/>
        <v>916738.13637679687</v>
      </c>
      <c r="J92" s="447">
        <f t="shared" ca="1" si="48"/>
        <v>5204624.344834731</v>
      </c>
      <c r="K92" s="447">
        <f t="shared" ca="1" si="48"/>
        <v>450866.77388251916</v>
      </c>
      <c r="L92" s="447">
        <f t="shared" ca="1" si="48"/>
        <v>480498.87132181582</v>
      </c>
      <c r="M92" s="447">
        <f t="shared" ca="1" si="48"/>
        <v>511453.94853132317</v>
      </c>
      <c r="N92" s="447">
        <f t="shared" ca="1" si="48"/>
        <v>543787.67861930223</v>
      </c>
      <c r="O92" s="447">
        <f t="shared" ca="1" si="48"/>
        <v>167116.09582000395</v>
      </c>
      <c r="P92" s="447">
        <f t="shared" ca="1" si="48"/>
        <v>0</v>
      </c>
      <c r="Q92" s="447" t="str">
        <f t="shared" si="48"/>
        <v/>
      </c>
      <c r="R92" s="447" t="str">
        <f t="shared" si="48"/>
        <v/>
      </c>
      <c r="S92" s="447" t="str">
        <f t="shared" si="48"/>
        <v/>
      </c>
      <c r="T92" s="447" t="str">
        <f t="shared" si="48"/>
        <v/>
      </c>
      <c r="U92" s="447" t="str">
        <f t="shared" si="48"/>
        <v/>
      </c>
    </row>
    <row r="93" spans="2:21" ht="15" x14ac:dyDescent="0.2">
      <c r="B93" s="368" t="str">
        <f>"Distributions to LP "&amp;B87</f>
        <v>Distributions to LP Hurdle 3</v>
      </c>
      <c r="C93" s="368"/>
      <c r="D93" s="368"/>
      <c r="E93" s="368"/>
      <c r="F93" s="447">
        <f t="shared" ref="F93:U93" si="49">IF(F89="","",MIN(F89+F90-F92,F85*$I$16))</f>
        <v>0</v>
      </c>
      <c r="G93" s="447">
        <f t="shared" ca="1" si="49"/>
        <v>0</v>
      </c>
      <c r="H93" s="447">
        <f t="shared" ca="1" si="49"/>
        <v>0</v>
      </c>
      <c r="I93" s="447">
        <f t="shared" ca="1" si="49"/>
        <v>0</v>
      </c>
      <c r="J93" s="447">
        <f t="shared" ca="1" si="49"/>
        <v>0</v>
      </c>
      <c r="K93" s="447">
        <f t="shared" ca="1" si="49"/>
        <v>0</v>
      </c>
      <c r="L93" s="447">
        <f t="shared" ca="1" si="49"/>
        <v>0</v>
      </c>
      <c r="M93" s="447">
        <f t="shared" ca="1" si="49"/>
        <v>0</v>
      </c>
      <c r="N93" s="447">
        <f t="shared" ca="1" si="49"/>
        <v>0</v>
      </c>
      <c r="O93" s="447">
        <f t="shared" ca="1" si="49"/>
        <v>342034.93406390824</v>
      </c>
      <c r="P93" s="447">
        <f t="shared" ca="1" si="49"/>
        <v>341725.69723382511</v>
      </c>
      <c r="Q93" s="447" t="str">
        <f t="shared" si="49"/>
        <v/>
      </c>
      <c r="R93" s="447" t="str">
        <f t="shared" si="49"/>
        <v/>
      </c>
      <c r="S93" s="447" t="str">
        <f t="shared" si="49"/>
        <v/>
      </c>
      <c r="T93" s="447" t="str">
        <f t="shared" si="49"/>
        <v/>
      </c>
      <c r="U93" s="447" t="str">
        <f t="shared" si="49"/>
        <v/>
      </c>
    </row>
    <row r="94" spans="2:21" ht="15" x14ac:dyDescent="0.2">
      <c r="B94" s="368" t="s">
        <v>615</v>
      </c>
      <c r="C94" s="368"/>
      <c r="D94" s="368"/>
      <c r="E94" s="368"/>
      <c r="F94" s="447">
        <f>F89+F91-F93</f>
        <v>5031200</v>
      </c>
      <c r="G94" s="447">
        <f t="shared" ref="G94:U94" ca="1" si="50">IF(G89="","",G89+G90+G91-G92-G93)</f>
        <v>9823205.9505000003</v>
      </c>
      <c r="H94" s="447">
        <f t="shared" ca="1" si="50"/>
        <v>18967621.100504998</v>
      </c>
      <c r="I94" s="447">
        <f t="shared" ca="1" si="50"/>
        <v>36828827.853628144</v>
      </c>
      <c r="J94" s="447">
        <f t="shared" ca="1" si="50"/>
        <v>68084743.083885267</v>
      </c>
      <c r="K94" s="447">
        <f t="shared" ca="1" si="50"/>
        <v>135037771.96304917</v>
      </c>
      <c r="L94" s="447">
        <f t="shared" ca="1" si="50"/>
        <v>268244667.33514604</v>
      </c>
      <c r="M94" s="447">
        <f t="shared" ca="1" si="50"/>
        <v>533295434.04840928</v>
      </c>
      <c r="N94" s="447">
        <f t="shared" ca="1" si="50"/>
        <v>1060714126.0777153</v>
      </c>
      <c r="O94" s="447">
        <f t="shared" ca="1" si="50"/>
        <v>2110311959.8647695</v>
      </c>
      <c r="P94" s="447">
        <f t="shared" ca="1" si="50"/>
        <v>4199179074.4336576</v>
      </c>
      <c r="Q94" s="447" t="str">
        <f t="shared" si="50"/>
        <v/>
      </c>
      <c r="R94" s="447" t="str">
        <f t="shared" si="50"/>
        <v/>
      </c>
      <c r="S94" s="447" t="str">
        <f t="shared" si="50"/>
        <v/>
      </c>
      <c r="T94" s="447" t="str">
        <f t="shared" si="50"/>
        <v/>
      </c>
      <c r="U94" s="447" t="str">
        <f t="shared" si="50"/>
        <v/>
      </c>
    </row>
    <row r="95" spans="2:21" ht="15" x14ac:dyDescent="0.2">
      <c r="B95" s="451">
        <f>C88</f>
        <v>0.99</v>
      </c>
      <c r="C95" s="368"/>
      <c r="D95" s="368"/>
      <c r="E95" s="450">
        <f ca="1">IF($D$4="IRR",IRR(F95:U95),SUMIF(F95:U95,"&gt;0")/-SUMIF(F95:U95,"&lt;0"))</f>
        <v>0.15972143347506274</v>
      </c>
      <c r="F95" s="447">
        <f>IF(F89="","",-F91+F93)</f>
        <v>-5031200</v>
      </c>
      <c r="G95" s="447">
        <f t="shared" ref="G95:U95" ca="1" si="51">IF(G89="","",-G91+G92+G93)</f>
        <v>188882.04950000005</v>
      </c>
      <c r="H95" s="447">
        <f t="shared" ca="1" si="51"/>
        <v>580558.74099000019</v>
      </c>
      <c r="I95" s="447">
        <f t="shared" ca="1" si="51"/>
        <v>916738.13637679687</v>
      </c>
      <c r="J95" s="447">
        <f t="shared" ca="1" si="51"/>
        <v>5204624.344834731</v>
      </c>
      <c r="K95" s="447">
        <f t="shared" ca="1" si="51"/>
        <v>450866.77388251916</v>
      </c>
      <c r="L95" s="447">
        <f t="shared" ca="1" si="51"/>
        <v>480498.87132181582</v>
      </c>
      <c r="M95" s="447">
        <f t="shared" ca="1" si="51"/>
        <v>511453.94853132317</v>
      </c>
      <c r="N95" s="447">
        <f t="shared" ca="1" si="51"/>
        <v>543787.67861930223</v>
      </c>
      <c r="O95" s="447">
        <f t="shared" ca="1" si="51"/>
        <v>509151.02988391218</v>
      </c>
      <c r="P95" s="447">
        <f t="shared" ca="1" si="51"/>
        <v>341725.69723382511</v>
      </c>
      <c r="Q95" s="447" t="str">
        <f t="shared" si="51"/>
        <v/>
      </c>
      <c r="R95" s="447" t="str">
        <f t="shared" si="51"/>
        <v/>
      </c>
      <c r="S95" s="447" t="str">
        <f t="shared" si="51"/>
        <v/>
      </c>
      <c r="T95" s="447" t="str">
        <f t="shared" si="51"/>
        <v/>
      </c>
      <c r="U95" s="447" t="str">
        <f t="shared" si="51"/>
        <v/>
      </c>
    </row>
    <row r="96" spans="2:21" ht="5" customHeight="1" x14ac:dyDescent="0.2">
      <c r="B96" s="356" t="s">
        <v>625</v>
      </c>
      <c r="C96" s="356" t="s">
        <v>625</v>
      </c>
      <c r="D96" s="356" t="s">
        <v>625</v>
      </c>
      <c r="E96" s="356" t="s">
        <v>625</v>
      </c>
      <c r="F96" s="452" t="str">
        <f t="shared" ref="F96:U96" si="52">IF(F89="","",".")</f>
        <v>.</v>
      </c>
      <c r="G96" s="452" t="str">
        <f t="shared" ca="1" si="52"/>
        <v>.</v>
      </c>
      <c r="H96" s="452" t="str">
        <f t="shared" ca="1" si="52"/>
        <v>.</v>
      </c>
      <c r="I96" s="452" t="str">
        <f t="shared" ca="1" si="52"/>
        <v>.</v>
      </c>
      <c r="J96" s="452" t="str">
        <f t="shared" ca="1" si="52"/>
        <v>.</v>
      </c>
      <c r="K96" s="452" t="str">
        <f t="shared" ca="1" si="52"/>
        <v>.</v>
      </c>
      <c r="L96" s="452" t="str">
        <f t="shared" ca="1" si="52"/>
        <v>.</v>
      </c>
      <c r="M96" s="452" t="str">
        <f t="shared" ca="1" si="52"/>
        <v>.</v>
      </c>
      <c r="N96" s="452" t="str">
        <f t="shared" ca="1" si="52"/>
        <v>.</v>
      </c>
      <c r="O96" s="452" t="str">
        <f t="shared" ca="1" si="52"/>
        <v>.</v>
      </c>
      <c r="P96" s="452" t="str">
        <f t="shared" ca="1" si="52"/>
        <v>.</v>
      </c>
      <c r="Q96" s="452" t="str">
        <f t="shared" si="52"/>
        <v/>
      </c>
      <c r="R96" s="452" t="str">
        <f t="shared" si="52"/>
        <v/>
      </c>
      <c r="S96" s="452" t="str">
        <f t="shared" si="52"/>
        <v/>
      </c>
      <c r="T96" s="452" t="str">
        <f t="shared" si="52"/>
        <v/>
      </c>
      <c r="U96" s="452" t="str">
        <f t="shared" si="52"/>
        <v/>
      </c>
    </row>
    <row r="97" spans="2:21" ht="15" x14ac:dyDescent="0.2">
      <c r="B97" s="368" t="s">
        <v>616</v>
      </c>
      <c r="C97" s="368"/>
      <c r="D97" s="368"/>
      <c r="E97" s="368"/>
      <c r="F97" s="447">
        <f t="shared" ref="F97:U97" si="53">IF(F89="","",F93)</f>
        <v>0</v>
      </c>
      <c r="G97" s="447">
        <f t="shared" ca="1" si="53"/>
        <v>0</v>
      </c>
      <c r="H97" s="447">
        <f t="shared" ca="1" si="53"/>
        <v>0</v>
      </c>
      <c r="I97" s="447">
        <f t="shared" ca="1" si="53"/>
        <v>0</v>
      </c>
      <c r="J97" s="447">
        <f t="shared" ca="1" si="53"/>
        <v>0</v>
      </c>
      <c r="K97" s="447">
        <f t="shared" ca="1" si="53"/>
        <v>0</v>
      </c>
      <c r="L97" s="447">
        <f t="shared" ca="1" si="53"/>
        <v>0</v>
      </c>
      <c r="M97" s="447">
        <f t="shared" ca="1" si="53"/>
        <v>0</v>
      </c>
      <c r="N97" s="447">
        <f t="shared" ca="1" si="53"/>
        <v>0</v>
      </c>
      <c r="O97" s="447">
        <f t="shared" ca="1" si="53"/>
        <v>342034.93406390824</v>
      </c>
      <c r="P97" s="447">
        <f t="shared" ca="1" si="53"/>
        <v>341725.69723382511</v>
      </c>
      <c r="Q97" s="447" t="str">
        <f t="shared" si="53"/>
        <v/>
      </c>
      <c r="R97" s="447" t="str">
        <f t="shared" si="53"/>
        <v/>
      </c>
      <c r="S97" s="447" t="str">
        <f t="shared" si="53"/>
        <v/>
      </c>
      <c r="T97" s="447" t="str">
        <f t="shared" si="53"/>
        <v/>
      </c>
      <c r="U97" s="447" t="str">
        <f t="shared" si="53"/>
        <v/>
      </c>
    </row>
    <row r="98" spans="2:21" ht="15" x14ac:dyDescent="0.2">
      <c r="B98" s="368" t="s">
        <v>620</v>
      </c>
      <c r="C98" s="368"/>
      <c r="D98" s="368"/>
      <c r="E98" s="368"/>
      <c r="F98" s="447">
        <f>IF(F89="","",F97/$I$16*$H$16)</f>
        <v>0</v>
      </c>
      <c r="G98" s="447">
        <f t="shared" ref="G98:U98" ca="1" si="54">IF(G89="","",G97/$I$16*$H$16)</f>
        <v>0</v>
      </c>
      <c r="H98" s="447">
        <f t="shared" ca="1" si="54"/>
        <v>0</v>
      </c>
      <c r="I98" s="447">
        <f t="shared" ca="1" si="54"/>
        <v>0</v>
      </c>
      <c r="J98" s="447">
        <f t="shared" ca="1" si="54"/>
        <v>0</v>
      </c>
      <c r="K98" s="447">
        <f t="shared" ca="1" si="54"/>
        <v>0</v>
      </c>
      <c r="L98" s="447">
        <f t="shared" ca="1" si="54"/>
        <v>0</v>
      </c>
      <c r="M98" s="447">
        <f t="shared" ca="1" si="54"/>
        <v>0</v>
      </c>
      <c r="N98" s="447">
        <f t="shared" ca="1" si="54"/>
        <v>0</v>
      </c>
      <c r="O98" s="447">
        <f t="shared" ca="1" si="54"/>
        <v>378038.61133379332</v>
      </c>
      <c r="P98" s="447">
        <f t="shared" ca="1" si="54"/>
        <v>377696.82325843826</v>
      </c>
      <c r="Q98" s="447" t="str">
        <f t="shared" si="54"/>
        <v/>
      </c>
      <c r="R98" s="447" t="str">
        <f t="shared" si="54"/>
        <v/>
      </c>
      <c r="S98" s="447" t="str">
        <f t="shared" si="54"/>
        <v/>
      </c>
      <c r="T98" s="447" t="str">
        <f t="shared" si="54"/>
        <v/>
      </c>
      <c r="U98" s="447" t="str">
        <f t="shared" si="54"/>
        <v/>
      </c>
    </row>
    <row r="99" spans="2:21" ht="15" x14ac:dyDescent="0.2">
      <c r="B99" s="368" t="str">
        <f>"Total Distributions ("&amp;B87&amp;")"</f>
        <v>Total Distributions (Hurdle 3)</v>
      </c>
      <c r="C99" s="368"/>
      <c r="D99" s="368"/>
      <c r="E99" s="368"/>
      <c r="F99" s="447">
        <f t="shared" ref="F99:U99" si="55">IF(F89="","",F97+F98)</f>
        <v>0</v>
      </c>
      <c r="G99" s="447">
        <f t="shared" ca="1" si="55"/>
        <v>0</v>
      </c>
      <c r="H99" s="447">
        <f t="shared" ca="1" si="55"/>
        <v>0</v>
      </c>
      <c r="I99" s="447">
        <f t="shared" ca="1" si="55"/>
        <v>0</v>
      </c>
      <c r="J99" s="447">
        <f t="shared" ca="1" si="55"/>
        <v>0</v>
      </c>
      <c r="K99" s="447">
        <f t="shared" ca="1" si="55"/>
        <v>0</v>
      </c>
      <c r="L99" s="447">
        <f t="shared" ca="1" si="55"/>
        <v>0</v>
      </c>
      <c r="M99" s="447">
        <f t="shared" ca="1" si="55"/>
        <v>0</v>
      </c>
      <c r="N99" s="447">
        <f t="shared" ca="1" si="55"/>
        <v>0</v>
      </c>
      <c r="O99" s="447">
        <f t="shared" ca="1" si="55"/>
        <v>720073.54539770156</v>
      </c>
      <c r="P99" s="447">
        <f t="shared" ca="1" si="55"/>
        <v>719422.52049226337</v>
      </c>
      <c r="Q99" s="447" t="str">
        <f t="shared" si="55"/>
        <v/>
      </c>
      <c r="R99" s="447" t="str">
        <f t="shared" si="55"/>
        <v/>
      </c>
      <c r="S99" s="447" t="str">
        <f t="shared" si="55"/>
        <v/>
      </c>
      <c r="T99" s="447" t="str">
        <f t="shared" si="55"/>
        <v/>
      </c>
      <c r="U99" s="447" t="str">
        <f t="shared" si="55"/>
        <v/>
      </c>
    </row>
    <row r="100" spans="2:21" ht="15" x14ac:dyDescent="0.2">
      <c r="B100" s="368" t="s">
        <v>622</v>
      </c>
      <c r="C100" s="368"/>
      <c r="D100" s="368"/>
      <c r="E100" s="368"/>
      <c r="F100" s="447">
        <f t="shared" ref="F100:U100" si="56">IF(F89="","",MAX(F$47-F69-F84-F99,0))</f>
        <v>0</v>
      </c>
      <c r="G100" s="447">
        <f t="shared" ca="1" si="56"/>
        <v>0</v>
      </c>
      <c r="H100" s="447">
        <f t="shared" ca="1" si="56"/>
        <v>0</v>
      </c>
      <c r="I100" s="447">
        <f t="shared" ca="1" si="56"/>
        <v>0</v>
      </c>
      <c r="J100" s="447">
        <f t="shared" ca="1" si="56"/>
        <v>0</v>
      </c>
      <c r="K100" s="447">
        <f t="shared" ca="1" si="56"/>
        <v>0</v>
      </c>
      <c r="L100" s="447">
        <f t="shared" ca="1" si="56"/>
        <v>0</v>
      </c>
      <c r="M100" s="447">
        <f t="shared" ca="1" si="56"/>
        <v>0</v>
      </c>
      <c r="N100" s="447">
        <f t="shared" ca="1" si="56"/>
        <v>0</v>
      </c>
      <c r="O100" s="447">
        <f t="shared" ca="1" si="56"/>
        <v>0</v>
      </c>
      <c r="P100" s="447">
        <f t="shared" ca="1" si="56"/>
        <v>0</v>
      </c>
      <c r="Q100" s="447" t="str">
        <f t="shared" si="56"/>
        <v/>
      </c>
      <c r="R100" s="447" t="str">
        <f t="shared" si="56"/>
        <v/>
      </c>
      <c r="S100" s="447" t="str">
        <f t="shared" si="56"/>
        <v/>
      </c>
      <c r="T100" s="447" t="str">
        <f t="shared" si="56"/>
        <v/>
      </c>
      <c r="U100" s="447" t="str">
        <f t="shared" si="56"/>
        <v/>
      </c>
    </row>
    <row r="101" spans="2:21" ht="5" customHeight="1" x14ac:dyDescent="0.2">
      <c r="B101" s="368"/>
      <c r="C101" s="368"/>
      <c r="D101" s="368"/>
      <c r="E101" s="368"/>
      <c r="F101" s="369"/>
      <c r="G101" s="369"/>
      <c r="H101" s="369"/>
      <c r="I101" s="369"/>
      <c r="J101" s="369"/>
      <c r="K101" s="369"/>
      <c r="L101" s="369"/>
      <c r="M101" s="369"/>
      <c r="N101" s="369"/>
      <c r="O101" s="369"/>
      <c r="P101" s="369"/>
      <c r="Q101" s="369"/>
      <c r="R101" s="369"/>
      <c r="S101" s="369"/>
      <c r="T101" s="369"/>
      <c r="U101" s="369"/>
    </row>
    <row r="102" spans="2:21" ht="16" x14ac:dyDescent="0.2">
      <c r="B102" s="371" t="s">
        <v>578</v>
      </c>
      <c r="C102" s="368"/>
      <c r="D102" s="368"/>
      <c r="E102" s="368"/>
      <c r="F102" s="369"/>
      <c r="G102" s="369"/>
      <c r="H102" s="369"/>
      <c r="I102" s="369"/>
      <c r="J102" s="369"/>
      <c r="K102" s="369"/>
      <c r="L102" s="369"/>
      <c r="M102" s="369"/>
      <c r="N102" s="369"/>
      <c r="O102" s="369"/>
      <c r="P102" s="369"/>
      <c r="Q102" s="369"/>
      <c r="R102" s="369"/>
      <c r="S102" s="369"/>
      <c r="T102" s="369"/>
      <c r="U102" s="369"/>
    </row>
    <row r="103" spans="2:21" ht="15" x14ac:dyDescent="0.2">
      <c r="B103" s="445" t="s">
        <v>627</v>
      </c>
      <c r="C103" s="446">
        <f>C88</f>
        <v>0.99</v>
      </c>
      <c r="D103" s="392"/>
      <c r="E103" s="392"/>
      <c r="F103" s="393"/>
      <c r="G103" s="393"/>
      <c r="H103" s="393"/>
      <c r="I103" s="393"/>
      <c r="J103" s="393"/>
      <c r="K103" s="393"/>
      <c r="L103" s="393"/>
      <c r="M103" s="393"/>
      <c r="N103" s="393"/>
      <c r="O103" s="393"/>
      <c r="P103" s="393"/>
      <c r="Q103" s="393"/>
      <c r="R103" s="393"/>
      <c r="S103" s="393"/>
      <c r="T103" s="393"/>
      <c r="U103" s="393"/>
    </row>
    <row r="104" spans="2:21" ht="15" x14ac:dyDescent="0.2">
      <c r="B104" s="368" t="s">
        <v>616</v>
      </c>
      <c r="C104" s="368"/>
      <c r="D104" s="368"/>
      <c r="E104" s="368"/>
      <c r="F104" s="447">
        <f t="shared" ref="F104:U104" si="57">IF(F89="","",F100*$I$17)</f>
        <v>0</v>
      </c>
      <c r="G104" s="447">
        <f t="shared" ca="1" si="57"/>
        <v>0</v>
      </c>
      <c r="H104" s="447">
        <f t="shared" ca="1" si="57"/>
        <v>0</v>
      </c>
      <c r="I104" s="447">
        <f t="shared" ca="1" si="57"/>
        <v>0</v>
      </c>
      <c r="J104" s="447">
        <f t="shared" ca="1" si="57"/>
        <v>0</v>
      </c>
      <c r="K104" s="447">
        <f t="shared" ca="1" si="57"/>
        <v>0</v>
      </c>
      <c r="L104" s="447">
        <f t="shared" ca="1" si="57"/>
        <v>0</v>
      </c>
      <c r="M104" s="447">
        <f t="shared" ca="1" si="57"/>
        <v>0</v>
      </c>
      <c r="N104" s="447">
        <f t="shared" ca="1" si="57"/>
        <v>0</v>
      </c>
      <c r="O104" s="447">
        <f t="shared" ca="1" si="57"/>
        <v>0</v>
      </c>
      <c r="P104" s="447">
        <f t="shared" ca="1" si="57"/>
        <v>0</v>
      </c>
      <c r="Q104" s="447" t="str">
        <f t="shared" si="57"/>
        <v/>
      </c>
      <c r="R104" s="447" t="str">
        <f t="shared" si="57"/>
        <v/>
      </c>
      <c r="S104" s="447" t="str">
        <f t="shared" si="57"/>
        <v/>
      </c>
      <c r="T104" s="447" t="str">
        <f t="shared" si="57"/>
        <v/>
      </c>
      <c r="U104" s="447" t="str">
        <f t="shared" si="57"/>
        <v/>
      </c>
    </row>
    <row r="105" spans="2:21" ht="15" x14ac:dyDescent="0.2">
      <c r="B105" s="368" t="s">
        <v>620</v>
      </c>
      <c r="C105" s="368"/>
      <c r="D105" s="368"/>
      <c r="E105" s="368"/>
      <c r="F105" s="447">
        <f t="shared" ref="F105:U105" si="58">IF(F104="","",F100-F104)</f>
        <v>0</v>
      </c>
      <c r="G105" s="447">
        <f t="shared" ca="1" si="58"/>
        <v>0</v>
      </c>
      <c r="H105" s="447">
        <f t="shared" ca="1" si="58"/>
        <v>0</v>
      </c>
      <c r="I105" s="447">
        <f t="shared" ca="1" si="58"/>
        <v>0</v>
      </c>
      <c r="J105" s="447">
        <f t="shared" ca="1" si="58"/>
        <v>0</v>
      </c>
      <c r="K105" s="447">
        <f t="shared" ca="1" si="58"/>
        <v>0</v>
      </c>
      <c r="L105" s="447">
        <f t="shared" ca="1" si="58"/>
        <v>0</v>
      </c>
      <c r="M105" s="447">
        <f t="shared" ca="1" si="58"/>
        <v>0</v>
      </c>
      <c r="N105" s="447">
        <f t="shared" ca="1" si="58"/>
        <v>0</v>
      </c>
      <c r="O105" s="447">
        <f t="shared" ca="1" si="58"/>
        <v>0</v>
      </c>
      <c r="P105" s="447">
        <f t="shared" ca="1" si="58"/>
        <v>0</v>
      </c>
      <c r="Q105" s="447" t="str">
        <f t="shared" si="58"/>
        <v/>
      </c>
      <c r="R105" s="447" t="str">
        <f t="shared" si="58"/>
        <v/>
      </c>
      <c r="S105" s="447" t="str">
        <f t="shared" si="58"/>
        <v/>
      </c>
      <c r="T105" s="447" t="str">
        <f t="shared" si="58"/>
        <v/>
      </c>
      <c r="U105" s="447" t="str">
        <f t="shared" si="58"/>
        <v/>
      </c>
    </row>
    <row r="106" spans="2:21" ht="15" x14ac:dyDescent="0.2">
      <c r="B106" s="368" t="str">
        <f>"Total Distributions ("&amp;B102&amp;")"</f>
        <v>Total Distributions (Hurdle 4)</v>
      </c>
      <c r="C106" s="368"/>
      <c r="D106" s="368"/>
      <c r="E106" s="368"/>
      <c r="F106" s="447">
        <f t="shared" ref="F106:U106" si="59">IF(F104="","",F104+F105)</f>
        <v>0</v>
      </c>
      <c r="G106" s="447">
        <f t="shared" ca="1" si="59"/>
        <v>0</v>
      </c>
      <c r="H106" s="447">
        <f t="shared" ca="1" si="59"/>
        <v>0</v>
      </c>
      <c r="I106" s="447">
        <f t="shared" ca="1" si="59"/>
        <v>0</v>
      </c>
      <c r="J106" s="447">
        <f t="shared" ca="1" si="59"/>
        <v>0</v>
      </c>
      <c r="K106" s="447">
        <f t="shared" ca="1" si="59"/>
        <v>0</v>
      </c>
      <c r="L106" s="447">
        <f t="shared" ca="1" si="59"/>
        <v>0</v>
      </c>
      <c r="M106" s="447">
        <f t="shared" ca="1" si="59"/>
        <v>0</v>
      </c>
      <c r="N106" s="447">
        <f t="shared" ca="1" si="59"/>
        <v>0</v>
      </c>
      <c r="O106" s="447">
        <f t="shared" ca="1" si="59"/>
        <v>0</v>
      </c>
      <c r="P106" s="447">
        <f t="shared" ca="1" si="59"/>
        <v>0</v>
      </c>
      <c r="Q106" s="447" t="str">
        <f t="shared" si="59"/>
        <v/>
      </c>
      <c r="R106" s="447" t="str">
        <f t="shared" si="59"/>
        <v/>
      </c>
      <c r="S106" s="447" t="str">
        <f t="shared" si="59"/>
        <v/>
      </c>
      <c r="T106" s="447" t="str">
        <f t="shared" si="59"/>
        <v/>
      </c>
      <c r="U106" s="447" t="str">
        <f t="shared" si="59"/>
        <v/>
      </c>
    </row>
    <row r="107" spans="2:21" ht="15" x14ac:dyDescent="0.2">
      <c r="B107" s="368" t="s">
        <v>622</v>
      </c>
      <c r="C107" s="368"/>
      <c r="D107" s="368"/>
      <c r="E107" s="368"/>
      <c r="F107" s="447">
        <f t="shared" ref="F107:U107" si="60">IF(F104="","",F100-F106)</f>
        <v>0</v>
      </c>
      <c r="G107" s="447">
        <f t="shared" ca="1" si="60"/>
        <v>0</v>
      </c>
      <c r="H107" s="447">
        <f t="shared" ca="1" si="60"/>
        <v>0</v>
      </c>
      <c r="I107" s="447">
        <f t="shared" ca="1" si="60"/>
        <v>0</v>
      </c>
      <c r="J107" s="447">
        <f t="shared" ca="1" si="60"/>
        <v>0</v>
      </c>
      <c r="K107" s="447">
        <f t="shared" ca="1" si="60"/>
        <v>0</v>
      </c>
      <c r="L107" s="447">
        <f t="shared" ca="1" si="60"/>
        <v>0</v>
      </c>
      <c r="M107" s="447">
        <f t="shared" ca="1" si="60"/>
        <v>0</v>
      </c>
      <c r="N107" s="447">
        <f t="shared" ca="1" si="60"/>
        <v>0</v>
      </c>
      <c r="O107" s="447">
        <f t="shared" ca="1" si="60"/>
        <v>0</v>
      </c>
      <c r="P107" s="447">
        <f t="shared" ca="1" si="60"/>
        <v>0</v>
      </c>
      <c r="Q107" s="447" t="str">
        <f t="shared" si="60"/>
        <v/>
      </c>
      <c r="R107" s="447" t="str">
        <f t="shared" si="60"/>
        <v/>
      </c>
      <c r="S107" s="447" t="str">
        <f t="shared" si="60"/>
        <v/>
      </c>
      <c r="T107" s="447" t="str">
        <f t="shared" si="60"/>
        <v/>
      </c>
      <c r="U107" s="447" t="str">
        <f t="shared" si="60"/>
        <v/>
      </c>
    </row>
    <row r="108" spans="2:21" ht="10" customHeight="1" x14ac:dyDescent="0.2"/>
    <row r="109" spans="2:21" ht="15" hidden="1" x14ac:dyDescent="0.2"/>
    <row r="110" spans="2:21" ht="15" hidden="1" x14ac:dyDescent="0.2"/>
    <row r="111" spans="2:21" ht="15" hidden="1" x14ac:dyDescent="0.2"/>
    <row r="112" spans="2:21" ht="15" hidden="1" x14ac:dyDescent="0.2"/>
  </sheetData>
  <sheetProtection selectLockedCells="1"/>
  <mergeCells count="8">
    <mergeCell ref="J16:N16"/>
    <mergeCell ref="J17:N17"/>
    <mergeCell ref="O4:S4"/>
    <mergeCell ref="O5:S5"/>
    <mergeCell ref="F12:G13"/>
    <mergeCell ref="H12:I12"/>
    <mergeCell ref="J14:N14"/>
    <mergeCell ref="J15:N15"/>
  </mergeCells>
  <conditionalFormatting sqref="B59">
    <cfRule type="expression" dxfId="19" priority="15">
      <formula>$C$4="Equity Multiple"</formula>
    </cfRule>
  </conditionalFormatting>
  <conditionalFormatting sqref="B67">
    <cfRule type="expression" dxfId="18" priority="5">
      <formula>$C$4="Equity Multiple"</formula>
    </cfRule>
  </conditionalFormatting>
  <conditionalFormatting sqref="B80">
    <cfRule type="expression" dxfId="17" priority="13">
      <formula>$C$4="Equity Multiple"</formula>
    </cfRule>
  </conditionalFormatting>
  <conditionalFormatting sqref="B95">
    <cfRule type="expression" dxfId="16" priority="12">
      <formula>$C$4="Equity Multiple"</formula>
    </cfRule>
  </conditionalFormatting>
  <conditionalFormatting sqref="C14:C17">
    <cfRule type="expression" dxfId="15" priority="16">
      <formula>$D$4&lt;&gt;"Equity Multiple"</formula>
    </cfRule>
  </conditionalFormatting>
  <conditionalFormatting sqref="C52">
    <cfRule type="expression" dxfId="14" priority="11">
      <formula>$C$4="Equity Multiple"</formula>
    </cfRule>
  </conditionalFormatting>
  <conditionalFormatting sqref="C73">
    <cfRule type="expression" dxfId="13" priority="10">
      <formula>$C$4="Equity Multiple"</formula>
    </cfRule>
  </conditionalFormatting>
  <conditionalFormatting sqref="C88">
    <cfRule type="expression" dxfId="12" priority="9">
      <formula>$C$4="Equity Multiple"</formula>
    </cfRule>
  </conditionalFormatting>
  <conditionalFormatting sqref="C103">
    <cfRule type="expression" dxfId="11" priority="8">
      <formula>$C$4="Equity Multiple"</formula>
    </cfRule>
  </conditionalFormatting>
  <conditionalFormatting sqref="D14:D17">
    <cfRule type="expression" dxfId="10" priority="18">
      <formula>$D$4="Equity Multiple"</formula>
    </cfRule>
  </conditionalFormatting>
  <conditionalFormatting sqref="E5">
    <cfRule type="expression" dxfId="9" priority="2">
      <formula>$H$14&gt;=$C$8</formula>
    </cfRule>
  </conditionalFormatting>
  <conditionalFormatting sqref="E14:E16">
    <cfRule type="expression" dxfId="8" priority="17">
      <formula>$D$4="Equity Multiple"</formula>
    </cfRule>
  </conditionalFormatting>
  <conditionalFormatting sqref="E59 E67 E80 E95">
    <cfRule type="expression" dxfId="7" priority="3">
      <formula>$D$4="Equity Multiple"</formula>
    </cfRule>
  </conditionalFormatting>
  <conditionalFormatting sqref="E59">
    <cfRule type="expression" dxfId="6" priority="14">
      <formula>$C$4="Equity Multiple"</formula>
    </cfRule>
  </conditionalFormatting>
  <conditionalFormatting sqref="E67">
    <cfRule type="expression" dxfId="5" priority="4">
      <formula>$C$4="Equity Multiple"</formula>
    </cfRule>
  </conditionalFormatting>
  <conditionalFormatting sqref="E80">
    <cfRule type="expression" dxfId="4" priority="7">
      <formula>$C$4="Equity Multiple"</formula>
    </cfRule>
  </conditionalFormatting>
  <conditionalFormatting sqref="E95">
    <cfRule type="expression" dxfId="3" priority="6">
      <formula>$C$4="Equity Multiple"</formula>
    </cfRule>
  </conditionalFormatting>
  <conditionalFormatting sqref="F5">
    <cfRule type="cellIs" dxfId="2" priority="1" operator="lessThanOrEqual">
      <formula>$G$4</formula>
    </cfRule>
  </conditionalFormatting>
  <conditionalFormatting sqref="G5 F7">
    <cfRule type="cellIs" dxfId="1" priority="20" operator="equal">
      <formula>$G$4</formula>
    </cfRule>
  </conditionalFormatting>
  <conditionalFormatting sqref="L8">
    <cfRule type="expression" dxfId="0" priority="19">
      <formula>$L$8="OK"</formula>
    </cfRule>
  </conditionalFormatting>
  <dataValidations count="3">
    <dataValidation type="list" allowBlank="1" showInputMessage="1" showErrorMessage="1" sqref="D4" xr:uid="{97B2987B-36D6-45DF-8008-DBCEEF3CD357}">
      <formula1>"IRR, Equity Multiple"</formula1>
    </dataValidation>
    <dataValidation type="list" allowBlank="1" showInputMessage="1" showErrorMessage="1" sqref="D5" xr:uid="{4B74B5B6-CD7F-453F-A982-93E01FCA88D1}">
      <formula1>"Pari Passu"</formula1>
    </dataValidation>
    <dataValidation type="list" allowBlank="1" showInputMessage="1" showErrorMessage="1" sqref="E5" xr:uid="{00927A2A-E9D2-4ABA-876A-9FB9D3E88A1B}">
      <formula1>"Yes, No"</formula1>
    </dataValidation>
  </dataValidations>
  <pageMargins left="0.7" right="0.7" top="0.75" bottom="0.75" header="0.3" footer="0.3"/>
  <pageSetup scale="35" orientation="portrait" horizontalDpi="4294967294"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002060"/>
  </sheetPr>
  <dimension ref="A1:J27"/>
  <sheetViews>
    <sheetView workbookViewId="0"/>
  </sheetViews>
  <sheetFormatPr baseColWidth="10" defaultColWidth="9.1640625" defaultRowHeight="13" x14ac:dyDescent="0.15"/>
  <cols>
    <col min="1" max="1" width="25" style="7" customWidth="1"/>
    <col min="2" max="2" width="18.5" style="7" customWidth="1"/>
    <col min="3" max="3" width="10.1640625" style="7" customWidth="1"/>
    <col min="4" max="4" width="35.5" style="7" bestFit="1" customWidth="1"/>
    <col min="5" max="10" width="12.33203125" style="7" bestFit="1" customWidth="1"/>
    <col min="11" max="16384" width="9.1640625" style="7"/>
  </cols>
  <sheetData>
    <row r="1" spans="1:10" ht="8.5" customHeight="1" x14ac:dyDescent="0.15">
      <c r="A1" s="514"/>
      <c r="B1" s="514"/>
      <c r="C1" s="514"/>
      <c r="D1" s="514"/>
      <c r="E1" s="514"/>
      <c r="F1" s="514"/>
      <c r="G1" s="514"/>
      <c r="H1" s="514"/>
      <c r="I1" s="514"/>
      <c r="J1" s="514"/>
    </row>
    <row r="2" spans="1:10" x14ac:dyDescent="0.15">
      <c r="A2" s="8" t="str">
        <f>Proforma!C1</f>
        <v>Waynesville Estates- 81 Milan Drive, Lumberton, NC 28358</v>
      </c>
      <c r="B2" s="514"/>
      <c r="C2" s="514"/>
      <c r="D2" s="514"/>
      <c r="E2" s="514"/>
      <c r="F2" s="514"/>
      <c r="G2" s="514"/>
      <c r="H2" s="514"/>
      <c r="I2" s="514"/>
      <c r="J2" s="514"/>
    </row>
    <row r="3" spans="1:10" x14ac:dyDescent="0.15">
      <c r="A3" s="42" t="s">
        <v>37</v>
      </c>
      <c r="B3" s="42"/>
      <c r="C3" s="515"/>
      <c r="D3" s="42" t="s">
        <v>38</v>
      </c>
      <c r="E3" s="43" t="s">
        <v>22</v>
      </c>
      <c r="F3" s="43" t="s">
        <v>23</v>
      </c>
      <c r="G3" s="43" t="s">
        <v>24</v>
      </c>
      <c r="H3" s="43" t="s">
        <v>25</v>
      </c>
      <c r="I3" s="43" t="s">
        <v>39</v>
      </c>
      <c r="J3" s="43" t="s">
        <v>40</v>
      </c>
    </row>
    <row r="4" spans="1:10" x14ac:dyDescent="0.15">
      <c r="A4" s="45" t="s">
        <v>41</v>
      </c>
      <c r="B4" s="46" t="s">
        <v>42</v>
      </c>
      <c r="C4" s="515"/>
      <c r="D4" s="29" t="s">
        <v>43</v>
      </c>
      <c r="E4" s="516">
        <f>Proforma!F53*12</f>
        <v>842400</v>
      </c>
      <c r="F4" s="516">
        <f>Proforma!G53*12</f>
        <v>1193400</v>
      </c>
      <c r="G4" s="516">
        <f>Proforma!H53*12</f>
        <v>1544400</v>
      </c>
      <c r="H4" s="516">
        <f>Proforma!I53*12</f>
        <v>1676246.8800000004</v>
      </c>
      <c r="I4" s="516">
        <f>Proforma!J53*12</f>
        <v>1741089.7152</v>
      </c>
      <c r="J4" s="516">
        <f>Proforma!K53*12</f>
        <v>1808526.2638080004</v>
      </c>
    </row>
    <row r="5" spans="1:10" x14ac:dyDescent="0.15">
      <c r="A5" s="29" t="s">
        <v>37</v>
      </c>
      <c r="B5" s="47">
        <f>Proforma!D4</f>
        <v>8900000</v>
      </c>
      <c r="C5" s="48"/>
      <c r="D5" s="29" t="s">
        <v>44</v>
      </c>
      <c r="E5" s="517">
        <f ca="1">Proforma!F80*12</f>
        <v>600057.28999999992</v>
      </c>
      <c r="F5" s="517">
        <f ca="1">Proforma!G80*12</f>
        <v>628766.03579999984</v>
      </c>
      <c r="G5" s="517">
        <f ca="1">Proforma!H80*12</f>
        <v>657697.95651599998</v>
      </c>
      <c r="H5" s="517">
        <f ca="1">Proforma!I80*12</f>
        <v>675899.85964631988</v>
      </c>
      <c r="I5" s="517">
        <f ca="1">Proforma!J80*12</f>
        <v>690983.7517192465</v>
      </c>
      <c r="J5" s="517">
        <f ca="1">Proforma!K80*12</f>
        <v>706434.1644688315</v>
      </c>
    </row>
    <row r="6" spans="1:10" ht="14" thickBot="1" x14ac:dyDescent="0.2">
      <c r="A6" s="518" t="s">
        <v>45</v>
      </c>
      <c r="B6" s="519">
        <f>Proforma!D5</f>
        <v>1550000</v>
      </c>
      <c r="C6" s="520"/>
      <c r="D6" s="576" t="s">
        <v>46</v>
      </c>
      <c r="E6" s="577">
        <f t="shared" ref="E6:J6" ca="1" si="0">E4-E5</f>
        <v>242342.71000000008</v>
      </c>
      <c r="F6" s="577">
        <f t="shared" ca="1" si="0"/>
        <v>564633.96420000016</v>
      </c>
      <c r="G6" s="577">
        <f t="shared" ca="1" si="0"/>
        <v>886702.04348400002</v>
      </c>
      <c r="H6" s="577">
        <f t="shared" ca="1" si="0"/>
        <v>1000347.0203536805</v>
      </c>
      <c r="I6" s="577">
        <f t="shared" ca="1" si="0"/>
        <v>1050105.9634807534</v>
      </c>
      <c r="J6" s="577">
        <f t="shared" ca="1" si="0"/>
        <v>1102092.099339169</v>
      </c>
    </row>
    <row r="7" spans="1:10" ht="14" thickTop="1" x14ac:dyDescent="0.15">
      <c r="A7" s="49" t="s">
        <v>47</v>
      </c>
      <c r="B7" s="709">
        <f>SUM(B5:B6)</f>
        <v>10450000</v>
      </c>
      <c r="C7" s="521"/>
      <c r="D7" s="1" t="s">
        <v>48</v>
      </c>
      <c r="E7" s="38">
        <f t="shared" ref="E7:J7" ca="1" si="1">E6/E4</f>
        <v>0.2876812796771131</v>
      </c>
      <c r="F7" s="38">
        <f t="shared" ca="1" si="1"/>
        <v>0.47313052136752148</v>
      </c>
      <c r="G7" s="38">
        <f t="shared" ca="1" si="1"/>
        <v>0.57414014729603735</v>
      </c>
      <c r="H7" s="38">
        <f t="shared" ca="1" si="1"/>
        <v>0.59677785670430616</v>
      </c>
      <c r="I7" s="38">
        <f t="shared" ca="1" si="1"/>
        <v>0.60313144940961705</v>
      </c>
      <c r="J7" s="38">
        <f t="shared" ca="1" si="1"/>
        <v>0.60938683689261097</v>
      </c>
    </row>
    <row r="8" spans="1:10" x14ac:dyDescent="0.15">
      <c r="A8" s="52" t="s">
        <v>49</v>
      </c>
      <c r="B8" s="53">
        <f ca="1">Proforma!D8</f>
        <v>2.3190689952153114E-2</v>
      </c>
      <c r="C8" s="514"/>
      <c r="D8" s="514"/>
      <c r="E8" s="514"/>
      <c r="F8" s="514"/>
      <c r="G8" s="514"/>
      <c r="H8" s="514"/>
      <c r="I8" s="514"/>
      <c r="J8" s="514"/>
    </row>
    <row r="9" spans="1:10" x14ac:dyDescent="0.15">
      <c r="A9" s="514"/>
      <c r="B9" s="514"/>
      <c r="C9" s="514"/>
      <c r="D9" s="54" t="s">
        <v>50</v>
      </c>
      <c r="E9" s="19">
        <f>-Proforma!F94</f>
        <v>-352831.5</v>
      </c>
      <c r="F9" s="19">
        <f>-Proforma!G94</f>
        <v>-352831.5</v>
      </c>
      <c r="G9" s="19">
        <f>-Proforma!H94</f>
        <v>-411026.53150842432</v>
      </c>
      <c r="H9" s="19">
        <f>-Proforma!I94</f>
        <v>-411026.53150842432</v>
      </c>
      <c r="I9" s="19">
        <f ca="1">-Proforma!J94</f>
        <v>-766243.62333598279</v>
      </c>
      <c r="J9" s="19">
        <f ca="1">-Proforma!K94</f>
        <v>-766243.62333598279</v>
      </c>
    </row>
    <row r="10" spans="1:10" x14ac:dyDescent="0.15">
      <c r="A10" s="29" t="s">
        <v>51</v>
      </c>
      <c r="B10" s="516">
        <f>B5-B11</f>
        <v>3500000</v>
      </c>
      <c r="C10" s="55">
        <f>B11/B12</f>
        <v>0.6067415730337079</v>
      </c>
      <c r="D10" s="514"/>
      <c r="E10" s="514"/>
      <c r="F10" s="514"/>
      <c r="G10" s="514"/>
      <c r="H10" s="514"/>
      <c r="I10" s="514"/>
      <c r="J10" s="514"/>
    </row>
    <row r="11" spans="1:10" x14ac:dyDescent="0.15">
      <c r="A11" s="29" t="s">
        <v>52</v>
      </c>
      <c r="B11" s="47">
        <f>Proforma!F92</f>
        <v>5400000</v>
      </c>
      <c r="C11" s="514"/>
      <c r="D11" s="518" t="s">
        <v>53</v>
      </c>
      <c r="E11" s="516">
        <f t="shared" ref="E11:J11" ca="1" si="2">E6+E9</f>
        <v>-110488.78999999992</v>
      </c>
      <c r="F11" s="516">
        <f t="shared" ca="1" si="2"/>
        <v>211802.46420000016</v>
      </c>
      <c r="G11" s="516">
        <f t="shared" ca="1" si="2"/>
        <v>475675.5119755757</v>
      </c>
      <c r="H11" s="516">
        <f t="shared" ca="1" si="2"/>
        <v>589320.48884525616</v>
      </c>
      <c r="I11" s="516">
        <f t="shared" ca="1" si="2"/>
        <v>283862.34014477057</v>
      </c>
      <c r="J11" s="516">
        <f t="shared" ca="1" si="2"/>
        <v>335848.4760031862</v>
      </c>
    </row>
    <row r="12" spans="1:10" ht="14" thickBot="1" x14ac:dyDescent="0.2">
      <c r="A12" s="49" t="s">
        <v>42</v>
      </c>
      <c r="B12" s="578">
        <f>SUM(B10:B11)</f>
        <v>8900000</v>
      </c>
      <c r="C12" s="521"/>
      <c r="D12" s="518" t="s">
        <v>54</v>
      </c>
      <c r="E12" s="12">
        <f>Proforma!F105</f>
        <v>0</v>
      </c>
      <c r="F12" s="12">
        <f>Proforma!G107</f>
        <v>0</v>
      </c>
      <c r="G12" s="12">
        <f>Proforma!H107</f>
        <v>0</v>
      </c>
      <c r="H12" s="12">
        <f>Proforma!I107</f>
        <v>0</v>
      </c>
      <c r="I12" s="12">
        <f>Proforma!J107</f>
        <v>0</v>
      </c>
      <c r="J12" s="12">
        <f>Proforma!K107</f>
        <v>0</v>
      </c>
    </row>
    <row r="13" spans="1:10" ht="14" thickTop="1" x14ac:dyDescent="0.15">
      <c r="A13" s="514"/>
      <c r="B13" s="514"/>
      <c r="C13" s="521"/>
      <c r="D13" s="518" t="s">
        <v>55</v>
      </c>
      <c r="E13" s="12">
        <f>Proforma!F113</f>
        <v>0</v>
      </c>
      <c r="F13" s="12">
        <f>Proforma!G113</f>
        <v>0</v>
      </c>
      <c r="G13" s="12">
        <f>Proforma!H113</f>
        <v>0</v>
      </c>
      <c r="H13" s="12">
        <f ca="1">Proforma!I113</f>
        <v>4723662.6814165544</v>
      </c>
      <c r="I13" s="12">
        <f>Proforma!J113</f>
        <v>0</v>
      </c>
      <c r="J13" s="12">
        <f>Proforma!K113</f>
        <v>0</v>
      </c>
    </row>
    <row r="14" spans="1:10" ht="14" thickBot="1" x14ac:dyDescent="0.2">
      <c r="A14" s="518" t="s">
        <v>45</v>
      </c>
      <c r="B14" s="519">
        <f>B6</f>
        <v>1550000</v>
      </c>
      <c r="C14" s="521"/>
      <c r="D14" s="579" t="s">
        <v>56</v>
      </c>
      <c r="E14" s="580">
        <f ca="1">SUM(E11:E13)</f>
        <v>-110488.78999999992</v>
      </c>
      <c r="F14" s="580">
        <f t="shared" ref="F14:I14" ca="1" si="3">SUM(F11:F13)</f>
        <v>211802.46420000016</v>
      </c>
      <c r="G14" s="580">
        <f t="shared" ca="1" si="3"/>
        <v>475675.5119755757</v>
      </c>
      <c r="H14" s="580">
        <f t="shared" ca="1" si="3"/>
        <v>5312983.1702618105</v>
      </c>
      <c r="I14" s="580">
        <f t="shared" ca="1" si="3"/>
        <v>283862.34014477057</v>
      </c>
      <c r="J14" s="580">
        <f t="shared" ref="J14" ca="1" si="4">SUM(J11:J13)</f>
        <v>335848.4760031862</v>
      </c>
    </row>
    <row r="15" spans="1:10" ht="15" thickTop="1" thickBot="1" x14ac:dyDescent="0.2">
      <c r="A15" s="49" t="s">
        <v>57</v>
      </c>
      <c r="B15" s="578">
        <f>B10+B14</f>
        <v>5050000</v>
      </c>
      <c r="C15" s="521"/>
      <c r="D15" s="514"/>
      <c r="E15" s="514"/>
      <c r="F15" s="514"/>
      <c r="G15" s="514"/>
      <c r="H15" s="514"/>
      <c r="I15" s="514"/>
      <c r="J15" s="514"/>
    </row>
    <row r="16" spans="1:10" ht="14" thickTop="1" x14ac:dyDescent="0.15">
      <c r="A16" s="44"/>
      <c r="B16" s="44"/>
      <c r="C16" s="521"/>
      <c r="D16" s="22" t="s">
        <v>58</v>
      </c>
      <c r="E16" s="58">
        <f ca="1">Proforma!F130</f>
        <v>254323.21000000005</v>
      </c>
      <c r="F16" s="58">
        <f ca="1">Proforma!G130</f>
        <v>666614.46420000016</v>
      </c>
      <c r="G16" s="58">
        <f ca="1">Proforma!H130</f>
        <v>1020487.5119755757</v>
      </c>
      <c r="H16" s="58">
        <f ca="1">Proforma!I130</f>
        <v>4956528.2462153528</v>
      </c>
      <c r="I16" s="58">
        <f ca="1">Proforma!J130</f>
        <v>423247.17007238528</v>
      </c>
      <c r="J16" s="58">
        <f ca="1">Proforma!K130</f>
        <v>449240.23800159286</v>
      </c>
    </row>
    <row r="17" spans="1:10" x14ac:dyDescent="0.15">
      <c r="A17" s="514" t="s">
        <v>59</v>
      </c>
      <c r="B17" s="517">
        <f>Proforma!D15</f>
        <v>242</v>
      </c>
      <c r="C17" s="521"/>
      <c r="D17" s="56" t="s">
        <v>60</v>
      </c>
      <c r="E17" s="57">
        <f ca="1">E16/$B$15</f>
        <v>5.0361031683168328E-2</v>
      </c>
      <c r="F17" s="57">
        <f t="shared" ref="F17:I17" ca="1" si="5">F16/$B$15</f>
        <v>0.13200286419801982</v>
      </c>
      <c r="G17" s="57">
        <f t="shared" ca="1" si="5"/>
        <v>0.20207673504466844</v>
      </c>
      <c r="H17" s="57">
        <f t="shared" ca="1" si="5"/>
        <v>0.98149074182482232</v>
      </c>
      <c r="I17" s="57">
        <f t="shared" ca="1" si="5"/>
        <v>8.3811320806412931E-2</v>
      </c>
      <c r="J17" s="57">
        <f t="shared" ref="J17" ca="1" si="6">J16/$B$15</f>
        <v>8.8958462970612454E-2</v>
      </c>
    </row>
    <row r="18" spans="1:10" x14ac:dyDescent="0.15">
      <c r="A18" s="514" t="s">
        <v>61</v>
      </c>
      <c r="B18" s="522">
        <f>B5/B17</f>
        <v>36776.859504132233</v>
      </c>
      <c r="C18" s="521"/>
      <c r="D18" s="514"/>
      <c r="E18" s="514"/>
      <c r="F18" s="514"/>
      <c r="G18" s="514"/>
      <c r="H18" s="514"/>
      <c r="I18" s="514"/>
      <c r="J18" s="514"/>
    </row>
    <row r="19" spans="1:10" x14ac:dyDescent="0.15">
      <c r="A19" s="514"/>
      <c r="B19" s="514"/>
      <c r="C19" s="521"/>
      <c r="D19" s="514"/>
      <c r="E19" s="514"/>
      <c r="F19" s="514"/>
      <c r="G19" s="514"/>
      <c r="H19" s="514"/>
      <c r="I19" s="514"/>
      <c r="J19" s="514"/>
    </row>
    <row r="20" spans="1:10" x14ac:dyDescent="0.15">
      <c r="A20" s="42" t="s">
        <v>62</v>
      </c>
      <c r="B20" s="42"/>
      <c r="C20" s="521"/>
      <c r="D20" s="514"/>
      <c r="E20" s="514"/>
      <c r="F20" s="514"/>
      <c r="G20" s="514"/>
      <c r="H20" s="514"/>
      <c r="I20" s="514"/>
      <c r="J20" s="514"/>
    </row>
    <row r="21" spans="1:10" x14ac:dyDescent="0.15">
      <c r="A21" s="44" t="s">
        <v>63</v>
      </c>
      <c r="B21" s="50">
        <f ca="1">Proforma!D134</f>
        <v>0.19393123908022236</v>
      </c>
      <c r="C21" s="521"/>
      <c r="D21" s="514"/>
      <c r="E21" s="514"/>
      <c r="F21" s="514"/>
      <c r="G21" s="514"/>
      <c r="H21" s="514"/>
      <c r="I21" s="514"/>
      <c r="J21" s="514"/>
    </row>
    <row r="22" spans="1:10" x14ac:dyDescent="0.15">
      <c r="A22" s="44" t="s">
        <v>64</v>
      </c>
      <c r="B22" s="51">
        <f ca="1">SUM(Proforma!F130:J130)/-Proforma!E130</f>
        <v>1.4497426935570918</v>
      </c>
      <c r="C22" s="521"/>
      <c r="D22" s="514"/>
      <c r="E22" s="514"/>
      <c r="F22" s="514"/>
      <c r="G22" s="514"/>
      <c r="H22" s="514"/>
      <c r="I22" s="514"/>
      <c r="J22" s="514"/>
    </row>
    <row r="23" spans="1:10" x14ac:dyDescent="0.15">
      <c r="A23" s="514" t="s">
        <v>65</v>
      </c>
      <c r="B23" s="516">
        <f ca="1">SUM(E16:I16)</f>
        <v>7321200.6024633134</v>
      </c>
      <c r="C23" s="521"/>
      <c r="D23" s="514"/>
      <c r="E23" s="514"/>
      <c r="F23" s="514"/>
      <c r="G23" s="514"/>
      <c r="H23" s="514"/>
      <c r="I23" s="514"/>
      <c r="J23" s="514"/>
    </row>
    <row r="24" spans="1:10" x14ac:dyDescent="0.15">
      <c r="A24" s="514"/>
      <c r="B24" s="514"/>
      <c r="C24" s="515"/>
      <c r="D24" s="514"/>
      <c r="E24" s="514"/>
      <c r="F24" s="514"/>
      <c r="G24" s="514"/>
      <c r="H24" s="514"/>
      <c r="I24" s="514"/>
      <c r="J24" s="514"/>
    </row>
    <row r="25" spans="1:10" x14ac:dyDescent="0.15">
      <c r="A25" s="514"/>
      <c r="B25" s="514"/>
      <c r="C25" s="521"/>
      <c r="D25" s="514"/>
      <c r="E25" s="514"/>
      <c r="F25" s="514"/>
      <c r="G25" s="514"/>
      <c r="H25" s="514"/>
      <c r="I25" s="514"/>
      <c r="J25" s="514"/>
    </row>
    <row r="26" spans="1:10" x14ac:dyDescent="0.15">
      <c r="A26" s="514"/>
      <c r="B26" s="514"/>
      <c r="C26" s="521"/>
      <c r="D26" s="514"/>
      <c r="E26" s="514"/>
      <c r="F26" s="514"/>
      <c r="G26" s="514"/>
      <c r="H26" s="514"/>
      <c r="I26" s="514"/>
      <c r="J26" s="514"/>
    </row>
    <row r="27" spans="1:10" x14ac:dyDescent="0.15">
      <c r="A27" s="514"/>
      <c r="B27" s="514"/>
      <c r="C27" s="521"/>
      <c r="D27" s="514"/>
      <c r="E27" s="514"/>
      <c r="F27" s="514"/>
      <c r="G27" s="514"/>
      <c r="H27" s="514"/>
      <c r="I27" s="514"/>
      <c r="J27" s="514"/>
    </row>
  </sheetData>
  <sheetProtection algorithmName="SHA-512" hashValue="c/3xKjhzHO0i8cFeEJE5FHFSdEdtUNxxEW/EeAkzAtsn82cKON33AqTp26maQ61bist3VGyyM5F/Ib4sV7lidQ==" saltValue="o/hDIf6kqFLoQvle7OV/kA==" spinCount="100000" sheet="1" objects="1" scenarios="1"/>
  <pageMargins left="0.7" right="0.7" top="0.75" bottom="0.75" header="0.3" footer="0.3"/>
  <pageSetup orientation="portrait" horizontalDpi="0"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002060"/>
  </sheetPr>
  <dimension ref="A1"/>
  <sheetViews>
    <sheetView workbookViewId="0">
      <selection activeCell="P34" sqref="P34"/>
    </sheetView>
  </sheetViews>
  <sheetFormatPr baseColWidth="10" defaultColWidth="8.83203125" defaultRowHeight="13" x14ac:dyDescent="0.15"/>
  <cols>
    <col min="1" max="16384" width="8.83203125" style="75"/>
  </cols>
  <sheetData>
    <row r="1" spans="1:1" s="77" customFormat="1" ht="23" customHeight="1" x14ac:dyDescent="0.15">
      <c r="A1" s="76" t="str">
        <f>Proforma!C1</f>
        <v>Waynesville Estates- 81 Milan Drive, Lumberton, NC 28358</v>
      </c>
    </row>
  </sheetData>
  <sheetProtection algorithmName="SHA-512" hashValue="CAxVr+9UFcNkCUi7VU13IqGq6Sc3ci7dfIiCcMWNtmuA+GzEarVkWF1uDrrJwk6nMh6W7wIqJjpUQJES3hhcdQ==" saltValue="to3VWkhBB6swWs7Zo18Wrw==" spinCount="100000" sheet="1" objects="1" scenarios="1"/>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rgb="FF002060"/>
    <pageSetUpPr fitToPage="1"/>
  </sheetPr>
  <dimension ref="A1:BZ372"/>
  <sheetViews>
    <sheetView topLeftCell="B1" zoomScaleNormal="100" workbookViewId="0">
      <selection activeCell="G49" sqref="G49"/>
    </sheetView>
  </sheetViews>
  <sheetFormatPr baseColWidth="10" defaultColWidth="12.33203125" defaultRowHeight="13" x14ac:dyDescent="0.15"/>
  <cols>
    <col min="1" max="1" width="15.83203125" style="10" hidden="1" customWidth="1"/>
    <col min="2" max="2" width="15" style="453" customWidth="1"/>
    <col min="3" max="3" width="54.33203125" style="10" bestFit="1" customWidth="1"/>
    <col min="4" max="4" width="14.5" style="9" customWidth="1"/>
    <col min="5" max="5" width="16.5" style="10" bestFit="1" customWidth="1"/>
    <col min="6" max="6" width="12.33203125" style="10" customWidth="1"/>
    <col min="7" max="7" width="15.33203125" style="10" customWidth="1"/>
    <col min="8" max="8" width="12.33203125" style="10" customWidth="1"/>
    <col min="9" max="9" width="14" style="10" customWidth="1"/>
    <col min="10" max="10" width="14.83203125" style="10" customWidth="1"/>
    <col min="11" max="12" width="14.5" style="10" customWidth="1"/>
    <col min="13" max="13" width="13.83203125" style="10" customWidth="1"/>
    <col min="14" max="14" width="15.1640625" style="10" customWidth="1"/>
    <col min="15" max="15" width="13.33203125" style="10" customWidth="1"/>
    <col min="16" max="16" width="16.6640625" style="10" customWidth="1"/>
    <col min="17" max="17" width="13.33203125" style="10" customWidth="1"/>
    <col min="18" max="18" width="12.33203125" style="10" customWidth="1"/>
    <col min="19" max="23" width="12.83203125" style="10" customWidth="1"/>
    <col min="24" max="24" width="14" style="10" customWidth="1"/>
    <col min="25" max="35" width="12.83203125" style="10" customWidth="1"/>
    <col min="36" max="36" width="16.1640625" style="10" bestFit="1" customWidth="1"/>
    <col min="37" max="16384" width="12.33203125" style="10"/>
  </cols>
  <sheetData>
    <row r="1" spans="3:25" ht="15" x14ac:dyDescent="0.2">
      <c r="C1" s="11" t="s">
        <v>637</v>
      </c>
      <c r="D1" s="764" t="str">
        <f>HYPERLINK("http://maps.google.com/maps?q="&amp;T1,"View on Google Map")</f>
        <v>View on Google Map</v>
      </c>
      <c r="E1" s="764"/>
      <c r="F1" s="701"/>
      <c r="G1" s="702"/>
      <c r="H1" s="674" t="s">
        <v>66</v>
      </c>
      <c r="I1" s="675"/>
      <c r="J1" s="674" t="s">
        <v>67</v>
      </c>
      <c r="K1" s="676"/>
      <c r="L1" s="504"/>
      <c r="M1" s="504"/>
      <c r="N1" s="504"/>
      <c r="O1" s="504"/>
      <c r="P1" s="504"/>
      <c r="Q1" s="504"/>
      <c r="R1" s="504"/>
      <c r="S1" s="504"/>
      <c r="T1" s="334" t="str">
        <f>RIGHT(C1,LEN(C1)-SEARCH("-",C1))</f>
        <v xml:space="preserve"> 81 Milan Drive, Lumberton, NC 28358</v>
      </c>
      <c r="U1" s="334" t="str">
        <f>LEFT(C1,FIND("-",C1)-1)</f>
        <v>Waynesville Estates</v>
      </c>
      <c r="V1" s="335" t="s">
        <v>68</v>
      </c>
      <c r="W1" s="334"/>
      <c r="X1" s="334"/>
      <c r="Y1" s="504"/>
    </row>
    <row r="2" spans="3:25" x14ac:dyDescent="0.15">
      <c r="C2" s="504"/>
      <c r="D2" s="17"/>
      <c r="E2" s="504"/>
      <c r="F2" s="504"/>
      <c r="G2" s="504"/>
      <c r="H2" s="504"/>
      <c r="I2" s="504"/>
      <c r="J2" s="504"/>
      <c r="K2" s="504"/>
      <c r="L2" s="504"/>
      <c r="M2" s="504"/>
      <c r="N2" s="504"/>
      <c r="O2" s="504"/>
      <c r="P2" s="504"/>
      <c r="Q2" s="504"/>
      <c r="R2" s="504"/>
      <c r="S2" s="504"/>
      <c r="T2" s="334"/>
      <c r="U2" s="334"/>
      <c r="V2" s="334"/>
      <c r="W2" s="334"/>
      <c r="X2" s="334"/>
      <c r="Y2" s="504"/>
    </row>
    <row r="3" spans="3:25" x14ac:dyDescent="0.15">
      <c r="C3" s="6" t="s">
        <v>69</v>
      </c>
      <c r="D3" s="6"/>
      <c r="E3" s="30" t="s">
        <v>70</v>
      </c>
      <c r="F3" s="504"/>
      <c r="G3" s="504"/>
      <c r="H3" s="6" t="s">
        <v>71</v>
      </c>
      <c r="I3" s="6"/>
      <c r="J3" s="6"/>
      <c r="K3" s="6"/>
      <c r="L3" s="6"/>
      <c r="M3" s="6"/>
      <c r="N3" s="6"/>
      <c r="O3" s="212"/>
      <c r="P3" s="11"/>
      <c r="Q3" s="504"/>
      <c r="R3" s="504"/>
      <c r="S3" s="504"/>
      <c r="T3" s="334"/>
      <c r="U3" s="334"/>
      <c r="V3" s="334"/>
      <c r="W3" s="334"/>
      <c r="X3" s="334"/>
      <c r="Y3" s="504"/>
    </row>
    <row r="4" spans="3:25" x14ac:dyDescent="0.15">
      <c r="C4" s="518" t="s">
        <v>37</v>
      </c>
      <c r="D4" s="144">
        <v>8900000</v>
      </c>
      <c r="E4" s="523">
        <f>D4/$D$15</f>
        <v>36776.859504132233</v>
      </c>
      <c r="F4" s="700"/>
      <c r="G4" s="700"/>
      <c r="H4" s="504" t="s">
        <v>72</v>
      </c>
      <c r="I4" s="524"/>
      <c r="J4" s="143">
        <v>0.02</v>
      </c>
      <c r="K4" s="504"/>
      <c r="L4" s="524" t="s">
        <v>73</v>
      </c>
      <c r="M4" s="504"/>
      <c r="N4" s="468">
        <v>2024</v>
      </c>
      <c r="O4" s="212"/>
      <c r="P4" s="504"/>
      <c r="Q4" s="504"/>
      <c r="R4" s="504"/>
      <c r="S4" s="504"/>
      <c r="T4" s="334">
        <v>0</v>
      </c>
      <c r="U4" s="336">
        <v>2017</v>
      </c>
      <c r="V4" s="334">
        <v>0</v>
      </c>
      <c r="W4" s="334">
        <v>1</v>
      </c>
      <c r="X4" s="334">
        <v>2</v>
      </c>
      <c r="Y4" s="504">
        <v>4</v>
      </c>
    </row>
    <row r="5" spans="3:25" x14ac:dyDescent="0.15">
      <c r="C5" s="507" t="s">
        <v>74</v>
      </c>
      <c r="D5" s="18">
        <f>+Notes!C30</f>
        <v>1550000</v>
      </c>
      <c r="E5" s="525">
        <f t="shared" ref="E5:E6" si="0">D5/$D$15</f>
        <v>6404.9586776859505</v>
      </c>
      <c r="F5" s="504"/>
      <c r="G5" s="504"/>
      <c r="H5" s="504" t="s">
        <v>75</v>
      </c>
      <c r="I5" s="524"/>
      <c r="J5" s="143">
        <v>0.05</v>
      </c>
      <c r="K5" s="504"/>
      <c r="L5" s="504" t="s">
        <v>76</v>
      </c>
      <c r="M5" s="504"/>
      <c r="N5" s="330" t="s">
        <v>77</v>
      </c>
      <c r="O5" s="504"/>
      <c r="P5" s="504"/>
      <c r="Q5" s="504"/>
      <c r="R5" s="504"/>
      <c r="S5" s="504"/>
      <c r="T5" s="334">
        <v>1</v>
      </c>
      <c r="U5" s="336" t="s">
        <v>78</v>
      </c>
      <c r="V5" s="334"/>
      <c r="W5" s="334"/>
      <c r="X5" s="334"/>
      <c r="Y5" s="504"/>
    </row>
    <row r="6" spans="3:25" ht="14" thickBot="1" x14ac:dyDescent="0.2">
      <c r="C6" s="576" t="s">
        <v>79</v>
      </c>
      <c r="D6" s="581">
        <f>SUM(D4:D5)</f>
        <v>10450000</v>
      </c>
      <c r="E6" s="582">
        <f t="shared" si="0"/>
        <v>43181.818181818184</v>
      </c>
      <c r="F6" s="542"/>
      <c r="G6" s="526"/>
      <c r="H6" s="504" t="s">
        <v>80</v>
      </c>
      <c r="I6" s="524"/>
      <c r="J6" s="145">
        <v>2000</v>
      </c>
      <c r="K6" s="504"/>
      <c r="L6" s="504" t="s">
        <v>81</v>
      </c>
      <c r="M6" s="505"/>
      <c r="N6" s="506">
        <v>0</v>
      </c>
      <c r="O6" s="504"/>
      <c r="P6" s="504"/>
      <c r="Q6" s="504"/>
      <c r="R6" s="504"/>
      <c r="S6" s="504"/>
      <c r="T6" s="334">
        <v>2</v>
      </c>
      <c r="U6" s="336" t="s">
        <v>82</v>
      </c>
      <c r="V6" s="334"/>
      <c r="W6" s="334"/>
      <c r="X6" s="334"/>
      <c r="Y6" s="504"/>
    </row>
    <row r="7" spans="3:25" ht="14" thickTop="1" x14ac:dyDescent="0.15">
      <c r="C7" s="514" t="s">
        <v>83</v>
      </c>
      <c r="D7" s="27">
        <f ca="1">E165</f>
        <v>2.3190689952153114E-2</v>
      </c>
      <c r="E7" s="19"/>
      <c r="F7" s="535"/>
      <c r="G7" s="504"/>
      <c r="H7" s="504" t="s">
        <v>84</v>
      </c>
      <c r="I7" s="504"/>
      <c r="J7" s="704">
        <v>50</v>
      </c>
      <c r="K7" s="504"/>
      <c r="L7" s="504" t="s">
        <v>85</v>
      </c>
      <c r="M7" s="504"/>
      <c r="N7" s="506">
        <v>0</v>
      </c>
      <c r="O7" s="504"/>
      <c r="P7" s="526"/>
      <c r="Q7" s="504"/>
      <c r="R7" s="504"/>
      <c r="S7" s="504"/>
      <c r="T7" s="334">
        <v>4</v>
      </c>
      <c r="U7" s="336" t="s">
        <v>86</v>
      </c>
      <c r="V7" s="334"/>
      <c r="W7" s="334"/>
      <c r="X7" s="334"/>
      <c r="Y7" s="504"/>
    </row>
    <row r="8" spans="3:25" x14ac:dyDescent="0.15">
      <c r="C8" s="504" t="s">
        <v>87</v>
      </c>
      <c r="D8" s="27">
        <f ca="1">F85/(D4+D5)</f>
        <v>2.3190689952153114E-2</v>
      </c>
      <c r="E8" s="504"/>
      <c r="F8" s="535"/>
      <c r="G8" s="504"/>
      <c r="H8" s="504" t="s">
        <v>88</v>
      </c>
      <c r="I8" s="504"/>
      <c r="J8" s="145">
        <v>250</v>
      </c>
      <c r="K8" s="527" t="s">
        <v>89</v>
      </c>
      <c r="L8" s="504" t="s">
        <v>90</v>
      </c>
      <c r="M8" s="504"/>
      <c r="N8" s="506">
        <v>0</v>
      </c>
      <c r="O8" s="504"/>
      <c r="P8" s="526"/>
      <c r="Q8" s="504"/>
      <c r="R8" s="504"/>
      <c r="S8" s="504"/>
      <c r="T8" s="504"/>
      <c r="U8" s="504"/>
      <c r="V8" s="504"/>
      <c r="W8" s="504"/>
      <c r="X8" s="504"/>
      <c r="Y8" s="504"/>
    </row>
    <row r="9" spans="3:25" x14ac:dyDescent="0.15">
      <c r="C9" s="504" t="s">
        <v>91</v>
      </c>
      <c r="D9" s="27">
        <f>E102</f>
        <v>6.5000000000000002E-2</v>
      </c>
      <c r="E9" s="504"/>
      <c r="F9" s="526"/>
      <c r="G9" s="504"/>
      <c r="H9" s="504" t="s">
        <v>92</v>
      </c>
      <c r="I9" s="504"/>
      <c r="J9" s="145">
        <v>70</v>
      </c>
      <c r="K9" s="504"/>
      <c r="L9" s="504" t="s">
        <v>93</v>
      </c>
      <c r="M9" s="504"/>
      <c r="N9" s="506">
        <v>0</v>
      </c>
      <c r="O9" s="504"/>
      <c r="P9" s="526"/>
      <c r="Q9" s="504"/>
      <c r="R9" s="504"/>
      <c r="S9" s="504"/>
      <c r="T9" s="504"/>
      <c r="U9" s="504"/>
      <c r="V9" s="504"/>
      <c r="W9" s="504"/>
      <c r="X9" s="504"/>
      <c r="Y9" s="504"/>
    </row>
    <row r="10" spans="3:25" x14ac:dyDescent="0.15">
      <c r="C10" s="504" t="s">
        <v>94</v>
      </c>
      <c r="D10" s="500">
        <f>+E4/F29/100</f>
        <v>0.65091786732977397</v>
      </c>
      <c r="E10" s="504"/>
      <c r="F10" s="504"/>
      <c r="G10" s="504"/>
      <c r="H10" s="504"/>
      <c r="I10" s="504"/>
      <c r="J10" s="504"/>
      <c r="K10" s="504"/>
      <c r="L10" s="504"/>
      <c r="M10" s="504"/>
      <c r="N10" s="504"/>
      <c r="O10" s="504"/>
      <c r="P10" s="526"/>
      <c r="Q10" s="504"/>
      <c r="R10" s="504"/>
      <c r="S10" s="504"/>
      <c r="T10" s="504"/>
      <c r="U10" s="504"/>
      <c r="V10" s="504"/>
      <c r="W10" s="504"/>
      <c r="X10" s="504"/>
      <c r="Y10" s="504"/>
    </row>
    <row r="11" spans="3:25" x14ac:dyDescent="0.15">
      <c r="C11" s="61" t="s">
        <v>59</v>
      </c>
      <c r="D11" s="62" t="s">
        <v>42</v>
      </c>
      <c r="E11" s="62" t="s">
        <v>95</v>
      </c>
      <c r="F11" s="62" t="s">
        <v>96</v>
      </c>
      <c r="G11" s="62" t="s">
        <v>97</v>
      </c>
      <c r="H11" s="504"/>
      <c r="I11" s="62" t="s">
        <v>98</v>
      </c>
      <c r="J11" s="62" t="s">
        <v>99</v>
      </c>
      <c r="K11" s="62" t="s">
        <v>100</v>
      </c>
      <c r="L11" s="62" t="s">
        <v>101</v>
      </c>
      <c r="M11" s="62" t="s">
        <v>102</v>
      </c>
      <c r="N11" s="504"/>
      <c r="O11" s="504"/>
      <c r="P11" s="504"/>
      <c r="Q11" s="504"/>
      <c r="R11" s="504"/>
      <c r="S11" s="504"/>
      <c r="T11" s="504"/>
      <c r="U11" s="504"/>
      <c r="V11" s="504"/>
      <c r="W11" s="504"/>
      <c r="X11" s="504"/>
      <c r="Y11" s="504"/>
    </row>
    <row r="12" spans="3:25" x14ac:dyDescent="0.15">
      <c r="C12" s="518" t="s">
        <v>103</v>
      </c>
      <c r="D12" s="330">
        <v>242</v>
      </c>
      <c r="E12" s="330">
        <v>120</v>
      </c>
      <c r="F12" s="528">
        <f>D12-E12</f>
        <v>122</v>
      </c>
      <c r="G12" s="529">
        <f>F12/D12</f>
        <v>0.50413223140495866</v>
      </c>
      <c r="H12" s="504"/>
      <c r="I12" s="504" t="s">
        <v>104</v>
      </c>
      <c r="J12" s="504"/>
      <c r="K12" s="528"/>
      <c r="L12" s="528"/>
      <c r="M12" s="504"/>
      <c r="N12" s="504"/>
      <c r="O12" s="504"/>
      <c r="P12" s="504"/>
      <c r="Q12" s="504"/>
      <c r="R12" s="504"/>
      <c r="S12" s="504"/>
      <c r="T12" s="504"/>
      <c r="U12" s="504"/>
      <c r="V12" s="504"/>
      <c r="W12" s="504"/>
      <c r="X12" s="504"/>
      <c r="Y12" s="504"/>
    </row>
    <row r="13" spans="3:25" x14ac:dyDescent="0.15">
      <c r="C13" s="518" t="s">
        <v>105</v>
      </c>
      <c r="D13" s="330">
        <v>0</v>
      </c>
      <c r="E13" s="330">
        <v>0</v>
      </c>
      <c r="F13" s="528">
        <f>D13-E13</f>
        <v>0</v>
      </c>
      <c r="G13" s="529" t="str">
        <f>IF(ISERROR((F13/D13)),"-",(F13/D13))</f>
        <v>-</v>
      </c>
      <c r="H13" s="504"/>
      <c r="I13" s="504" t="s">
        <v>106</v>
      </c>
      <c r="J13" s="504" t="s">
        <v>107</v>
      </c>
      <c r="K13" s="504"/>
      <c r="L13" s="504"/>
      <c r="M13" s="504">
        <f>323+535</f>
        <v>858</v>
      </c>
      <c r="N13" s="504"/>
      <c r="O13" s="526"/>
      <c r="P13" s="504"/>
      <c r="Q13" s="504"/>
      <c r="R13" s="504"/>
      <c r="S13" s="504"/>
      <c r="T13" s="504"/>
      <c r="U13" s="504"/>
      <c r="V13" s="504"/>
      <c r="W13" s="504"/>
      <c r="X13" s="504"/>
      <c r="Y13" s="504"/>
    </row>
    <row r="14" spans="3:25" x14ac:dyDescent="0.15">
      <c r="C14" s="518" t="s">
        <v>108</v>
      </c>
      <c r="D14" s="330">
        <v>0</v>
      </c>
      <c r="E14" s="330">
        <v>0</v>
      </c>
      <c r="F14" s="528">
        <f>D14-E14</f>
        <v>0</v>
      </c>
      <c r="G14" s="529" t="str">
        <f>IF(ISERROR((F14/D14)),"-",(F14/D14))</f>
        <v>-</v>
      </c>
      <c r="H14" s="504"/>
      <c r="I14" s="504"/>
      <c r="J14" s="504"/>
      <c r="K14" s="504"/>
      <c r="L14" s="504"/>
      <c r="M14" s="504"/>
      <c r="N14" s="504"/>
      <c r="O14" s="504"/>
      <c r="P14" s="504"/>
      <c r="Q14" s="504"/>
      <c r="R14" s="504"/>
      <c r="S14" s="504"/>
      <c r="T14" s="504"/>
      <c r="U14" s="504"/>
      <c r="V14" s="504"/>
      <c r="W14" s="504"/>
      <c r="X14" s="504"/>
      <c r="Y14" s="504"/>
    </row>
    <row r="15" spans="3:25" x14ac:dyDescent="0.15">
      <c r="C15" s="61" t="s">
        <v>42</v>
      </c>
      <c r="D15" s="62">
        <f>SUM(D12:D14)</f>
        <v>242</v>
      </c>
      <c r="E15" s="62">
        <f>SUM(E12:E14)</f>
        <v>120</v>
      </c>
      <c r="F15" s="530">
        <f t="shared" ref="F15" si="1">D15-E15</f>
        <v>122</v>
      </c>
      <c r="G15" s="68">
        <f>F15/D15</f>
        <v>0.50413223140495866</v>
      </c>
      <c r="H15" s="504"/>
      <c r="I15" s="504"/>
      <c r="J15" s="504"/>
      <c r="K15" s="504"/>
      <c r="L15" s="504"/>
      <c r="M15" s="504"/>
      <c r="N15" s="504"/>
      <c r="O15" s="504"/>
      <c r="P15" s="504"/>
      <c r="Q15" s="504"/>
      <c r="R15" s="504"/>
      <c r="S15" s="504"/>
      <c r="T15" s="504"/>
      <c r="U15" s="504"/>
      <c r="V15" s="504"/>
      <c r="W15" s="504"/>
      <c r="X15" s="504"/>
      <c r="Y15" s="504"/>
    </row>
    <row r="16" spans="3:25" x14ac:dyDescent="0.15">
      <c r="C16" s="518"/>
      <c r="D16" s="63"/>
      <c r="E16" s="63"/>
      <c r="F16" s="528"/>
      <c r="G16" s="504"/>
      <c r="H16" s="504"/>
      <c r="I16" s="504"/>
      <c r="J16" s="504"/>
      <c r="K16" s="504"/>
      <c r="L16" s="504"/>
      <c r="M16" s="504"/>
      <c r="N16" s="504"/>
      <c r="O16" s="504"/>
      <c r="P16" s="504"/>
      <c r="Q16" s="504"/>
      <c r="R16" s="504"/>
      <c r="S16" s="504"/>
      <c r="T16" s="504"/>
      <c r="U16" s="504"/>
      <c r="V16" s="504"/>
      <c r="W16" s="504"/>
      <c r="X16" s="504"/>
      <c r="Y16" s="504"/>
    </row>
    <row r="17" spans="1:36" ht="14" thickBot="1" x14ac:dyDescent="0.2">
      <c r="A17" s="504"/>
      <c r="C17" s="518" t="s">
        <v>109</v>
      </c>
      <c r="D17" s="330">
        <v>211</v>
      </c>
      <c r="E17" s="330">
        <v>101</v>
      </c>
      <c r="F17" s="528">
        <f>D17-E17</f>
        <v>110</v>
      </c>
      <c r="G17" s="583">
        <v>0</v>
      </c>
      <c r="H17" s="584" t="s">
        <v>110</v>
      </c>
      <c r="I17" s="585"/>
      <c r="J17" s="504"/>
      <c r="K17" s="504"/>
      <c r="L17" s="504"/>
      <c r="M17" s="761" t="s">
        <v>111</v>
      </c>
      <c r="N17" s="761"/>
      <c r="O17" s="761"/>
      <c r="P17" s="761"/>
      <c r="Q17" s="504"/>
      <c r="R17" s="761" t="s">
        <v>112</v>
      </c>
      <c r="S17" s="761"/>
      <c r="T17" s="761"/>
      <c r="U17" s="761"/>
      <c r="V17" s="504"/>
      <c r="W17" s="504"/>
      <c r="X17" s="504"/>
      <c r="Y17" s="504"/>
      <c r="Z17" s="504"/>
      <c r="AA17" s="504"/>
      <c r="AB17" s="504"/>
      <c r="AC17" s="504"/>
      <c r="AD17" s="504"/>
      <c r="AE17" s="504"/>
      <c r="AF17" s="504"/>
      <c r="AG17" s="504"/>
      <c r="AH17" s="504"/>
      <c r="AI17" s="504"/>
      <c r="AJ17" s="504"/>
    </row>
    <row r="18" spans="1:36" ht="14" thickBot="1" x14ac:dyDescent="0.2">
      <c r="A18" s="504"/>
      <c r="C18" s="518"/>
      <c r="D18" s="63"/>
      <c r="E18" s="63"/>
      <c r="F18" s="63"/>
      <c r="G18" s="504"/>
      <c r="H18" s="504"/>
      <c r="I18" s="504"/>
      <c r="J18" s="504"/>
      <c r="K18" s="504"/>
      <c r="L18" s="504"/>
      <c r="M18" s="668" t="s">
        <v>113</v>
      </c>
      <c r="N18" s="504"/>
      <c r="O18" s="148" t="s">
        <v>114</v>
      </c>
      <c r="P18" s="148" t="s">
        <v>115</v>
      </c>
      <c r="Q18" s="504"/>
      <c r="R18" s="504" t="s">
        <v>116</v>
      </c>
      <c r="S18" s="307">
        <v>35000</v>
      </c>
      <c r="T18" s="504" t="s">
        <v>117</v>
      </c>
      <c r="U18" s="671">
        <v>15</v>
      </c>
      <c r="V18" s="504"/>
      <c r="W18" s="504"/>
      <c r="X18" s="504"/>
      <c r="Y18" s="504"/>
      <c r="Z18" s="504"/>
      <c r="AA18" s="504"/>
      <c r="AB18" s="504"/>
      <c r="AC18" s="504"/>
      <c r="AD18" s="504"/>
      <c r="AE18" s="504"/>
      <c r="AF18" s="504"/>
      <c r="AG18" s="504"/>
      <c r="AH18" s="504"/>
      <c r="AI18" s="504"/>
      <c r="AJ18" s="504"/>
    </row>
    <row r="19" spans="1:36" ht="14" thickBot="1" x14ac:dyDescent="0.2">
      <c r="A19" s="504"/>
      <c r="C19" s="466" t="s">
        <v>118</v>
      </c>
      <c r="D19" s="469"/>
      <c r="E19" s="470" t="s">
        <v>119</v>
      </c>
      <c r="F19" s="470" t="s">
        <v>120</v>
      </c>
      <c r="G19" s="471" t="s">
        <v>121</v>
      </c>
      <c r="H19" s="504"/>
      <c r="I19" s="40" t="s">
        <v>122</v>
      </c>
      <c r="J19" s="40"/>
      <c r="K19" s="40"/>
      <c r="L19" s="504"/>
      <c r="M19" s="670">
        <v>451</v>
      </c>
      <c r="N19" s="528" t="s">
        <v>123</v>
      </c>
      <c r="O19" s="666">
        <f>M19*E17*12</f>
        <v>546612</v>
      </c>
      <c r="P19" s="666">
        <f>M19</f>
        <v>451</v>
      </c>
      <c r="Q19" s="504"/>
      <c r="R19" s="504" t="s">
        <v>124</v>
      </c>
      <c r="S19" s="672">
        <v>0</v>
      </c>
      <c r="T19" s="504" t="s">
        <v>125</v>
      </c>
      <c r="U19" s="671">
        <f>U18*12</f>
        <v>180</v>
      </c>
      <c r="V19" s="504"/>
      <c r="W19" s="504"/>
      <c r="X19" s="504"/>
      <c r="Y19" s="504"/>
      <c r="Z19" s="504"/>
      <c r="AA19" s="504"/>
      <c r="AB19" s="504"/>
      <c r="AC19" s="504"/>
      <c r="AD19" s="504"/>
      <c r="AE19" s="504"/>
      <c r="AF19" s="504"/>
      <c r="AG19" s="504"/>
      <c r="AH19" s="504"/>
      <c r="AI19" s="504"/>
      <c r="AJ19" s="504"/>
    </row>
    <row r="20" spans="1:36" ht="14" thickBot="1" x14ac:dyDescent="0.2">
      <c r="A20" s="504"/>
      <c r="C20" s="531" t="str">
        <f ca="1">"30 Year Lev IRR -   "&amp;TEXT(D117,"0.0%")</f>
        <v>30 Year Lev IRR -   25.5%</v>
      </c>
      <c r="D20" s="472" t="s">
        <v>126</v>
      </c>
      <c r="E20" s="473">
        <f t="shared" ref="E20:G25" ca="1" si="2">D169</f>
        <v>0.16878476575618451</v>
      </c>
      <c r="F20" s="473">
        <f t="shared" ca="1" si="2"/>
        <v>0.18074980781239947</v>
      </c>
      <c r="G20" s="474">
        <f t="shared" ca="1" si="2"/>
        <v>0.16980916700487114</v>
      </c>
      <c r="H20" s="504"/>
      <c r="I20" s="524" t="s">
        <v>127</v>
      </c>
      <c r="J20" s="532"/>
      <c r="K20" s="143">
        <v>0.5</v>
      </c>
      <c r="L20" s="504"/>
      <c r="M20" s="504"/>
      <c r="N20" s="528" t="s">
        <v>128</v>
      </c>
      <c r="O20" s="526">
        <f>P20*E17*12</f>
        <v>60600</v>
      </c>
      <c r="P20" s="307">
        <v>50</v>
      </c>
      <c r="Q20" s="504"/>
      <c r="R20" s="504" t="s">
        <v>129</v>
      </c>
      <c r="S20" s="307">
        <f>S18*S19</f>
        <v>0</v>
      </c>
      <c r="T20" s="528" t="s">
        <v>130</v>
      </c>
      <c r="U20" s="340">
        <v>8.5000000000000006E-2</v>
      </c>
      <c r="V20" s="504"/>
      <c r="W20" s="504"/>
      <c r="X20" s="504"/>
      <c r="Y20" s="504"/>
      <c r="Z20" s="504"/>
      <c r="AA20" s="504"/>
      <c r="AB20" s="504"/>
      <c r="AC20" s="504"/>
      <c r="AD20" s="504"/>
      <c r="AE20" s="504"/>
      <c r="AF20" s="504"/>
      <c r="AG20" s="504"/>
      <c r="AH20" s="504"/>
      <c r="AI20" s="504"/>
      <c r="AJ20" s="504"/>
    </row>
    <row r="21" spans="1:36" ht="14" thickBot="1" x14ac:dyDescent="0.2">
      <c r="A21" s="504"/>
      <c r="C21" s="531" t="str">
        <f ca="1">"30 Year Investor IRR -   "&amp;TEXT(D134,"0.0%")</f>
        <v>30 Year Investor IRR -   19.4%</v>
      </c>
      <c r="D21" s="472" t="s">
        <v>131</v>
      </c>
      <c r="E21" s="473">
        <f t="shared" ca="1" si="2"/>
        <v>0.26231716698615859</v>
      </c>
      <c r="F21" s="473">
        <f t="shared" ca="1" si="2"/>
        <v>0.28987941888278512</v>
      </c>
      <c r="G21" s="474">
        <f t="shared" ca="1" si="2"/>
        <v>0.28508579329902051</v>
      </c>
      <c r="H21" s="504"/>
      <c r="I21" s="524" t="s">
        <v>132</v>
      </c>
      <c r="J21" s="532"/>
      <c r="K21" s="533">
        <f>1-K20</f>
        <v>0.5</v>
      </c>
      <c r="L21" s="534"/>
      <c r="M21" s="667" t="s">
        <v>133</v>
      </c>
      <c r="N21" s="528" t="s">
        <v>134</v>
      </c>
      <c r="O21" s="526">
        <f>P21*E17*12</f>
        <v>121200</v>
      </c>
      <c r="P21" s="307">
        <v>100</v>
      </c>
      <c r="Q21" s="504"/>
      <c r="R21" s="504"/>
      <c r="S21" s="504"/>
      <c r="T21" s="504"/>
      <c r="U21" s="504"/>
      <c r="V21" s="504"/>
      <c r="W21" s="504"/>
      <c r="X21" s="504"/>
      <c r="Y21" s="504"/>
      <c r="Z21" s="504"/>
      <c r="AA21" s="504"/>
      <c r="AB21" s="504"/>
      <c r="AC21" s="504"/>
      <c r="AD21" s="504"/>
      <c r="AE21" s="504"/>
      <c r="AF21" s="504"/>
      <c r="AG21" s="504"/>
      <c r="AH21" s="504"/>
      <c r="AI21" s="504"/>
      <c r="AJ21" s="504"/>
    </row>
    <row r="22" spans="1:36" ht="14" thickBot="1" x14ac:dyDescent="0.2">
      <c r="A22" s="504"/>
      <c r="C22" s="531"/>
      <c r="D22" s="472" t="s">
        <v>135</v>
      </c>
      <c r="E22" s="473">
        <f t="shared" ca="1" si="2"/>
        <v>0.16630517937820666</v>
      </c>
      <c r="F22" s="473">
        <f t="shared" ca="1" si="2"/>
        <v>0.19601861975284596</v>
      </c>
      <c r="G22" s="474">
        <f t="shared" ca="1" si="2"/>
        <v>0.21086617849890477</v>
      </c>
      <c r="H22" s="504"/>
      <c r="I22" s="524" t="s">
        <v>136</v>
      </c>
      <c r="J22" s="532"/>
      <c r="K22" s="143">
        <v>0.05</v>
      </c>
      <c r="L22" s="504"/>
      <c r="M22" s="669">
        <f>SUM(O20:O21)/O19</f>
        <v>0.33259423503325941</v>
      </c>
      <c r="N22" s="528" t="s">
        <v>137</v>
      </c>
      <c r="O22" s="535">
        <f>P22*E17*12</f>
        <v>0</v>
      </c>
      <c r="P22" s="307">
        <f>ROUND(T22,0)</f>
        <v>0</v>
      </c>
      <c r="Q22" s="504"/>
      <c r="R22" s="760" t="s">
        <v>138</v>
      </c>
      <c r="S22" s="760"/>
      <c r="T22" s="673">
        <f>-PMT(U20/12,U19,S20)</f>
        <v>0</v>
      </c>
      <c r="U22" s="504"/>
      <c r="V22" s="504"/>
      <c r="W22" s="504"/>
      <c r="X22" s="504"/>
      <c r="Y22" s="504"/>
      <c r="Z22" s="504"/>
      <c r="AA22" s="504"/>
      <c r="AB22" s="504"/>
      <c r="AC22" s="504"/>
      <c r="AD22" s="504"/>
      <c r="AE22" s="504"/>
      <c r="AF22" s="504"/>
      <c r="AG22" s="504"/>
      <c r="AH22" s="504"/>
      <c r="AI22" s="504"/>
      <c r="AJ22" s="504"/>
    </row>
    <row r="23" spans="1:36" ht="14" thickBot="1" x14ac:dyDescent="0.2">
      <c r="A23" s="504"/>
      <c r="C23" s="531" t="str">
        <f ca="1">"Year 5 Return On Cost -   "&amp;TEXT(J87,"0.0%")</f>
        <v>Year 5 Return On Cost -   10.0%</v>
      </c>
      <c r="D23" s="472" t="s">
        <v>139</v>
      </c>
      <c r="E23" s="475" t="str">
        <f t="shared" ca="1" si="2"/>
        <v>1.5x</v>
      </c>
      <c r="F23" s="475" t="str">
        <f t="shared" ca="1" si="2"/>
        <v>2.0x</v>
      </c>
      <c r="G23" s="476" t="str">
        <f t="shared" ca="1" si="2"/>
        <v>3.0x</v>
      </c>
      <c r="H23" s="504"/>
      <c r="I23" s="524" t="s">
        <v>140</v>
      </c>
      <c r="J23" s="532"/>
      <c r="K23" s="143">
        <v>0.05</v>
      </c>
      <c r="L23" s="504"/>
      <c r="M23"/>
      <c r="N23" s="528" t="s">
        <v>141</v>
      </c>
      <c r="O23" s="586">
        <f>O19-SUM(O20:O22)</f>
        <v>364812</v>
      </c>
      <c r="P23" s="586">
        <f>P19-SUM(P20:P22)</f>
        <v>301</v>
      </c>
      <c r="Q23" s="535"/>
      <c r="R23" s="504"/>
      <c r="S23" s="504"/>
      <c r="T23" s="504"/>
      <c r="U23" s="504"/>
      <c r="V23" s="504"/>
      <c r="W23" s="504"/>
      <c r="X23" s="504"/>
      <c r="Y23" s="504"/>
      <c r="Z23" s="504"/>
      <c r="AA23" s="504"/>
      <c r="AB23" s="504"/>
      <c r="AC23" s="504"/>
      <c r="AD23" s="504"/>
      <c r="AE23" s="504"/>
      <c r="AF23" s="504"/>
      <c r="AG23" s="504"/>
      <c r="AH23" s="504"/>
      <c r="AI23" s="504"/>
      <c r="AJ23" s="504"/>
    </row>
    <row r="24" spans="1:36" ht="14" thickBot="1" x14ac:dyDescent="0.2">
      <c r="A24" s="504"/>
      <c r="C24" s="531" t="str">
        <f ca="1">"Pct Equity Returned Over 5 Years "&amp;TEXT(J134,"0.0%")</f>
        <v>Pct Equity Returned Over 5 Years Cumm.= 145.0%</v>
      </c>
      <c r="D24" s="472" t="s">
        <v>142</v>
      </c>
      <c r="E24" s="477">
        <f t="shared" ca="1" si="2"/>
        <v>7809000</v>
      </c>
      <c r="F24" s="477">
        <f t="shared" ca="1" si="2"/>
        <v>10208000</v>
      </c>
      <c r="G24" s="478">
        <f t="shared" ca="1" si="2"/>
        <v>15182000</v>
      </c>
      <c r="H24" s="504"/>
      <c r="I24" s="504"/>
      <c r="J24" s="504"/>
      <c r="K24" s="504"/>
      <c r="L24" s="504"/>
      <c r="M24" s="668" t="s">
        <v>143</v>
      </c>
      <c r="N24" s="504"/>
      <c r="O24" s="511" t="s">
        <v>144</v>
      </c>
      <c r="P24" s="511" t="s">
        <v>145</v>
      </c>
      <c r="Q24" s="504"/>
      <c r="R24" s="504"/>
      <c r="S24" s="504"/>
      <c r="T24" s="504"/>
      <c r="U24" s="504"/>
      <c r="V24" s="504"/>
      <c r="W24" s="504"/>
      <c r="X24" s="504"/>
      <c r="Y24" s="504"/>
      <c r="Z24" s="504"/>
      <c r="AA24" s="504"/>
      <c r="AB24" s="504"/>
      <c r="AC24" s="504"/>
      <c r="AD24" s="504"/>
      <c r="AE24" s="504"/>
      <c r="AF24" s="504"/>
      <c r="AG24" s="504"/>
      <c r="AH24" s="504"/>
      <c r="AI24" s="504"/>
      <c r="AJ24" s="504"/>
    </row>
    <row r="25" spans="1:36" x14ac:dyDescent="0.15">
      <c r="A25" s="504"/>
      <c r="C25" s="531" t="str">
        <f ca="1">"Year 1 Leveraged Cash-On-Cash -   "&amp;TEXT(F116,"0.0%")</f>
        <v>Year 1 Leveraged Cash-On-Cash -   5.0%</v>
      </c>
      <c r="D25" s="472" t="s">
        <v>146</v>
      </c>
      <c r="E25" s="477">
        <f t="shared" ca="1" si="2"/>
        <v>2023000</v>
      </c>
      <c r="F25" s="477">
        <f t="shared" ca="1" si="2"/>
        <v>4229000</v>
      </c>
      <c r="G25" s="478">
        <f t="shared" ca="1" si="2"/>
        <v>9203000</v>
      </c>
      <c r="H25" s="501" t="s">
        <v>147</v>
      </c>
      <c r="I25" s="502" t="s">
        <v>148</v>
      </c>
      <c r="J25" s="528"/>
      <c r="K25" s="504"/>
      <c r="L25" s="504"/>
      <c r="M25" s="536">
        <v>0.12</v>
      </c>
      <c r="N25" s="504"/>
      <c r="O25" s="655">
        <f>(O19+SUM(O20:O21)/M25)</f>
        <v>2061612</v>
      </c>
      <c r="P25" s="655">
        <f>O25/E17</f>
        <v>20412</v>
      </c>
      <c r="Q25" s="504"/>
      <c r="R25" s="504"/>
      <c r="S25" s="504"/>
      <c r="T25" s="504"/>
      <c r="U25" s="504"/>
      <c r="V25" s="504"/>
      <c r="W25" s="504"/>
      <c r="X25" s="504"/>
      <c r="Y25" s="504"/>
      <c r="Z25" s="504"/>
      <c r="AA25" s="504"/>
      <c r="AB25" s="504"/>
      <c r="AC25" s="504"/>
      <c r="AD25" s="504"/>
      <c r="AE25" s="504"/>
      <c r="AF25" s="504"/>
      <c r="AG25" s="504"/>
      <c r="AH25" s="504"/>
      <c r="AI25" s="504"/>
      <c r="AJ25" s="504"/>
    </row>
    <row r="26" spans="1:36" x14ac:dyDescent="0.15">
      <c r="A26" s="504"/>
      <c r="C26" s="537"/>
      <c r="D26" s="472" t="s">
        <v>149</v>
      </c>
      <c r="E26" s="477" t="str">
        <f ca="1">+H103</f>
        <v>$/Sp=$56,400</v>
      </c>
      <c r="F26" s="479" t="str">
        <f ca="1">+J103</f>
        <v>$/Sp=$66,800</v>
      </c>
      <c r="G26" s="480" t="str">
        <f ca="1">+O103</f>
        <v>$/Sp=$84,800</v>
      </c>
      <c r="H26" s="477">
        <f ca="1">ROUND(O102,-3)</f>
        <v>20527000</v>
      </c>
      <c r="I26" s="478">
        <f ca="1">ROUND(H26/NoOfSpaces,-2)</f>
        <v>84800</v>
      </c>
      <c r="J26" s="528"/>
      <c r="K26" s="504"/>
      <c r="L26" s="504"/>
      <c r="M26" s="504"/>
      <c r="N26" s="504"/>
      <c r="O26" s="504"/>
      <c r="P26" s="504"/>
      <c r="Q26" s="504"/>
      <c r="R26" s="504"/>
      <c r="S26" s="504"/>
      <c r="T26" s="504"/>
      <c r="U26" s="504"/>
      <c r="V26" s="504"/>
      <c r="W26" s="504"/>
      <c r="X26" s="504"/>
      <c r="Y26" s="504"/>
      <c r="Z26" s="504"/>
      <c r="AA26" s="504"/>
      <c r="AB26" s="504"/>
      <c r="AC26" s="504"/>
      <c r="AD26" s="504"/>
      <c r="AE26" s="504"/>
      <c r="AF26" s="504"/>
      <c r="AG26" s="504"/>
      <c r="AH26" s="504"/>
      <c r="AI26" s="504"/>
      <c r="AJ26" s="504"/>
    </row>
    <row r="27" spans="1:36" x14ac:dyDescent="0.15">
      <c r="A27" s="528" t="s">
        <v>150</v>
      </c>
      <c r="B27" s="467" t="s">
        <v>151</v>
      </c>
      <c r="C27" s="20" t="s">
        <v>152</v>
      </c>
      <c r="D27" s="21" t="s">
        <v>153</v>
      </c>
      <c r="E27" s="710" t="s">
        <v>154</v>
      </c>
      <c r="F27" s="24">
        <v>1</v>
      </c>
      <c r="G27" s="24">
        <f>F27+1</f>
        <v>2</v>
      </c>
      <c r="H27" s="24">
        <f t="shared" ref="H27:AH27" si="3">G27+1</f>
        <v>3</v>
      </c>
      <c r="I27" s="24">
        <f t="shared" si="3"/>
        <v>4</v>
      </c>
      <c r="J27" s="24">
        <f t="shared" si="3"/>
        <v>5</v>
      </c>
      <c r="K27" s="24">
        <f t="shared" si="3"/>
        <v>6</v>
      </c>
      <c r="L27" s="24">
        <f t="shared" si="3"/>
        <v>7</v>
      </c>
      <c r="M27" s="24">
        <f t="shared" si="3"/>
        <v>8</v>
      </c>
      <c r="N27" s="24">
        <f t="shared" si="3"/>
        <v>9</v>
      </c>
      <c r="O27" s="24">
        <f t="shared" si="3"/>
        <v>10</v>
      </c>
      <c r="P27" s="24">
        <f t="shared" si="3"/>
        <v>11</v>
      </c>
      <c r="Q27" s="24">
        <f t="shared" si="3"/>
        <v>12</v>
      </c>
      <c r="R27" s="24">
        <f t="shared" si="3"/>
        <v>13</v>
      </c>
      <c r="S27" s="24">
        <f t="shared" si="3"/>
        <v>14</v>
      </c>
      <c r="T27" s="24">
        <f t="shared" si="3"/>
        <v>15</v>
      </c>
      <c r="U27" s="24">
        <f t="shared" si="3"/>
        <v>16</v>
      </c>
      <c r="V27" s="24">
        <f t="shared" si="3"/>
        <v>17</v>
      </c>
      <c r="W27" s="24">
        <f t="shared" si="3"/>
        <v>18</v>
      </c>
      <c r="X27" s="24">
        <f t="shared" si="3"/>
        <v>19</v>
      </c>
      <c r="Y27" s="24">
        <f t="shared" si="3"/>
        <v>20</v>
      </c>
      <c r="Z27" s="24">
        <f t="shared" si="3"/>
        <v>21</v>
      </c>
      <c r="AA27" s="24">
        <f t="shared" si="3"/>
        <v>22</v>
      </c>
      <c r="AB27" s="24">
        <f t="shared" si="3"/>
        <v>23</v>
      </c>
      <c r="AC27" s="24">
        <f t="shared" si="3"/>
        <v>24</v>
      </c>
      <c r="AD27" s="24">
        <f t="shared" si="3"/>
        <v>25</v>
      </c>
      <c r="AE27" s="24">
        <f t="shared" si="3"/>
        <v>26</v>
      </c>
      <c r="AF27" s="24">
        <f t="shared" si="3"/>
        <v>27</v>
      </c>
      <c r="AG27" s="24">
        <f t="shared" si="3"/>
        <v>28</v>
      </c>
      <c r="AH27" s="24">
        <f t="shared" si="3"/>
        <v>29</v>
      </c>
      <c r="AI27" s="24">
        <f t="shared" ref="AI27" si="4">AH27+1</f>
        <v>30</v>
      </c>
      <c r="AJ27" s="24">
        <f t="shared" ref="AJ27" si="5">AI27+1</f>
        <v>31</v>
      </c>
    </row>
    <row r="28" spans="1:36" x14ac:dyDescent="0.15">
      <c r="A28" s="504"/>
      <c r="C28" s="11" t="s">
        <v>155</v>
      </c>
      <c r="D28" s="133"/>
      <c r="E28" s="538"/>
      <c r="F28" s="264"/>
      <c r="G28" s="265" t="str">
        <f>"YOY = "&amp;TEXT(((G29-F29)/F29),"0.0%")</f>
        <v>YOY = 0.0%</v>
      </c>
      <c r="H28" s="265" t="str">
        <f>"YOY = "&amp;TEXT(((H29-G29)/G29),"0.0%")</f>
        <v>YOY = 0.0%</v>
      </c>
      <c r="I28" s="265" t="str">
        <f t="shared" ref="I28:AH28" si="6">"YOY = "&amp;TEXT(((I29-H29)/H29),"0.0%")</f>
        <v>YOY = 4.0%</v>
      </c>
      <c r="J28" s="265" t="str">
        <f t="shared" si="6"/>
        <v>YOY = 4.0%</v>
      </c>
      <c r="K28" s="213" t="str">
        <f t="shared" si="6"/>
        <v>YOY = 4.0%</v>
      </c>
      <c r="L28" s="213" t="str">
        <f t="shared" si="6"/>
        <v>YOY = 4.0%</v>
      </c>
      <c r="M28" s="213" t="str">
        <f t="shared" si="6"/>
        <v>YOY = 4.0%</v>
      </c>
      <c r="N28" s="213" t="str">
        <f t="shared" si="6"/>
        <v>YOY = 4.0%</v>
      </c>
      <c r="O28" s="213" t="str">
        <f t="shared" si="6"/>
        <v>YOY = 4.0%</v>
      </c>
      <c r="P28" s="213" t="str">
        <f t="shared" si="6"/>
        <v>YOY = 4.0%</v>
      </c>
      <c r="Q28" s="213" t="str">
        <f t="shared" si="6"/>
        <v>YOY = 4.0%</v>
      </c>
      <c r="R28" s="213" t="str">
        <f t="shared" si="6"/>
        <v>YOY = 4.0%</v>
      </c>
      <c r="S28" s="213" t="str">
        <f t="shared" si="6"/>
        <v>YOY = 4.0%</v>
      </c>
      <c r="T28" s="213" t="str">
        <f t="shared" si="6"/>
        <v>YOY = 4.0%</v>
      </c>
      <c r="U28" s="213" t="str">
        <f t="shared" si="6"/>
        <v>YOY = 4.0%</v>
      </c>
      <c r="V28" s="213" t="str">
        <f t="shared" si="6"/>
        <v>YOY = 4.0%</v>
      </c>
      <c r="W28" s="213" t="str">
        <f t="shared" si="6"/>
        <v>YOY = 4.0%</v>
      </c>
      <c r="X28" s="213" t="str">
        <f t="shared" si="6"/>
        <v>YOY = 4.0%</v>
      </c>
      <c r="Y28" s="213" t="str">
        <f t="shared" si="6"/>
        <v>YOY = 4.0%</v>
      </c>
      <c r="Z28" s="213" t="str">
        <f t="shared" si="6"/>
        <v>YOY = 4.0%</v>
      </c>
      <c r="AA28" s="213" t="str">
        <f t="shared" si="6"/>
        <v>YOY = 4.0%</v>
      </c>
      <c r="AB28" s="213" t="str">
        <f t="shared" si="6"/>
        <v>YOY = 4.0%</v>
      </c>
      <c r="AC28" s="213" t="str">
        <f t="shared" si="6"/>
        <v>YOY = 4.0%</v>
      </c>
      <c r="AD28" s="213" t="str">
        <f t="shared" si="6"/>
        <v>YOY = 4.0%</v>
      </c>
      <c r="AE28" s="213" t="str">
        <f t="shared" si="6"/>
        <v>YOY = 4.0%</v>
      </c>
      <c r="AF28" s="213" t="str">
        <f t="shared" si="6"/>
        <v>YOY = 4.0%</v>
      </c>
      <c r="AG28" s="213" t="str">
        <f t="shared" si="6"/>
        <v>YOY = 4.0%</v>
      </c>
      <c r="AH28" s="213" t="str">
        <f t="shared" si="6"/>
        <v>YOY = 4.0%</v>
      </c>
      <c r="AI28" s="213" t="str">
        <f t="shared" ref="AI28" si="7">"YOY = "&amp;TEXT(((AI29-AH29)/AH29),"0.0%")</f>
        <v>YOY = 4.0%</v>
      </c>
      <c r="AJ28" s="213" t="str">
        <f t="shared" ref="AJ28" si="8">"YOY = "&amp;TEXT(((AJ29-AI29)/AI29),"0.0%")</f>
        <v>YOY = 4.0%</v>
      </c>
    </row>
    <row r="29" spans="1:36" x14ac:dyDescent="0.15">
      <c r="A29" s="504"/>
      <c r="C29" s="507" t="str">
        <f>C12</f>
        <v xml:space="preserve">MH </v>
      </c>
      <c r="D29" s="134">
        <v>585</v>
      </c>
      <c r="E29" s="266">
        <v>0.04</v>
      </c>
      <c r="F29" s="264">
        <v>565</v>
      </c>
      <c r="G29" s="264">
        <f>F29</f>
        <v>565</v>
      </c>
      <c r="H29" s="264">
        <f>G29</f>
        <v>565</v>
      </c>
      <c r="I29" s="264">
        <f t="shared" ref="I29" si="9">H29*(1+$E$29)</f>
        <v>587.6</v>
      </c>
      <c r="J29" s="264">
        <f t="shared" ref="J29" si="10">I29*(1+$E$29)</f>
        <v>611.10400000000004</v>
      </c>
      <c r="K29" s="264">
        <f t="shared" ref="K29" si="11">J29*(1+$E$29)</f>
        <v>635.54816000000005</v>
      </c>
      <c r="L29" s="264">
        <f t="shared" ref="L29:AH29" si="12">K29*(1+$E$29)</f>
        <v>660.97008640000013</v>
      </c>
      <c r="M29" s="264">
        <f t="shared" si="12"/>
        <v>687.4088898560002</v>
      </c>
      <c r="N29" s="264">
        <f t="shared" si="12"/>
        <v>714.90524545024027</v>
      </c>
      <c r="O29" s="264">
        <f t="shared" si="12"/>
        <v>743.50145526824986</v>
      </c>
      <c r="P29" s="264">
        <f t="shared" si="12"/>
        <v>773.24151347897987</v>
      </c>
      <c r="Q29" s="264">
        <f t="shared" si="12"/>
        <v>804.17117401813914</v>
      </c>
      <c r="R29" s="264">
        <f t="shared" si="12"/>
        <v>836.33802097886473</v>
      </c>
      <c r="S29" s="264">
        <f t="shared" si="12"/>
        <v>869.79154181801937</v>
      </c>
      <c r="T29" s="264">
        <f t="shared" si="12"/>
        <v>904.58320349074017</v>
      </c>
      <c r="U29" s="264">
        <f t="shared" si="12"/>
        <v>940.76653163036985</v>
      </c>
      <c r="V29" s="264">
        <f t="shared" si="12"/>
        <v>978.39719289558468</v>
      </c>
      <c r="W29" s="264">
        <f t="shared" si="12"/>
        <v>1017.5330806114081</v>
      </c>
      <c r="X29" s="264">
        <f t="shared" si="12"/>
        <v>1058.2344038358644</v>
      </c>
      <c r="Y29" s="264">
        <f t="shared" si="12"/>
        <v>1100.5637799892991</v>
      </c>
      <c r="Z29" s="264">
        <f t="shared" si="12"/>
        <v>1144.5863311888711</v>
      </c>
      <c r="AA29" s="264">
        <f t="shared" si="12"/>
        <v>1190.369784436426</v>
      </c>
      <c r="AB29" s="264">
        <f t="shared" si="12"/>
        <v>1237.9845758138831</v>
      </c>
      <c r="AC29" s="264">
        <f t="shared" si="12"/>
        <v>1287.5039588464385</v>
      </c>
      <c r="AD29" s="264">
        <f t="shared" si="12"/>
        <v>1339.0041172002962</v>
      </c>
      <c r="AE29" s="264">
        <f t="shared" si="12"/>
        <v>1392.564281888308</v>
      </c>
      <c r="AF29" s="264">
        <f t="shared" si="12"/>
        <v>1448.2668531638403</v>
      </c>
      <c r="AG29" s="264">
        <f t="shared" si="12"/>
        <v>1506.197527290394</v>
      </c>
      <c r="AH29" s="264">
        <f t="shared" si="12"/>
        <v>1566.4454283820098</v>
      </c>
      <c r="AI29" s="264">
        <f t="shared" ref="AI29" si="13">AH29*(1+$E$29)</f>
        <v>1629.1032455172904</v>
      </c>
      <c r="AJ29" s="264">
        <f t="shared" ref="AJ29" si="14">AI29*(1+$E$29)</f>
        <v>1694.267375337982</v>
      </c>
    </row>
    <row r="30" spans="1:36" x14ac:dyDescent="0.15">
      <c r="A30" s="504"/>
      <c r="C30" s="507" t="str">
        <f>C13</f>
        <v>RV</v>
      </c>
      <c r="D30" s="134">
        <v>0</v>
      </c>
      <c r="E30" s="266">
        <v>0.04</v>
      </c>
      <c r="F30" s="264">
        <f>D30</f>
        <v>0</v>
      </c>
      <c r="G30" s="264">
        <f t="shared" ref="G30" si="15">F30*(1+$E$30)</f>
        <v>0</v>
      </c>
      <c r="H30" s="264">
        <f t="shared" ref="H30" si="16">G30*(1+$E$30)</f>
        <v>0</v>
      </c>
      <c r="I30" s="264">
        <f t="shared" ref="I30" si="17">H30*(1+$E$30)</f>
        <v>0</v>
      </c>
      <c r="J30" s="264">
        <f t="shared" ref="J30" si="18">I30*(1+$E$30)</f>
        <v>0</v>
      </c>
      <c r="K30" s="264">
        <f t="shared" ref="K30:AH30" si="19">J30*(1+$E$30)</f>
        <v>0</v>
      </c>
      <c r="L30" s="264">
        <f t="shared" si="19"/>
        <v>0</v>
      </c>
      <c r="M30" s="264">
        <f t="shared" si="19"/>
        <v>0</v>
      </c>
      <c r="N30" s="264">
        <f t="shared" si="19"/>
        <v>0</v>
      </c>
      <c r="O30" s="264">
        <f t="shared" si="19"/>
        <v>0</v>
      </c>
      <c r="P30" s="264">
        <f t="shared" si="19"/>
        <v>0</v>
      </c>
      <c r="Q30" s="264">
        <f t="shared" si="19"/>
        <v>0</v>
      </c>
      <c r="R30" s="264">
        <f t="shared" si="19"/>
        <v>0</v>
      </c>
      <c r="S30" s="264">
        <f t="shared" si="19"/>
        <v>0</v>
      </c>
      <c r="T30" s="264">
        <f t="shared" si="19"/>
        <v>0</v>
      </c>
      <c r="U30" s="264">
        <f t="shared" si="19"/>
        <v>0</v>
      </c>
      <c r="V30" s="264">
        <f t="shared" si="19"/>
        <v>0</v>
      </c>
      <c r="W30" s="264">
        <f t="shared" si="19"/>
        <v>0</v>
      </c>
      <c r="X30" s="264">
        <f t="shared" si="19"/>
        <v>0</v>
      </c>
      <c r="Y30" s="264">
        <f t="shared" si="19"/>
        <v>0</v>
      </c>
      <c r="Z30" s="264">
        <f t="shared" si="19"/>
        <v>0</v>
      </c>
      <c r="AA30" s="264">
        <f t="shared" si="19"/>
        <v>0</v>
      </c>
      <c r="AB30" s="264">
        <f t="shared" si="19"/>
        <v>0</v>
      </c>
      <c r="AC30" s="264">
        <f t="shared" si="19"/>
        <v>0</v>
      </c>
      <c r="AD30" s="264">
        <f t="shared" si="19"/>
        <v>0</v>
      </c>
      <c r="AE30" s="264">
        <f t="shared" si="19"/>
        <v>0</v>
      </c>
      <c r="AF30" s="264">
        <f t="shared" si="19"/>
        <v>0</v>
      </c>
      <c r="AG30" s="264">
        <f t="shared" si="19"/>
        <v>0</v>
      </c>
      <c r="AH30" s="264">
        <f t="shared" si="19"/>
        <v>0</v>
      </c>
      <c r="AI30" s="264">
        <f t="shared" ref="AI30" si="20">AH30*(1+$E$30)</f>
        <v>0</v>
      </c>
      <c r="AJ30" s="264">
        <f t="shared" ref="AJ30" si="21">AI30*(1+$E$30)</f>
        <v>0</v>
      </c>
    </row>
    <row r="31" spans="1:36" x14ac:dyDescent="0.15">
      <c r="A31" s="504"/>
      <c r="C31" s="507" t="str">
        <f>C14</f>
        <v>Other</v>
      </c>
      <c r="D31" s="134">
        <v>0</v>
      </c>
      <c r="E31" s="266">
        <v>0.04</v>
      </c>
      <c r="F31" s="264">
        <f>D31</f>
        <v>0</v>
      </c>
      <c r="G31" s="264">
        <f t="shared" ref="G31" si="22">F31*(1+$E$31)</f>
        <v>0</v>
      </c>
      <c r="H31" s="264">
        <f t="shared" ref="H31" si="23">G31*(1+$E$31)</f>
        <v>0</v>
      </c>
      <c r="I31" s="264">
        <f t="shared" ref="I31" si="24">H31*(1+$E$31)</f>
        <v>0</v>
      </c>
      <c r="J31" s="264">
        <f t="shared" ref="J31" si="25">I31*(1+$E$31)</f>
        <v>0</v>
      </c>
      <c r="K31" s="264">
        <f t="shared" ref="K31:AH31" si="26">J31*(1+$E$31)</f>
        <v>0</v>
      </c>
      <c r="L31" s="264">
        <f t="shared" si="26"/>
        <v>0</v>
      </c>
      <c r="M31" s="264">
        <f t="shared" si="26"/>
        <v>0</v>
      </c>
      <c r="N31" s="264">
        <f t="shared" si="26"/>
        <v>0</v>
      </c>
      <c r="O31" s="264">
        <f t="shared" si="26"/>
        <v>0</v>
      </c>
      <c r="P31" s="264">
        <f t="shared" si="26"/>
        <v>0</v>
      </c>
      <c r="Q31" s="264">
        <f t="shared" si="26"/>
        <v>0</v>
      </c>
      <c r="R31" s="264">
        <f t="shared" si="26"/>
        <v>0</v>
      </c>
      <c r="S31" s="264">
        <f t="shared" si="26"/>
        <v>0</v>
      </c>
      <c r="T31" s="264">
        <f t="shared" si="26"/>
        <v>0</v>
      </c>
      <c r="U31" s="264">
        <f t="shared" si="26"/>
        <v>0</v>
      </c>
      <c r="V31" s="264">
        <f t="shared" si="26"/>
        <v>0</v>
      </c>
      <c r="W31" s="264">
        <f t="shared" si="26"/>
        <v>0</v>
      </c>
      <c r="X31" s="264">
        <f t="shared" si="26"/>
        <v>0</v>
      </c>
      <c r="Y31" s="264">
        <f t="shared" si="26"/>
        <v>0</v>
      </c>
      <c r="Z31" s="264">
        <f t="shared" si="26"/>
        <v>0</v>
      </c>
      <c r="AA31" s="264">
        <f t="shared" si="26"/>
        <v>0</v>
      </c>
      <c r="AB31" s="264">
        <f t="shared" si="26"/>
        <v>0</v>
      </c>
      <c r="AC31" s="264">
        <f t="shared" si="26"/>
        <v>0</v>
      </c>
      <c r="AD31" s="264">
        <f t="shared" si="26"/>
        <v>0</v>
      </c>
      <c r="AE31" s="264">
        <f t="shared" si="26"/>
        <v>0</v>
      </c>
      <c r="AF31" s="264">
        <f t="shared" si="26"/>
        <v>0</v>
      </c>
      <c r="AG31" s="264">
        <f t="shared" si="26"/>
        <v>0</v>
      </c>
      <c r="AH31" s="264">
        <f t="shared" si="26"/>
        <v>0</v>
      </c>
      <c r="AI31" s="264">
        <f t="shared" ref="AI31" si="27">AH31*(1+$E$31)</f>
        <v>0</v>
      </c>
      <c r="AJ31" s="264">
        <f t="shared" ref="AJ31" si="28">AI31*(1+$E$31)</f>
        <v>0</v>
      </c>
    </row>
    <row r="32" spans="1:36" x14ac:dyDescent="0.15">
      <c r="A32" s="504"/>
      <c r="C32" s="504"/>
      <c r="D32" s="133"/>
      <c r="E32" s="538"/>
      <c r="F32" s="711"/>
      <c r="G32" s="712"/>
      <c r="H32" s="712"/>
      <c r="I32" s="712"/>
      <c r="J32" s="712"/>
      <c r="K32" s="712"/>
      <c r="L32" s="712"/>
      <c r="M32" s="712"/>
      <c r="N32" s="712"/>
      <c r="O32" s="712"/>
      <c r="P32" s="712"/>
      <c r="Q32" s="712"/>
      <c r="R32" s="712"/>
      <c r="S32" s="712"/>
      <c r="T32" s="712"/>
      <c r="U32" s="712"/>
      <c r="V32" s="712"/>
      <c r="W32" s="712"/>
      <c r="X32" s="712"/>
      <c r="Y32" s="712"/>
      <c r="Z32" s="712"/>
      <c r="AA32" s="712"/>
      <c r="AB32" s="712"/>
      <c r="AC32" s="712"/>
      <c r="AD32" s="712"/>
      <c r="AE32" s="712"/>
      <c r="AF32" s="712"/>
      <c r="AG32" s="712"/>
      <c r="AH32" s="712"/>
      <c r="AI32" s="712"/>
      <c r="AJ32" s="712"/>
    </row>
    <row r="33" spans="1:36" ht="16" x14ac:dyDescent="0.3">
      <c r="A33" s="504"/>
      <c r="C33" s="11" t="s">
        <v>156</v>
      </c>
      <c r="D33" s="135"/>
      <c r="E33" s="318" t="s">
        <v>157</v>
      </c>
      <c r="F33" s="264"/>
      <c r="G33" s="264"/>
      <c r="H33" s="264"/>
      <c r="I33" s="264"/>
      <c r="J33" s="264"/>
      <c r="K33" s="264"/>
      <c r="L33" s="264"/>
      <c r="M33" s="264"/>
      <c r="N33" s="264"/>
      <c r="O33" s="264"/>
      <c r="P33" s="264"/>
      <c r="Q33" s="264"/>
      <c r="R33" s="264"/>
      <c r="S33" s="264"/>
      <c r="T33" s="264"/>
      <c r="U33" s="264"/>
      <c r="V33" s="264"/>
      <c r="W33" s="264"/>
      <c r="X33" s="264"/>
      <c r="Y33" s="264"/>
      <c r="Z33" s="264"/>
      <c r="AA33" s="264"/>
      <c r="AB33" s="264"/>
      <c r="AC33" s="264"/>
      <c r="AD33" s="264"/>
      <c r="AE33" s="264"/>
      <c r="AF33" s="264"/>
      <c r="AG33" s="264"/>
      <c r="AH33" s="264"/>
      <c r="AI33" s="264"/>
      <c r="AJ33" s="264"/>
    </row>
    <row r="34" spans="1:36" x14ac:dyDescent="0.15">
      <c r="A34" s="504"/>
      <c r="B34" s="454">
        <f>(F34*12)</f>
        <v>1640760</v>
      </c>
      <c r="C34" s="507" t="str">
        <f>C29</f>
        <v xml:space="preserve">MH </v>
      </c>
      <c r="D34" s="133">
        <f>D29*D12*12</f>
        <v>1698840</v>
      </c>
      <c r="E34" s="319">
        <f>D12</f>
        <v>242</v>
      </c>
      <c r="F34" s="264">
        <f>F29*$E$34</f>
        <v>136730</v>
      </c>
      <c r="G34" s="264">
        <f t="shared" ref="G34:AH34" si="29">G29*$E34</f>
        <v>136730</v>
      </c>
      <c r="H34" s="264">
        <f t="shared" si="29"/>
        <v>136730</v>
      </c>
      <c r="I34" s="264">
        <f t="shared" si="29"/>
        <v>142199.20000000001</v>
      </c>
      <c r="J34" s="264">
        <f t="shared" si="29"/>
        <v>147887.16800000001</v>
      </c>
      <c r="K34" s="264">
        <f t="shared" si="29"/>
        <v>153802.65472000002</v>
      </c>
      <c r="L34" s="264">
        <f t="shared" si="29"/>
        <v>159954.76090880003</v>
      </c>
      <c r="M34" s="264">
        <f t="shared" si="29"/>
        <v>166352.95134515205</v>
      </c>
      <c r="N34" s="264">
        <f t="shared" si="29"/>
        <v>173007.06939895815</v>
      </c>
      <c r="O34" s="264">
        <f t="shared" si="29"/>
        <v>179927.35217491648</v>
      </c>
      <c r="P34" s="264">
        <f t="shared" si="29"/>
        <v>187124.44626191314</v>
      </c>
      <c r="Q34" s="264">
        <f t="shared" si="29"/>
        <v>194609.42411238968</v>
      </c>
      <c r="R34" s="264">
        <f t="shared" si="29"/>
        <v>202393.80107688525</v>
      </c>
      <c r="S34" s="264">
        <f t="shared" si="29"/>
        <v>210489.55311996068</v>
      </c>
      <c r="T34" s="264">
        <f t="shared" si="29"/>
        <v>218909.13524475912</v>
      </c>
      <c r="U34" s="264">
        <f t="shared" si="29"/>
        <v>227665.50065454951</v>
      </c>
      <c r="V34" s="264">
        <f t="shared" si="29"/>
        <v>236772.12068073149</v>
      </c>
      <c r="W34" s="264">
        <f t="shared" si="29"/>
        <v>246243.00550796077</v>
      </c>
      <c r="X34" s="264">
        <f t="shared" si="29"/>
        <v>256092.72572827918</v>
      </c>
      <c r="Y34" s="264">
        <f t="shared" si="29"/>
        <v>266336.43475741037</v>
      </c>
      <c r="Z34" s="264">
        <f t="shared" si="29"/>
        <v>276989.89214770682</v>
      </c>
      <c r="AA34" s="264">
        <f t="shared" si="29"/>
        <v>288069.4878336151</v>
      </c>
      <c r="AB34" s="264">
        <f t="shared" si="29"/>
        <v>299592.26734695974</v>
      </c>
      <c r="AC34" s="264">
        <f t="shared" si="29"/>
        <v>311575.95804083813</v>
      </c>
      <c r="AD34" s="264">
        <f t="shared" si="29"/>
        <v>324038.99636247166</v>
      </c>
      <c r="AE34" s="264">
        <f t="shared" si="29"/>
        <v>337000.55621697055</v>
      </c>
      <c r="AF34" s="264">
        <f t="shared" si="29"/>
        <v>350480.57846564933</v>
      </c>
      <c r="AG34" s="264">
        <f t="shared" si="29"/>
        <v>364499.80160427536</v>
      </c>
      <c r="AH34" s="264">
        <f t="shared" si="29"/>
        <v>379079.79366844636</v>
      </c>
      <c r="AI34" s="264">
        <f t="shared" ref="AI34:AJ34" si="30">AI29*$E34</f>
        <v>394242.98541518429</v>
      </c>
      <c r="AJ34" s="264">
        <f t="shared" si="30"/>
        <v>410012.70483179163</v>
      </c>
    </row>
    <row r="35" spans="1:36" x14ac:dyDescent="0.15">
      <c r="A35" s="504"/>
      <c r="B35" s="454">
        <f>(F35*12)</f>
        <v>0</v>
      </c>
      <c r="C35" s="507" t="str">
        <f>C30</f>
        <v>RV</v>
      </c>
      <c r="D35" s="133">
        <f>D30*D13*12</f>
        <v>0</v>
      </c>
      <c r="E35" s="319">
        <f>D13</f>
        <v>0</v>
      </c>
      <c r="F35" s="264">
        <f t="shared" ref="F35:AH35" si="31">F30*$E$35</f>
        <v>0</v>
      </c>
      <c r="G35" s="264">
        <f t="shared" si="31"/>
        <v>0</v>
      </c>
      <c r="H35" s="264">
        <f t="shared" si="31"/>
        <v>0</v>
      </c>
      <c r="I35" s="264">
        <f t="shared" si="31"/>
        <v>0</v>
      </c>
      <c r="J35" s="264">
        <f t="shared" si="31"/>
        <v>0</v>
      </c>
      <c r="K35" s="264">
        <f t="shared" si="31"/>
        <v>0</v>
      </c>
      <c r="L35" s="264">
        <f t="shared" si="31"/>
        <v>0</v>
      </c>
      <c r="M35" s="264">
        <f t="shared" si="31"/>
        <v>0</v>
      </c>
      <c r="N35" s="264">
        <f t="shared" si="31"/>
        <v>0</v>
      </c>
      <c r="O35" s="264">
        <f t="shared" si="31"/>
        <v>0</v>
      </c>
      <c r="P35" s="264">
        <f t="shared" si="31"/>
        <v>0</v>
      </c>
      <c r="Q35" s="264">
        <f t="shared" si="31"/>
        <v>0</v>
      </c>
      <c r="R35" s="264">
        <f t="shared" si="31"/>
        <v>0</v>
      </c>
      <c r="S35" s="264">
        <f t="shared" si="31"/>
        <v>0</v>
      </c>
      <c r="T35" s="264">
        <f t="shared" si="31"/>
        <v>0</v>
      </c>
      <c r="U35" s="264">
        <f t="shared" si="31"/>
        <v>0</v>
      </c>
      <c r="V35" s="264">
        <f t="shared" si="31"/>
        <v>0</v>
      </c>
      <c r="W35" s="264">
        <f t="shared" si="31"/>
        <v>0</v>
      </c>
      <c r="X35" s="264">
        <f t="shared" si="31"/>
        <v>0</v>
      </c>
      <c r="Y35" s="264">
        <f t="shared" si="31"/>
        <v>0</v>
      </c>
      <c r="Z35" s="264">
        <f t="shared" si="31"/>
        <v>0</v>
      </c>
      <c r="AA35" s="264">
        <f t="shared" si="31"/>
        <v>0</v>
      </c>
      <c r="AB35" s="264">
        <f t="shared" si="31"/>
        <v>0</v>
      </c>
      <c r="AC35" s="264">
        <f t="shared" si="31"/>
        <v>0</v>
      </c>
      <c r="AD35" s="264">
        <f t="shared" si="31"/>
        <v>0</v>
      </c>
      <c r="AE35" s="264">
        <f t="shared" si="31"/>
        <v>0</v>
      </c>
      <c r="AF35" s="264">
        <f t="shared" si="31"/>
        <v>0</v>
      </c>
      <c r="AG35" s="264">
        <f t="shared" si="31"/>
        <v>0</v>
      </c>
      <c r="AH35" s="264">
        <f t="shared" si="31"/>
        <v>0</v>
      </c>
      <c r="AI35" s="264">
        <f t="shared" ref="AI35:AJ35" si="32">AI30*$E$35</f>
        <v>0</v>
      </c>
      <c r="AJ35" s="264">
        <f t="shared" si="32"/>
        <v>0</v>
      </c>
    </row>
    <row r="36" spans="1:36" x14ac:dyDescent="0.15">
      <c r="A36" s="504"/>
      <c r="B36" s="454">
        <f>(F36*12)</f>
        <v>0</v>
      </c>
      <c r="C36" s="507" t="str">
        <f>C31</f>
        <v>Other</v>
      </c>
      <c r="D36" s="133">
        <f>D31*D14*12</f>
        <v>0</v>
      </c>
      <c r="E36" s="319">
        <f>D14</f>
        <v>0</v>
      </c>
      <c r="F36" s="320">
        <f t="shared" ref="F36:AH36" si="33">F31*$E$36</f>
        <v>0</v>
      </c>
      <c r="G36" s="320">
        <f t="shared" si="33"/>
        <v>0</v>
      </c>
      <c r="H36" s="320">
        <f t="shared" si="33"/>
        <v>0</v>
      </c>
      <c r="I36" s="264">
        <f t="shared" si="33"/>
        <v>0</v>
      </c>
      <c r="J36" s="264">
        <f t="shared" si="33"/>
        <v>0</v>
      </c>
      <c r="K36" s="264">
        <f t="shared" si="33"/>
        <v>0</v>
      </c>
      <c r="L36" s="264">
        <f t="shared" si="33"/>
        <v>0</v>
      </c>
      <c r="M36" s="264">
        <f t="shared" si="33"/>
        <v>0</v>
      </c>
      <c r="N36" s="264">
        <f t="shared" si="33"/>
        <v>0</v>
      </c>
      <c r="O36" s="264">
        <f t="shared" si="33"/>
        <v>0</v>
      </c>
      <c r="P36" s="264">
        <f t="shared" si="33"/>
        <v>0</v>
      </c>
      <c r="Q36" s="264">
        <f t="shared" si="33"/>
        <v>0</v>
      </c>
      <c r="R36" s="264">
        <f t="shared" si="33"/>
        <v>0</v>
      </c>
      <c r="S36" s="264">
        <f t="shared" si="33"/>
        <v>0</v>
      </c>
      <c r="T36" s="264">
        <f t="shared" si="33"/>
        <v>0</v>
      </c>
      <c r="U36" s="264">
        <f t="shared" si="33"/>
        <v>0</v>
      </c>
      <c r="V36" s="264">
        <f t="shared" si="33"/>
        <v>0</v>
      </c>
      <c r="W36" s="264">
        <f t="shared" si="33"/>
        <v>0</v>
      </c>
      <c r="X36" s="264">
        <f t="shared" si="33"/>
        <v>0</v>
      </c>
      <c r="Y36" s="264">
        <f t="shared" si="33"/>
        <v>0</v>
      </c>
      <c r="Z36" s="264">
        <f t="shared" si="33"/>
        <v>0</v>
      </c>
      <c r="AA36" s="264">
        <f t="shared" si="33"/>
        <v>0</v>
      </c>
      <c r="AB36" s="264">
        <f t="shared" si="33"/>
        <v>0</v>
      </c>
      <c r="AC36" s="264">
        <f t="shared" si="33"/>
        <v>0</v>
      </c>
      <c r="AD36" s="264">
        <f t="shared" si="33"/>
        <v>0</v>
      </c>
      <c r="AE36" s="264">
        <f t="shared" si="33"/>
        <v>0</v>
      </c>
      <c r="AF36" s="264">
        <f t="shared" si="33"/>
        <v>0</v>
      </c>
      <c r="AG36" s="264">
        <f t="shared" si="33"/>
        <v>0</v>
      </c>
      <c r="AH36" s="264">
        <f t="shared" si="33"/>
        <v>0</v>
      </c>
      <c r="AI36" s="264">
        <f t="shared" ref="AI36:AJ36" si="34">AI31*$E$36</f>
        <v>0</v>
      </c>
      <c r="AJ36" s="264">
        <f t="shared" si="34"/>
        <v>0</v>
      </c>
    </row>
    <row r="37" spans="1:36" s="35" customFormat="1" ht="12" x14ac:dyDescent="0.15">
      <c r="B37" s="455"/>
      <c r="D37" s="275" t="s">
        <v>158</v>
      </c>
      <c r="E37" s="276">
        <f>F12</f>
        <v>122</v>
      </c>
      <c r="F37" s="277">
        <f>E37</f>
        <v>122</v>
      </c>
      <c r="G37" s="277">
        <f t="shared" ref="G37:AH37" si="35">MAX($E$38*$D$12,F37-$J$7)</f>
        <v>72</v>
      </c>
      <c r="H37" s="277">
        <f t="shared" si="35"/>
        <v>22</v>
      </c>
      <c r="I37" s="277">
        <f t="shared" si="35"/>
        <v>12.100000000000001</v>
      </c>
      <c r="J37" s="277">
        <f t="shared" si="35"/>
        <v>12.100000000000001</v>
      </c>
      <c r="K37" s="277">
        <f t="shared" si="35"/>
        <v>12.100000000000001</v>
      </c>
      <c r="L37" s="277">
        <f t="shared" si="35"/>
        <v>12.100000000000001</v>
      </c>
      <c r="M37" s="277">
        <f t="shared" si="35"/>
        <v>12.100000000000001</v>
      </c>
      <c r="N37" s="277">
        <f t="shared" si="35"/>
        <v>12.100000000000001</v>
      </c>
      <c r="O37" s="277">
        <f t="shared" si="35"/>
        <v>12.100000000000001</v>
      </c>
      <c r="P37" s="277">
        <f t="shared" si="35"/>
        <v>12.100000000000001</v>
      </c>
      <c r="Q37" s="277">
        <f t="shared" si="35"/>
        <v>12.100000000000001</v>
      </c>
      <c r="R37" s="277">
        <f t="shared" si="35"/>
        <v>12.100000000000001</v>
      </c>
      <c r="S37" s="277">
        <f t="shared" si="35"/>
        <v>12.100000000000001</v>
      </c>
      <c r="T37" s="277">
        <f t="shared" si="35"/>
        <v>12.100000000000001</v>
      </c>
      <c r="U37" s="277">
        <f t="shared" si="35"/>
        <v>12.100000000000001</v>
      </c>
      <c r="V37" s="277">
        <f t="shared" si="35"/>
        <v>12.100000000000001</v>
      </c>
      <c r="W37" s="277">
        <f t="shared" si="35"/>
        <v>12.100000000000001</v>
      </c>
      <c r="X37" s="277">
        <f t="shared" si="35"/>
        <v>12.100000000000001</v>
      </c>
      <c r="Y37" s="277">
        <f t="shared" si="35"/>
        <v>12.100000000000001</v>
      </c>
      <c r="Z37" s="277">
        <f t="shared" si="35"/>
        <v>12.100000000000001</v>
      </c>
      <c r="AA37" s="277">
        <f t="shared" si="35"/>
        <v>12.100000000000001</v>
      </c>
      <c r="AB37" s="277">
        <f t="shared" si="35"/>
        <v>12.100000000000001</v>
      </c>
      <c r="AC37" s="277">
        <f t="shared" si="35"/>
        <v>12.100000000000001</v>
      </c>
      <c r="AD37" s="277">
        <f t="shared" si="35"/>
        <v>12.100000000000001</v>
      </c>
      <c r="AE37" s="277">
        <f t="shared" si="35"/>
        <v>12.100000000000001</v>
      </c>
      <c r="AF37" s="277">
        <f t="shared" si="35"/>
        <v>12.100000000000001</v>
      </c>
      <c r="AG37" s="277">
        <f t="shared" si="35"/>
        <v>12.100000000000001</v>
      </c>
      <c r="AH37" s="277">
        <f t="shared" si="35"/>
        <v>12.100000000000001</v>
      </c>
      <c r="AI37" s="277">
        <f t="shared" ref="AI37" si="36">MAX($E$38*$D$12,AH37-$J$7)</f>
        <v>12.100000000000001</v>
      </c>
      <c r="AJ37" s="277">
        <f t="shared" ref="AJ37" si="37">MAX($E$38*$D$12,AI37-$J$7)</f>
        <v>12.100000000000001</v>
      </c>
    </row>
    <row r="38" spans="1:36" x14ac:dyDescent="0.15">
      <c r="A38" s="504"/>
      <c r="B38" s="454">
        <f t="shared" ref="B38:B41" si="38">(F38*12)</f>
        <v>-827160</v>
      </c>
      <c r="C38" s="507" t="str">
        <f>C34&amp;" Min Vacancy Rate"</f>
        <v>MH  Min Vacancy Rate</v>
      </c>
      <c r="D38" s="136">
        <v>0</v>
      </c>
      <c r="E38" s="266">
        <v>0.05</v>
      </c>
      <c r="F38" s="264">
        <f>-F34*F37/$D$12</f>
        <v>-68930</v>
      </c>
      <c r="G38" s="264">
        <f t="shared" ref="G38:AH38" si="39">-G34*G37/$D$12</f>
        <v>-40680</v>
      </c>
      <c r="H38" s="264">
        <f t="shared" si="39"/>
        <v>-12430</v>
      </c>
      <c r="I38" s="264">
        <f t="shared" si="39"/>
        <v>-7109.9600000000009</v>
      </c>
      <c r="J38" s="264">
        <f t="shared" si="39"/>
        <v>-7394.358400000001</v>
      </c>
      <c r="K38" s="264">
        <f t="shared" si="39"/>
        <v>-7690.1327360000014</v>
      </c>
      <c r="L38" s="264">
        <f t="shared" si="39"/>
        <v>-7997.7380454400027</v>
      </c>
      <c r="M38" s="264">
        <f t="shared" si="39"/>
        <v>-8317.6475672576034</v>
      </c>
      <c r="N38" s="264">
        <f t="shared" si="39"/>
        <v>-8650.3534699479078</v>
      </c>
      <c r="O38" s="264">
        <f t="shared" si="39"/>
        <v>-8996.3676087458243</v>
      </c>
      <c r="P38" s="264">
        <f t="shared" si="39"/>
        <v>-9356.2223130956572</v>
      </c>
      <c r="Q38" s="264">
        <f t="shared" si="39"/>
        <v>-9730.4712056194858</v>
      </c>
      <c r="R38" s="264">
        <f t="shared" si="39"/>
        <v>-10119.690053844264</v>
      </c>
      <c r="S38" s="264">
        <f t="shared" si="39"/>
        <v>-10524.477655998035</v>
      </c>
      <c r="T38" s="264">
        <f t="shared" si="39"/>
        <v>-10945.456762237958</v>
      </c>
      <c r="U38" s="264">
        <f t="shared" si="39"/>
        <v>-11383.275032727477</v>
      </c>
      <c r="V38" s="264">
        <f t="shared" si="39"/>
        <v>-11838.606034036575</v>
      </c>
      <c r="W38" s="264">
        <f t="shared" si="39"/>
        <v>-12312.15027539804</v>
      </c>
      <c r="X38" s="264">
        <f t="shared" si="39"/>
        <v>-12804.636286413961</v>
      </c>
      <c r="Y38" s="264">
        <f t="shared" si="39"/>
        <v>-13316.821737870519</v>
      </c>
      <c r="Z38" s="264">
        <f t="shared" si="39"/>
        <v>-13849.494607385343</v>
      </c>
      <c r="AA38" s="264">
        <f t="shared" si="39"/>
        <v>-14403.474391680757</v>
      </c>
      <c r="AB38" s="264">
        <f t="shared" si="39"/>
        <v>-14979.613367347987</v>
      </c>
      <c r="AC38" s="264">
        <f t="shared" si="39"/>
        <v>-15578.797902041908</v>
      </c>
      <c r="AD38" s="264">
        <f t="shared" si="39"/>
        <v>-16201.949818123585</v>
      </c>
      <c r="AE38" s="264">
        <f t="shared" si="39"/>
        <v>-16850.027810848529</v>
      </c>
      <c r="AF38" s="264">
        <f t="shared" si="39"/>
        <v>-17524.028923282469</v>
      </c>
      <c r="AG38" s="264">
        <f t="shared" si="39"/>
        <v>-18224.990080213771</v>
      </c>
      <c r="AH38" s="264">
        <f t="shared" si="39"/>
        <v>-18953.989683422322</v>
      </c>
      <c r="AI38" s="264">
        <f t="shared" ref="AI38:AJ38" si="40">-AI34*AI37/$D$12</f>
        <v>-19712.149270759219</v>
      </c>
      <c r="AJ38" s="264">
        <f t="shared" si="40"/>
        <v>-20500.635241589585</v>
      </c>
    </row>
    <row r="39" spans="1:36" x14ac:dyDescent="0.15">
      <c r="A39" s="504"/>
      <c r="B39" s="454">
        <f t="shared" si="38"/>
        <v>0</v>
      </c>
      <c r="C39" s="507" t="str">
        <f>C35&amp;" Min Vacancy Rate"</f>
        <v>RV Min Vacancy Rate</v>
      </c>
      <c r="D39" s="136">
        <v>0</v>
      </c>
      <c r="E39" s="266">
        <v>0.05</v>
      </c>
      <c r="F39" s="264">
        <f>$E$39*-F35</f>
        <v>0</v>
      </c>
      <c r="G39" s="264">
        <f t="shared" ref="G39:AH39" si="41">$E$39*-G35</f>
        <v>0</v>
      </c>
      <c r="H39" s="264">
        <f t="shared" si="41"/>
        <v>0</v>
      </c>
      <c r="I39" s="264">
        <f t="shared" si="41"/>
        <v>0</v>
      </c>
      <c r="J39" s="264">
        <f t="shared" si="41"/>
        <v>0</v>
      </c>
      <c r="K39" s="264">
        <f t="shared" si="41"/>
        <v>0</v>
      </c>
      <c r="L39" s="264">
        <f t="shared" si="41"/>
        <v>0</v>
      </c>
      <c r="M39" s="264">
        <f t="shared" si="41"/>
        <v>0</v>
      </c>
      <c r="N39" s="264">
        <f t="shared" si="41"/>
        <v>0</v>
      </c>
      <c r="O39" s="264">
        <f t="shared" si="41"/>
        <v>0</v>
      </c>
      <c r="P39" s="264">
        <f t="shared" si="41"/>
        <v>0</v>
      </c>
      <c r="Q39" s="264">
        <f t="shared" si="41"/>
        <v>0</v>
      </c>
      <c r="R39" s="264">
        <f t="shared" si="41"/>
        <v>0</v>
      </c>
      <c r="S39" s="264">
        <f t="shared" si="41"/>
        <v>0</v>
      </c>
      <c r="T39" s="264">
        <f t="shared" si="41"/>
        <v>0</v>
      </c>
      <c r="U39" s="264">
        <f t="shared" si="41"/>
        <v>0</v>
      </c>
      <c r="V39" s="264">
        <f t="shared" si="41"/>
        <v>0</v>
      </c>
      <c r="W39" s="264">
        <f t="shared" si="41"/>
        <v>0</v>
      </c>
      <c r="X39" s="264">
        <f t="shared" si="41"/>
        <v>0</v>
      </c>
      <c r="Y39" s="264">
        <f t="shared" si="41"/>
        <v>0</v>
      </c>
      <c r="Z39" s="264">
        <f t="shared" si="41"/>
        <v>0</v>
      </c>
      <c r="AA39" s="264">
        <f t="shared" si="41"/>
        <v>0</v>
      </c>
      <c r="AB39" s="264">
        <f t="shared" si="41"/>
        <v>0</v>
      </c>
      <c r="AC39" s="264">
        <f t="shared" si="41"/>
        <v>0</v>
      </c>
      <c r="AD39" s="264">
        <f t="shared" si="41"/>
        <v>0</v>
      </c>
      <c r="AE39" s="264">
        <f t="shared" si="41"/>
        <v>0</v>
      </c>
      <c r="AF39" s="264">
        <f t="shared" si="41"/>
        <v>0</v>
      </c>
      <c r="AG39" s="264">
        <f t="shared" si="41"/>
        <v>0</v>
      </c>
      <c r="AH39" s="264">
        <f t="shared" si="41"/>
        <v>0</v>
      </c>
      <c r="AI39" s="264">
        <f t="shared" ref="AI39:AJ39" si="42">$E$39*-AI35</f>
        <v>0</v>
      </c>
      <c r="AJ39" s="264">
        <f t="shared" si="42"/>
        <v>0</v>
      </c>
    </row>
    <row r="40" spans="1:36" x14ac:dyDescent="0.15">
      <c r="A40" s="504"/>
      <c r="B40" s="454">
        <f t="shared" si="38"/>
        <v>0</v>
      </c>
      <c r="C40" s="507" t="str">
        <f t="shared" ref="C40" si="43">C36&amp;" Min Vacancy Rate"</f>
        <v>Other Min Vacancy Rate</v>
      </c>
      <c r="D40" s="136">
        <v>0</v>
      </c>
      <c r="E40" s="266">
        <v>0.05</v>
      </c>
      <c r="F40" s="264">
        <f t="shared" ref="F40:AH40" si="44">$E$40*-F36</f>
        <v>0</v>
      </c>
      <c r="G40" s="264">
        <f t="shared" si="44"/>
        <v>0</v>
      </c>
      <c r="H40" s="264">
        <f t="shared" si="44"/>
        <v>0</v>
      </c>
      <c r="I40" s="264">
        <f t="shared" si="44"/>
        <v>0</v>
      </c>
      <c r="J40" s="264">
        <f t="shared" si="44"/>
        <v>0</v>
      </c>
      <c r="K40" s="264">
        <f t="shared" si="44"/>
        <v>0</v>
      </c>
      <c r="L40" s="264">
        <f t="shared" si="44"/>
        <v>0</v>
      </c>
      <c r="M40" s="264">
        <f t="shared" si="44"/>
        <v>0</v>
      </c>
      <c r="N40" s="264">
        <f t="shared" si="44"/>
        <v>0</v>
      </c>
      <c r="O40" s="264">
        <f t="shared" si="44"/>
        <v>0</v>
      </c>
      <c r="P40" s="264">
        <f t="shared" si="44"/>
        <v>0</v>
      </c>
      <c r="Q40" s="264">
        <f t="shared" si="44"/>
        <v>0</v>
      </c>
      <c r="R40" s="264">
        <f t="shared" si="44"/>
        <v>0</v>
      </c>
      <c r="S40" s="264">
        <f t="shared" si="44"/>
        <v>0</v>
      </c>
      <c r="T40" s="264">
        <f t="shared" si="44"/>
        <v>0</v>
      </c>
      <c r="U40" s="264">
        <f t="shared" si="44"/>
        <v>0</v>
      </c>
      <c r="V40" s="264">
        <f t="shared" si="44"/>
        <v>0</v>
      </c>
      <c r="W40" s="264">
        <f t="shared" si="44"/>
        <v>0</v>
      </c>
      <c r="X40" s="264">
        <f t="shared" si="44"/>
        <v>0</v>
      </c>
      <c r="Y40" s="264">
        <f t="shared" si="44"/>
        <v>0</v>
      </c>
      <c r="Z40" s="264">
        <f t="shared" si="44"/>
        <v>0</v>
      </c>
      <c r="AA40" s="264">
        <f t="shared" si="44"/>
        <v>0</v>
      </c>
      <c r="AB40" s="264">
        <f t="shared" si="44"/>
        <v>0</v>
      </c>
      <c r="AC40" s="264">
        <f t="shared" si="44"/>
        <v>0</v>
      </c>
      <c r="AD40" s="264">
        <f t="shared" si="44"/>
        <v>0</v>
      </c>
      <c r="AE40" s="264">
        <f t="shared" si="44"/>
        <v>0</v>
      </c>
      <c r="AF40" s="264">
        <f t="shared" si="44"/>
        <v>0</v>
      </c>
      <c r="AG40" s="264">
        <f t="shared" si="44"/>
        <v>0</v>
      </c>
      <c r="AH40" s="264">
        <f t="shared" si="44"/>
        <v>0</v>
      </c>
      <c r="AI40" s="264">
        <f t="shared" ref="AI40:AJ40" si="45">$E$40*-AI36</f>
        <v>0</v>
      </c>
      <c r="AJ40" s="264">
        <f t="shared" si="45"/>
        <v>0</v>
      </c>
    </row>
    <row r="41" spans="1:36" ht="14" thickBot="1" x14ac:dyDescent="0.2">
      <c r="A41" s="528">
        <v>410100</v>
      </c>
      <c r="B41" s="587">
        <f t="shared" si="38"/>
        <v>813600</v>
      </c>
      <c r="C41" s="588" t="s">
        <v>159</v>
      </c>
      <c r="D41" s="589">
        <f>(SUM(D34:D36)+SUM(D38:D40))</f>
        <v>1698840</v>
      </c>
      <c r="E41" s="590">
        <f>F41*12</f>
        <v>813600</v>
      </c>
      <c r="F41" s="591">
        <f t="shared" ref="F41:AH41" si="46">SUM(F34:F36)+SUM(F38:F40)</f>
        <v>67800</v>
      </c>
      <c r="G41" s="591">
        <f t="shared" si="46"/>
        <v>96050</v>
      </c>
      <c r="H41" s="591">
        <f t="shared" si="46"/>
        <v>124300</v>
      </c>
      <c r="I41" s="591">
        <f t="shared" si="46"/>
        <v>135089.24000000002</v>
      </c>
      <c r="J41" s="591">
        <f t="shared" si="46"/>
        <v>140492.80960000001</v>
      </c>
      <c r="K41" s="591">
        <f t="shared" si="46"/>
        <v>146112.52198400002</v>
      </c>
      <c r="L41" s="591">
        <f t="shared" si="46"/>
        <v>151957.02286336003</v>
      </c>
      <c r="M41" s="591">
        <f t="shared" si="46"/>
        <v>158035.30377789444</v>
      </c>
      <c r="N41" s="591">
        <f t="shared" si="46"/>
        <v>164356.71592901024</v>
      </c>
      <c r="O41" s="591">
        <f t="shared" si="46"/>
        <v>170930.98456617066</v>
      </c>
      <c r="P41" s="591">
        <f t="shared" si="46"/>
        <v>177768.22394881747</v>
      </c>
      <c r="Q41" s="591">
        <f t="shared" si="46"/>
        <v>184878.9529067702</v>
      </c>
      <c r="R41" s="591">
        <f t="shared" si="46"/>
        <v>192274.11102304098</v>
      </c>
      <c r="S41" s="591">
        <f t="shared" si="46"/>
        <v>199965.07546396265</v>
      </c>
      <c r="T41" s="591">
        <f t="shared" si="46"/>
        <v>207963.67848252115</v>
      </c>
      <c r="U41" s="591">
        <f t="shared" si="46"/>
        <v>216282.22562182203</v>
      </c>
      <c r="V41" s="591">
        <f t="shared" si="46"/>
        <v>224933.51464669491</v>
      </c>
      <c r="W41" s="591">
        <f t="shared" si="46"/>
        <v>233930.85523256272</v>
      </c>
      <c r="X41" s="591">
        <f t="shared" si="46"/>
        <v>243288.08944186522</v>
      </c>
      <c r="Y41" s="591">
        <f t="shared" si="46"/>
        <v>253019.61301953986</v>
      </c>
      <c r="Z41" s="591">
        <f t="shared" si="46"/>
        <v>263140.39754032146</v>
      </c>
      <c r="AA41" s="591">
        <f t="shared" si="46"/>
        <v>273666.01344193437</v>
      </c>
      <c r="AB41" s="591">
        <f t="shared" si="46"/>
        <v>284612.65397961176</v>
      </c>
      <c r="AC41" s="591">
        <f t="shared" si="46"/>
        <v>295997.1601387962</v>
      </c>
      <c r="AD41" s="591">
        <f t="shared" si="46"/>
        <v>307837.04654434806</v>
      </c>
      <c r="AE41" s="591">
        <f t="shared" si="46"/>
        <v>320150.528406122</v>
      </c>
      <c r="AF41" s="591">
        <f t="shared" si="46"/>
        <v>332956.54954236688</v>
      </c>
      <c r="AG41" s="591">
        <f t="shared" si="46"/>
        <v>346274.8115240616</v>
      </c>
      <c r="AH41" s="591">
        <f t="shared" si="46"/>
        <v>360125.80398502405</v>
      </c>
      <c r="AI41" s="591">
        <f t="shared" ref="AI41:AJ41" si="47">SUM(AI34:AI36)+SUM(AI38:AI40)</f>
        <v>374530.83614442509</v>
      </c>
      <c r="AJ41" s="591">
        <f t="shared" si="47"/>
        <v>389512.06959020207</v>
      </c>
    </row>
    <row r="42" spans="1:36" ht="14" thickTop="1" x14ac:dyDescent="0.15">
      <c r="A42" s="504"/>
      <c r="C42" s="539"/>
      <c r="D42" s="25"/>
      <c r="E42" s="322"/>
      <c r="F42" s="460" t="s">
        <v>160</v>
      </c>
      <c r="G42" s="460" t="s">
        <v>161</v>
      </c>
      <c r="H42" s="461" t="s">
        <v>162</v>
      </c>
      <c r="I42" s="461" t="s">
        <v>163</v>
      </c>
      <c r="J42" s="461" t="s">
        <v>164</v>
      </c>
      <c r="K42" s="461" t="s">
        <v>165</v>
      </c>
      <c r="L42" s="461" t="s">
        <v>166</v>
      </c>
      <c r="M42" s="504"/>
      <c r="N42" s="462" t="s">
        <v>167</v>
      </c>
      <c r="O42" s="462" t="s">
        <v>168</v>
      </c>
      <c r="P42" s="463" t="s">
        <v>169</v>
      </c>
      <c r="Q42" s="463" t="s">
        <v>170</v>
      </c>
      <c r="R42" s="463" t="s">
        <v>171</v>
      </c>
      <c r="S42" s="463" t="s">
        <v>172</v>
      </c>
      <c r="T42" s="463" t="s">
        <v>173</v>
      </c>
      <c r="U42" s="504"/>
      <c r="V42" s="504"/>
      <c r="W42" s="504"/>
      <c r="X42" s="504"/>
      <c r="Y42" s="504"/>
      <c r="Z42" s="504"/>
      <c r="AA42" s="504"/>
      <c r="AB42" s="504"/>
      <c r="AC42" s="504"/>
      <c r="AD42" s="504"/>
      <c r="AE42" s="504"/>
      <c r="AF42" s="504"/>
      <c r="AG42" s="504"/>
      <c r="AH42" s="504"/>
      <c r="AI42" s="504"/>
      <c r="AJ42" s="504"/>
    </row>
    <row r="43" spans="1:36" ht="16" x14ac:dyDescent="0.3">
      <c r="A43" s="504"/>
      <c r="C43" s="11" t="s">
        <v>174</v>
      </c>
      <c r="D43" s="26" t="s">
        <v>175</v>
      </c>
      <c r="E43" s="323" t="s">
        <v>175</v>
      </c>
      <c r="F43" s="465">
        <f ca="1">F48/F63</f>
        <v>0</v>
      </c>
      <c r="G43" s="465" t="e">
        <f ca="1">F47/F62</f>
        <v>#DIV/0!</v>
      </c>
      <c r="H43" s="465">
        <f ca="1">(F47+F48)/(F62+F63)</f>
        <v>0</v>
      </c>
      <c r="I43" s="465">
        <f ca="1">F46/F61</f>
        <v>0.44635135662915454</v>
      </c>
      <c r="J43" s="465">
        <f ca="1">F44/F59</f>
        <v>0</v>
      </c>
      <c r="K43" s="465" t="e">
        <f ca="1">F45/F60</f>
        <v>#DIV/0!</v>
      </c>
      <c r="L43" s="465">
        <f ca="1">SUM(F44:F48)/SUM(F59:F63)</f>
        <v>0.3953138833412258</v>
      </c>
      <c r="M43" s="504"/>
      <c r="N43" s="464">
        <f>+F48/OccPadsNum</f>
        <v>0</v>
      </c>
      <c r="O43" s="464">
        <f>+F47/OccPadsNum</f>
        <v>0</v>
      </c>
      <c r="P43" s="464">
        <f>+(F47+F48)/OccPadsNum</f>
        <v>0</v>
      </c>
      <c r="Q43" s="464">
        <f>+F46/OccPadsNum</f>
        <v>20</v>
      </c>
      <c r="R43" s="464">
        <f>+F44/OccPadsNum</f>
        <v>0</v>
      </c>
      <c r="S43" s="464">
        <f>+F45/OccPadsNum</f>
        <v>0</v>
      </c>
      <c r="T43" s="665">
        <f>SUM(F44:F48)/OccPadsNum</f>
        <v>20</v>
      </c>
      <c r="U43" s="504"/>
      <c r="V43" s="504"/>
      <c r="W43" s="504"/>
      <c r="X43" s="504"/>
      <c r="Y43" s="504"/>
      <c r="Z43" s="504"/>
      <c r="AA43" s="504"/>
      <c r="AB43" s="504"/>
      <c r="AC43" s="504"/>
      <c r="AD43" s="504"/>
      <c r="AE43" s="504"/>
      <c r="AF43" s="504"/>
      <c r="AG43" s="504"/>
      <c r="AH43" s="504"/>
      <c r="AI43" s="504"/>
      <c r="AJ43" s="504"/>
    </row>
    <row r="44" spans="1:36" x14ac:dyDescent="0.15">
      <c r="A44" s="528">
        <v>440400</v>
      </c>
      <c r="B44" s="456">
        <f t="shared" ref="B44:B53" si="48">(F44*12)</f>
        <v>0</v>
      </c>
      <c r="C44" s="507" t="s">
        <v>176</v>
      </c>
      <c r="D44" s="133">
        <v>0</v>
      </c>
      <c r="E44" s="266"/>
      <c r="F44" s="264">
        <f>D44/12</f>
        <v>0</v>
      </c>
      <c r="G44" s="264">
        <f t="shared" ref="G44:AH44" si="49">F44*(1+GlobalInflation)</f>
        <v>0</v>
      </c>
      <c r="H44" s="264">
        <f t="shared" si="49"/>
        <v>0</v>
      </c>
      <c r="I44" s="264">
        <f t="shared" si="49"/>
        <v>0</v>
      </c>
      <c r="J44" s="264">
        <f t="shared" si="49"/>
        <v>0</v>
      </c>
      <c r="K44" s="264">
        <f t="shared" si="49"/>
        <v>0</v>
      </c>
      <c r="L44" s="264">
        <f t="shared" si="49"/>
        <v>0</v>
      </c>
      <c r="M44" s="264">
        <f t="shared" si="49"/>
        <v>0</v>
      </c>
      <c r="N44" s="264">
        <f t="shared" si="49"/>
        <v>0</v>
      </c>
      <c r="O44" s="264">
        <f t="shared" si="49"/>
        <v>0</v>
      </c>
      <c r="P44" s="264">
        <f t="shared" si="49"/>
        <v>0</v>
      </c>
      <c r="Q44" s="264">
        <f t="shared" si="49"/>
        <v>0</v>
      </c>
      <c r="R44" s="264">
        <f t="shared" si="49"/>
        <v>0</v>
      </c>
      <c r="S44" s="264">
        <f t="shared" si="49"/>
        <v>0</v>
      </c>
      <c r="T44" s="264">
        <f t="shared" si="49"/>
        <v>0</v>
      </c>
      <c r="U44" s="264">
        <f t="shared" si="49"/>
        <v>0</v>
      </c>
      <c r="V44" s="264">
        <f t="shared" si="49"/>
        <v>0</v>
      </c>
      <c r="W44" s="264">
        <f t="shared" si="49"/>
        <v>0</v>
      </c>
      <c r="X44" s="264">
        <f t="shared" si="49"/>
        <v>0</v>
      </c>
      <c r="Y44" s="264">
        <f t="shared" si="49"/>
        <v>0</v>
      </c>
      <c r="Z44" s="264">
        <f t="shared" si="49"/>
        <v>0</v>
      </c>
      <c r="AA44" s="264">
        <f t="shared" si="49"/>
        <v>0</v>
      </c>
      <c r="AB44" s="264">
        <f t="shared" si="49"/>
        <v>0</v>
      </c>
      <c r="AC44" s="264">
        <f t="shared" si="49"/>
        <v>0</v>
      </c>
      <c r="AD44" s="264">
        <f t="shared" si="49"/>
        <v>0</v>
      </c>
      <c r="AE44" s="264">
        <f t="shared" si="49"/>
        <v>0</v>
      </c>
      <c r="AF44" s="264">
        <f t="shared" si="49"/>
        <v>0</v>
      </c>
      <c r="AG44" s="264">
        <f t="shared" si="49"/>
        <v>0</v>
      </c>
      <c r="AH44" s="264">
        <f t="shared" si="49"/>
        <v>0</v>
      </c>
      <c r="AI44" s="264">
        <f t="shared" ref="AI44:AI49" si="50">AH44*(1+GlobalInflation)</f>
        <v>0</v>
      </c>
      <c r="AJ44" s="264">
        <f t="shared" ref="AJ44:AJ49" si="51">AI44*(1+GlobalInflation)</f>
        <v>0</v>
      </c>
    </row>
    <row r="45" spans="1:36" x14ac:dyDescent="0.15">
      <c r="A45" s="528">
        <v>440100</v>
      </c>
      <c r="B45" s="456">
        <f t="shared" si="48"/>
        <v>0</v>
      </c>
      <c r="C45" s="507" t="s">
        <v>177</v>
      </c>
      <c r="D45" s="133">
        <v>0</v>
      </c>
      <c r="E45" s="266"/>
      <c r="F45" s="264">
        <f t="shared" ref="F45:F49" si="52">D45/12</f>
        <v>0</v>
      </c>
      <c r="G45" s="264">
        <f t="shared" ref="G45:AH45" si="53">F45*(1+GlobalInflation)</f>
        <v>0</v>
      </c>
      <c r="H45" s="264">
        <f t="shared" si="53"/>
        <v>0</v>
      </c>
      <c r="I45" s="264">
        <f t="shared" si="53"/>
        <v>0</v>
      </c>
      <c r="J45" s="264">
        <f t="shared" si="53"/>
        <v>0</v>
      </c>
      <c r="K45" s="264">
        <f t="shared" si="53"/>
        <v>0</v>
      </c>
      <c r="L45" s="264">
        <f t="shared" si="53"/>
        <v>0</v>
      </c>
      <c r="M45" s="264">
        <f t="shared" si="53"/>
        <v>0</v>
      </c>
      <c r="N45" s="264">
        <f t="shared" si="53"/>
        <v>0</v>
      </c>
      <c r="O45" s="264">
        <f t="shared" si="53"/>
        <v>0</v>
      </c>
      <c r="P45" s="264">
        <f t="shared" si="53"/>
        <v>0</v>
      </c>
      <c r="Q45" s="264">
        <f t="shared" si="53"/>
        <v>0</v>
      </c>
      <c r="R45" s="264">
        <f t="shared" si="53"/>
        <v>0</v>
      </c>
      <c r="S45" s="264">
        <f t="shared" si="53"/>
        <v>0</v>
      </c>
      <c r="T45" s="264">
        <f t="shared" si="53"/>
        <v>0</v>
      </c>
      <c r="U45" s="264">
        <f t="shared" si="53"/>
        <v>0</v>
      </c>
      <c r="V45" s="264">
        <f t="shared" si="53"/>
        <v>0</v>
      </c>
      <c r="W45" s="264">
        <f t="shared" si="53"/>
        <v>0</v>
      </c>
      <c r="X45" s="264">
        <f t="shared" si="53"/>
        <v>0</v>
      </c>
      <c r="Y45" s="264">
        <f t="shared" si="53"/>
        <v>0</v>
      </c>
      <c r="Z45" s="264">
        <f t="shared" si="53"/>
        <v>0</v>
      </c>
      <c r="AA45" s="264">
        <f t="shared" si="53"/>
        <v>0</v>
      </c>
      <c r="AB45" s="264">
        <f t="shared" si="53"/>
        <v>0</v>
      </c>
      <c r="AC45" s="264">
        <f t="shared" si="53"/>
        <v>0</v>
      </c>
      <c r="AD45" s="264">
        <f t="shared" si="53"/>
        <v>0</v>
      </c>
      <c r="AE45" s="264">
        <f t="shared" si="53"/>
        <v>0</v>
      </c>
      <c r="AF45" s="264">
        <f t="shared" si="53"/>
        <v>0</v>
      </c>
      <c r="AG45" s="264">
        <f t="shared" si="53"/>
        <v>0</v>
      </c>
      <c r="AH45" s="264">
        <f t="shared" si="53"/>
        <v>0</v>
      </c>
      <c r="AI45" s="264">
        <f t="shared" si="50"/>
        <v>0</v>
      </c>
      <c r="AJ45" s="264">
        <f t="shared" si="51"/>
        <v>0</v>
      </c>
    </row>
    <row r="46" spans="1:36" x14ac:dyDescent="0.15">
      <c r="A46" s="528">
        <v>440500</v>
      </c>
      <c r="B46" s="456">
        <f t="shared" si="48"/>
        <v>28800</v>
      </c>
      <c r="C46" s="507" t="s">
        <v>178</v>
      </c>
      <c r="D46" s="133">
        <v>0</v>
      </c>
      <c r="E46" s="266"/>
      <c r="F46" s="264">
        <f>20*($D$12-F37)</f>
        <v>2400</v>
      </c>
      <c r="G46" s="264">
        <f t="shared" ref="G46:AJ46" si="54">20*($D$12-G37)</f>
        <v>3400</v>
      </c>
      <c r="H46" s="264">
        <f t="shared" si="54"/>
        <v>4400</v>
      </c>
      <c r="I46" s="264">
        <f t="shared" si="54"/>
        <v>4598</v>
      </c>
      <c r="J46" s="264">
        <f t="shared" si="54"/>
        <v>4598</v>
      </c>
      <c r="K46" s="264">
        <f t="shared" si="54"/>
        <v>4598</v>
      </c>
      <c r="L46" s="264">
        <f t="shared" si="54"/>
        <v>4598</v>
      </c>
      <c r="M46" s="264">
        <f t="shared" si="54"/>
        <v>4598</v>
      </c>
      <c r="N46" s="264">
        <f t="shared" si="54"/>
        <v>4598</v>
      </c>
      <c r="O46" s="264">
        <f t="shared" si="54"/>
        <v>4598</v>
      </c>
      <c r="P46" s="264">
        <f t="shared" si="54"/>
        <v>4598</v>
      </c>
      <c r="Q46" s="264">
        <f t="shared" si="54"/>
        <v>4598</v>
      </c>
      <c r="R46" s="264">
        <f t="shared" si="54"/>
        <v>4598</v>
      </c>
      <c r="S46" s="264">
        <f t="shared" si="54"/>
        <v>4598</v>
      </c>
      <c r="T46" s="264">
        <f t="shared" si="54"/>
        <v>4598</v>
      </c>
      <c r="U46" s="264">
        <f t="shared" si="54"/>
        <v>4598</v>
      </c>
      <c r="V46" s="264">
        <f t="shared" si="54"/>
        <v>4598</v>
      </c>
      <c r="W46" s="264">
        <f t="shared" si="54"/>
        <v>4598</v>
      </c>
      <c r="X46" s="264">
        <f t="shared" si="54"/>
        <v>4598</v>
      </c>
      <c r="Y46" s="264">
        <f t="shared" si="54"/>
        <v>4598</v>
      </c>
      <c r="Z46" s="264">
        <f t="shared" si="54"/>
        <v>4598</v>
      </c>
      <c r="AA46" s="264">
        <f t="shared" si="54"/>
        <v>4598</v>
      </c>
      <c r="AB46" s="264">
        <f t="shared" si="54"/>
        <v>4598</v>
      </c>
      <c r="AC46" s="264">
        <f t="shared" si="54"/>
        <v>4598</v>
      </c>
      <c r="AD46" s="264">
        <f t="shared" si="54"/>
        <v>4598</v>
      </c>
      <c r="AE46" s="264">
        <f t="shared" si="54"/>
        <v>4598</v>
      </c>
      <c r="AF46" s="264">
        <f t="shared" si="54"/>
        <v>4598</v>
      </c>
      <c r="AG46" s="264">
        <f t="shared" si="54"/>
        <v>4598</v>
      </c>
      <c r="AH46" s="264">
        <f t="shared" si="54"/>
        <v>4598</v>
      </c>
      <c r="AI46" s="264">
        <f t="shared" si="54"/>
        <v>4598</v>
      </c>
      <c r="AJ46" s="264">
        <f t="shared" si="54"/>
        <v>4598</v>
      </c>
    </row>
    <row r="47" spans="1:36" x14ac:dyDescent="0.15">
      <c r="A47" s="528">
        <v>440300</v>
      </c>
      <c r="B47" s="456">
        <f t="shared" si="48"/>
        <v>0</v>
      </c>
      <c r="C47" s="507" t="s">
        <v>99</v>
      </c>
      <c r="D47" s="133">
        <v>0</v>
      </c>
      <c r="E47" s="266"/>
      <c r="F47" s="264">
        <f t="shared" si="52"/>
        <v>0</v>
      </c>
      <c r="G47" s="264">
        <f t="shared" ref="G47:AH47" si="55">F47*(1+GlobalInflation)</f>
        <v>0</v>
      </c>
      <c r="H47" s="264">
        <f t="shared" si="55"/>
        <v>0</v>
      </c>
      <c r="I47" s="264">
        <f t="shared" si="55"/>
        <v>0</v>
      </c>
      <c r="J47" s="264">
        <f t="shared" si="55"/>
        <v>0</v>
      </c>
      <c r="K47" s="264">
        <f t="shared" si="55"/>
        <v>0</v>
      </c>
      <c r="L47" s="264">
        <f t="shared" si="55"/>
        <v>0</v>
      </c>
      <c r="M47" s="264">
        <f t="shared" si="55"/>
        <v>0</v>
      </c>
      <c r="N47" s="264">
        <f t="shared" si="55"/>
        <v>0</v>
      </c>
      <c r="O47" s="264">
        <f t="shared" si="55"/>
        <v>0</v>
      </c>
      <c r="P47" s="264">
        <f t="shared" si="55"/>
        <v>0</v>
      </c>
      <c r="Q47" s="264">
        <f t="shared" si="55"/>
        <v>0</v>
      </c>
      <c r="R47" s="264">
        <f t="shared" si="55"/>
        <v>0</v>
      </c>
      <c r="S47" s="264">
        <f t="shared" si="55"/>
        <v>0</v>
      </c>
      <c r="T47" s="264">
        <f t="shared" si="55"/>
        <v>0</v>
      </c>
      <c r="U47" s="264">
        <f t="shared" si="55"/>
        <v>0</v>
      </c>
      <c r="V47" s="264">
        <f t="shared" si="55"/>
        <v>0</v>
      </c>
      <c r="W47" s="264">
        <f t="shared" si="55"/>
        <v>0</v>
      </c>
      <c r="X47" s="264">
        <f t="shared" si="55"/>
        <v>0</v>
      </c>
      <c r="Y47" s="264">
        <f t="shared" si="55"/>
        <v>0</v>
      </c>
      <c r="Z47" s="264">
        <f t="shared" si="55"/>
        <v>0</v>
      </c>
      <c r="AA47" s="264">
        <f t="shared" si="55"/>
        <v>0</v>
      </c>
      <c r="AB47" s="264">
        <f t="shared" si="55"/>
        <v>0</v>
      </c>
      <c r="AC47" s="264">
        <f t="shared" si="55"/>
        <v>0</v>
      </c>
      <c r="AD47" s="264">
        <f t="shared" si="55"/>
        <v>0</v>
      </c>
      <c r="AE47" s="264">
        <f t="shared" si="55"/>
        <v>0</v>
      </c>
      <c r="AF47" s="264">
        <f t="shared" si="55"/>
        <v>0</v>
      </c>
      <c r="AG47" s="264">
        <f t="shared" si="55"/>
        <v>0</v>
      </c>
      <c r="AH47" s="264">
        <f t="shared" si="55"/>
        <v>0</v>
      </c>
      <c r="AI47" s="264">
        <f t="shared" si="50"/>
        <v>0</v>
      </c>
      <c r="AJ47" s="264">
        <f t="shared" si="51"/>
        <v>0</v>
      </c>
    </row>
    <row r="48" spans="1:36" x14ac:dyDescent="0.15">
      <c r="A48" s="528">
        <v>440200</v>
      </c>
      <c r="B48" s="456">
        <f t="shared" si="48"/>
        <v>0</v>
      </c>
      <c r="C48" s="507" t="s">
        <v>98</v>
      </c>
      <c r="D48" s="133">
        <v>0</v>
      </c>
      <c r="E48" s="266"/>
      <c r="F48" s="264">
        <f t="shared" si="52"/>
        <v>0</v>
      </c>
      <c r="G48" s="264">
        <f t="shared" ref="G48:AH48" si="56">F48*(1+GlobalInflation)</f>
        <v>0</v>
      </c>
      <c r="H48" s="264">
        <f t="shared" si="56"/>
        <v>0</v>
      </c>
      <c r="I48" s="264">
        <f t="shared" si="56"/>
        <v>0</v>
      </c>
      <c r="J48" s="264">
        <f t="shared" si="56"/>
        <v>0</v>
      </c>
      <c r="K48" s="264">
        <f t="shared" si="56"/>
        <v>0</v>
      </c>
      <c r="L48" s="264">
        <f t="shared" si="56"/>
        <v>0</v>
      </c>
      <c r="M48" s="264">
        <f t="shared" si="56"/>
        <v>0</v>
      </c>
      <c r="N48" s="264">
        <f t="shared" si="56"/>
        <v>0</v>
      </c>
      <c r="O48" s="264">
        <f t="shared" si="56"/>
        <v>0</v>
      </c>
      <c r="P48" s="264">
        <f t="shared" si="56"/>
        <v>0</v>
      </c>
      <c r="Q48" s="264">
        <f t="shared" si="56"/>
        <v>0</v>
      </c>
      <c r="R48" s="264">
        <f t="shared" si="56"/>
        <v>0</v>
      </c>
      <c r="S48" s="264">
        <f t="shared" si="56"/>
        <v>0</v>
      </c>
      <c r="T48" s="264">
        <f t="shared" si="56"/>
        <v>0</v>
      </c>
      <c r="U48" s="264">
        <f t="shared" si="56"/>
        <v>0</v>
      </c>
      <c r="V48" s="264">
        <f t="shared" si="56"/>
        <v>0</v>
      </c>
      <c r="W48" s="264">
        <f t="shared" si="56"/>
        <v>0</v>
      </c>
      <c r="X48" s="264">
        <f t="shared" si="56"/>
        <v>0</v>
      </c>
      <c r="Y48" s="264">
        <f t="shared" si="56"/>
        <v>0</v>
      </c>
      <c r="Z48" s="264">
        <f t="shared" si="56"/>
        <v>0</v>
      </c>
      <c r="AA48" s="264">
        <f t="shared" si="56"/>
        <v>0</v>
      </c>
      <c r="AB48" s="264">
        <f t="shared" si="56"/>
        <v>0</v>
      </c>
      <c r="AC48" s="264">
        <f t="shared" si="56"/>
        <v>0</v>
      </c>
      <c r="AD48" s="264">
        <f t="shared" si="56"/>
        <v>0</v>
      </c>
      <c r="AE48" s="264">
        <f t="shared" si="56"/>
        <v>0</v>
      </c>
      <c r="AF48" s="264">
        <f t="shared" si="56"/>
        <v>0</v>
      </c>
      <c r="AG48" s="264">
        <f t="shared" si="56"/>
        <v>0</v>
      </c>
      <c r="AH48" s="264">
        <f t="shared" si="56"/>
        <v>0</v>
      </c>
      <c r="AI48" s="264">
        <f t="shared" si="50"/>
        <v>0</v>
      </c>
      <c r="AJ48" s="264">
        <f t="shared" si="51"/>
        <v>0</v>
      </c>
    </row>
    <row r="49" spans="1:42" x14ac:dyDescent="0.15">
      <c r="A49" s="528">
        <v>499900</v>
      </c>
      <c r="B49" s="457">
        <f t="shared" si="48"/>
        <v>0</v>
      </c>
      <c r="C49" s="507" t="s">
        <v>179</v>
      </c>
      <c r="D49" s="137">
        <v>0</v>
      </c>
      <c r="E49" s="267"/>
      <c r="F49" s="264">
        <f t="shared" si="52"/>
        <v>0</v>
      </c>
      <c r="G49" s="264">
        <f t="shared" ref="G49:AH49" si="57">F49*(1+GlobalInflation)</f>
        <v>0</v>
      </c>
      <c r="H49" s="264">
        <f t="shared" si="57"/>
        <v>0</v>
      </c>
      <c r="I49" s="264">
        <f t="shared" si="57"/>
        <v>0</v>
      </c>
      <c r="J49" s="264">
        <f t="shared" si="57"/>
        <v>0</v>
      </c>
      <c r="K49" s="264">
        <f t="shared" si="57"/>
        <v>0</v>
      </c>
      <c r="L49" s="264">
        <f t="shared" si="57"/>
        <v>0</v>
      </c>
      <c r="M49" s="264">
        <f t="shared" si="57"/>
        <v>0</v>
      </c>
      <c r="N49" s="264">
        <f t="shared" si="57"/>
        <v>0</v>
      </c>
      <c r="O49" s="264">
        <f t="shared" si="57"/>
        <v>0</v>
      </c>
      <c r="P49" s="264">
        <f t="shared" si="57"/>
        <v>0</v>
      </c>
      <c r="Q49" s="264">
        <f t="shared" si="57"/>
        <v>0</v>
      </c>
      <c r="R49" s="264">
        <f t="shared" si="57"/>
        <v>0</v>
      </c>
      <c r="S49" s="264">
        <f t="shared" si="57"/>
        <v>0</v>
      </c>
      <c r="T49" s="264">
        <f t="shared" si="57"/>
        <v>0</v>
      </c>
      <c r="U49" s="264">
        <f t="shared" si="57"/>
        <v>0</v>
      </c>
      <c r="V49" s="264">
        <f t="shared" si="57"/>
        <v>0</v>
      </c>
      <c r="W49" s="264">
        <f t="shared" si="57"/>
        <v>0</v>
      </c>
      <c r="X49" s="264">
        <f t="shared" si="57"/>
        <v>0</v>
      </c>
      <c r="Y49" s="264">
        <f t="shared" si="57"/>
        <v>0</v>
      </c>
      <c r="Z49" s="264">
        <f t="shared" si="57"/>
        <v>0</v>
      </c>
      <c r="AA49" s="264">
        <f t="shared" si="57"/>
        <v>0</v>
      </c>
      <c r="AB49" s="264">
        <f t="shared" si="57"/>
        <v>0</v>
      </c>
      <c r="AC49" s="264">
        <f t="shared" si="57"/>
        <v>0</v>
      </c>
      <c r="AD49" s="264">
        <f t="shared" si="57"/>
        <v>0</v>
      </c>
      <c r="AE49" s="264">
        <f t="shared" si="57"/>
        <v>0</v>
      </c>
      <c r="AF49" s="264">
        <f t="shared" si="57"/>
        <v>0</v>
      </c>
      <c r="AG49" s="264">
        <f t="shared" si="57"/>
        <v>0</v>
      </c>
      <c r="AH49" s="264">
        <f t="shared" si="57"/>
        <v>0</v>
      </c>
      <c r="AI49" s="264">
        <f t="shared" si="50"/>
        <v>0</v>
      </c>
      <c r="AJ49" s="264">
        <f t="shared" si="51"/>
        <v>0</v>
      </c>
      <c r="AK49" s="504"/>
      <c r="AL49" s="504"/>
      <c r="AM49" s="504"/>
      <c r="AN49" s="504"/>
      <c r="AO49" s="504"/>
      <c r="AP49" s="504"/>
    </row>
    <row r="50" spans="1:42" x14ac:dyDescent="0.15">
      <c r="A50" s="504"/>
      <c r="B50" s="456">
        <f t="shared" si="48"/>
        <v>28800</v>
      </c>
      <c r="C50" s="713" t="s">
        <v>180</v>
      </c>
      <c r="D50" s="138">
        <f>SUM(D44:D49)</f>
        <v>0</v>
      </c>
      <c r="E50" s="714">
        <f>F50*12</f>
        <v>28800</v>
      </c>
      <c r="F50" s="715">
        <f t="shared" ref="F50:AH50" si="58">SUM(F44:F49)</f>
        <v>2400</v>
      </c>
      <c r="G50" s="715">
        <f t="shared" si="58"/>
        <v>3400</v>
      </c>
      <c r="H50" s="715">
        <f t="shared" si="58"/>
        <v>4400</v>
      </c>
      <c r="I50" s="715">
        <f t="shared" si="58"/>
        <v>4598</v>
      </c>
      <c r="J50" s="715">
        <f t="shared" si="58"/>
        <v>4598</v>
      </c>
      <c r="K50" s="715">
        <f t="shared" si="58"/>
        <v>4598</v>
      </c>
      <c r="L50" s="715">
        <f t="shared" si="58"/>
        <v>4598</v>
      </c>
      <c r="M50" s="715">
        <f t="shared" si="58"/>
        <v>4598</v>
      </c>
      <c r="N50" s="715">
        <f t="shared" si="58"/>
        <v>4598</v>
      </c>
      <c r="O50" s="715">
        <f t="shared" si="58"/>
        <v>4598</v>
      </c>
      <c r="P50" s="715">
        <f t="shared" si="58"/>
        <v>4598</v>
      </c>
      <c r="Q50" s="715">
        <f t="shared" si="58"/>
        <v>4598</v>
      </c>
      <c r="R50" s="715">
        <f t="shared" si="58"/>
        <v>4598</v>
      </c>
      <c r="S50" s="715">
        <f t="shared" si="58"/>
        <v>4598</v>
      </c>
      <c r="T50" s="715">
        <f t="shared" si="58"/>
        <v>4598</v>
      </c>
      <c r="U50" s="715">
        <f t="shared" si="58"/>
        <v>4598</v>
      </c>
      <c r="V50" s="715">
        <f t="shared" si="58"/>
        <v>4598</v>
      </c>
      <c r="W50" s="715">
        <f t="shared" si="58"/>
        <v>4598</v>
      </c>
      <c r="X50" s="715">
        <f t="shared" si="58"/>
        <v>4598</v>
      </c>
      <c r="Y50" s="715">
        <f t="shared" si="58"/>
        <v>4598</v>
      </c>
      <c r="Z50" s="715">
        <f t="shared" si="58"/>
        <v>4598</v>
      </c>
      <c r="AA50" s="715">
        <f t="shared" si="58"/>
        <v>4598</v>
      </c>
      <c r="AB50" s="715">
        <f t="shared" si="58"/>
        <v>4598</v>
      </c>
      <c r="AC50" s="715">
        <f t="shared" si="58"/>
        <v>4598</v>
      </c>
      <c r="AD50" s="715">
        <f t="shared" si="58"/>
        <v>4598</v>
      </c>
      <c r="AE50" s="715">
        <f t="shared" si="58"/>
        <v>4598</v>
      </c>
      <c r="AF50" s="715">
        <f t="shared" si="58"/>
        <v>4598</v>
      </c>
      <c r="AG50" s="715">
        <f t="shared" si="58"/>
        <v>4598</v>
      </c>
      <c r="AH50" s="715">
        <f t="shared" si="58"/>
        <v>4598</v>
      </c>
      <c r="AI50" s="715">
        <f t="shared" ref="AI50:AJ50" si="59">SUM(AI44:AI49)</f>
        <v>4598</v>
      </c>
      <c r="AJ50" s="715">
        <f t="shared" si="59"/>
        <v>4598</v>
      </c>
      <c r="AK50" s="504"/>
      <c r="AL50" s="504"/>
      <c r="AM50" s="504"/>
      <c r="AN50" s="504"/>
      <c r="AO50" s="504"/>
      <c r="AP50" s="504"/>
    </row>
    <row r="51" spans="1:42" x14ac:dyDescent="0.15">
      <c r="A51" s="528">
        <v>423100</v>
      </c>
      <c r="B51" s="456">
        <f t="shared" si="48"/>
        <v>0</v>
      </c>
      <c r="C51" s="524" t="s">
        <v>181</v>
      </c>
      <c r="D51" s="133">
        <v>0</v>
      </c>
      <c r="E51" s="322">
        <f>F51*12</f>
        <v>0</v>
      </c>
      <c r="F51" s="264">
        <v>0</v>
      </c>
      <c r="G51" s="264">
        <v>0</v>
      </c>
      <c r="H51" s="264">
        <v>0</v>
      </c>
      <c r="I51" s="264">
        <v>0</v>
      </c>
      <c r="J51" s="264">
        <v>0</v>
      </c>
      <c r="K51" s="264">
        <v>0</v>
      </c>
      <c r="L51" s="264">
        <v>0</v>
      </c>
      <c r="M51" s="264">
        <v>0</v>
      </c>
      <c r="N51" s="264">
        <v>0</v>
      </c>
      <c r="O51" s="264">
        <v>0</v>
      </c>
      <c r="P51" s="264">
        <v>0</v>
      </c>
      <c r="Q51" s="264">
        <v>0</v>
      </c>
      <c r="R51" s="264">
        <v>0</v>
      </c>
      <c r="S51" s="264">
        <v>0</v>
      </c>
      <c r="T51" s="264">
        <v>0</v>
      </c>
      <c r="U51" s="264">
        <v>0</v>
      </c>
      <c r="V51" s="264">
        <v>0</v>
      </c>
      <c r="W51" s="264">
        <v>0</v>
      </c>
      <c r="X51" s="264">
        <v>0</v>
      </c>
      <c r="Y51" s="264">
        <v>0</v>
      </c>
      <c r="Z51" s="264">
        <v>0</v>
      </c>
      <c r="AA51" s="264">
        <v>0</v>
      </c>
      <c r="AB51" s="264">
        <v>0</v>
      </c>
      <c r="AC51" s="264">
        <v>0</v>
      </c>
      <c r="AD51" s="264">
        <v>0</v>
      </c>
      <c r="AE51" s="264">
        <v>0</v>
      </c>
      <c r="AF51" s="264">
        <v>0</v>
      </c>
      <c r="AG51" s="264">
        <v>0</v>
      </c>
      <c r="AH51" s="264">
        <v>0</v>
      </c>
      <c r="AI51" s="264">
        <v>0</v>
      </c>
      <c r="AJ51" s="264">
        <v>0</v>
      </c>
      <c r="AK51" s="504"/>
      <c r="AL51" s="504"/>
      <c r="AM51" s="504"/>
      <c r="AN51" s="504"/>
      <c r="AO51" s="504"/>
      <c r="AP51" s="504"/>
    </row>
    <row r="52" spans="1:42" x14ac:dyDescent="0.15">
      <c r="A52" s="504"/>
      <c r="C52" s="504"/>
      <c r="D52" s="133">
        <f>D50+D41+D51</f>
        <v>1698840</v>
      </c>
      <c r="E52" s="324">
        <f>F53*12</f>
        <v>842400</v>
      </c>
      <c r="F52" s="321">
        <f t="shared" ref="F52:K52" si="60">F53*12</f>
        <v>842400</v>
      </c>
      <c r="G52" s="321">
        <f t="shared" si="60"/>
        <v>1193400</v>
      </c>
      <c r="H52" s="321">
        <f t="shared" si="60"/>
        <v>1544400</v>
      </c>
      <c r="I52" s="321">
        <f t="shared" si="60"/>
        <v>1676246.8800000004</v>
      </c>
      <c r="J52" s="321">
        <f t="shared" si="60"/>
        <v>1741089.7152</v>
      </c>
      <c r="K52" s="321">
        <f t="shared" si="60"/>
        <v>1808526.2638080004</v>
      </c>
      <c r="L52" s="264"/>
      <c r="M52" s="264"/>
      <c r="N52" s="264"/>
      <c r="O52" s="264"/>
      <c r="P52" s="264"/>
      <c r="Q52" s="264"/>
      <c r="R52" s="264"/>
      <c r="S52" s="264"/>
      <c r="T52" s="264"/>
      <c r="U52" s="264"/>
      <c r="V52" s="264"/>
      <c r="W52" s="264"/>
      <c r="X52" s="264"/>
      <c r="Y52" s="264"/>
      <c r="Z52" s="264"/>
      <c r="AA52" s="264"/>
      <c r="AB52" s="264"/>
      <c r="AC52" s="264"/>
      <c r="AD52" s="264"/>
      <c r="AE52" s="264"/>
      <c r="AF52" s="264"/>
      <c r="AG52" s="264"/>
      <c r="AH52" s="264"/>
      <c r="AI52" s="264"/>
      <c r="AJ52" s="264"/>
      <c r="AK52" s="504"/>
      <c r="AL52" s="504"/>
      <c r="AM52" s="504"/>
      <c r="AN52" s="504"/>
      <c r="AO52" s="504"/>
      <c r="AP52" s="504"/>
    </row>
    <row r="53" spans="1:42" ht="14" thickBot="1" x14ac:dyDescent="0.2">
      <c r="A53" s="504"/>
      <c r="B53" s="592">
        <f t="shared" si="48"/>
        <v>842400</v>
      </c>
      <c r="C53" s="579" t="s">
        <v>182</v>
      </c>
      <c r="D53" s="593">
        <f>D52/12</f>
        <v>141570</v>
      </c>
      <c r="E53" s="590">
        <f>E52/12</f>
        <v>70200</v>
      </c>
      <c r="F53" s="591">
        <f t="shared" ref="F53:AH53" si="61">F41+SUM(F50:F51)</f>
        <v>70200</v>
      </c>
      <c r="G53" s="591">
        <f t="shared" si="61"/>
        <v>99450</v>
      </c>
      <c r="H53" s="591">
        <f t="shared" si="61"/>
        <v>128700</v>
      </c>
      <c r="I53" s="591">
        <f t="shared" si="61"/>
        <v>139687.24000000002</v>
      </c>
      <c r="J53" s="591">
        <f t="shared" si="61"/>
        <v>145090.80960000001</v>
      </c>
      <c r="K53" s="591">
        <f t="shared" si="61"/>
        <v>150710.52198400002</v>
      </c>
      <c r="L53" s="591">
        <f t="shared" si="61"/>
        <v>156555.02286336003</v>
      </c>
      <c r="M53" s="591">
        <f t="shared" si="61"/>
        <v>162633.30377789444</v>
      </c>
      <c r="N53" s="591">
        <f t="shared" si="61"/>
        <v>168954.71592901024</v>
      </c>
      <c r="O53" s="591">
        <f t="shared" si="61"/>
        <v>175528.98456617066</v>
      </c>
      <c r="P53" s="591">
        <f t="shared" si="61"/>
        <v>182366.22394881747</v>
      </c>
      <c r="Q53" s="591">
        <f t="shared" si="61"/>
        <v>189476.9529067702</v>
      </c>
      <c r="R53" s="591">
        <f t="shared" si="61"/>
        <v>196872.11102304098</v>
      </c>
      <c r="S53" s="591">
        <f t="shared" si="61"/>
        <v>204563.07546396265</v>
      </c>
      <c r="T53" s="591">
        <f t="shared" si="61"/>
        <v>212561.67848252115</v>
      </c>
      <c r="U53" s="591">
        <f t="shared" si="61"/>
        <v>220880.22562182203</v>
      </c>
      <c r="V53" s="591">
        <f t="shared" si="61"/>
        <v>229531.51464669491</v>
      </c>
      <c r="W53" s="591">
        <f t="shared" si="61"/>
        <v>238528.85523256272</v>
      </c>
      <c r="X53" s="591">
        <f t="shared" si="61"/>
        <v>247886.08944186522</v>
      </c>
      <c r="Y53" s="591">
        <f t="shared" si="61"/>
        <v>257617.61301953986</v>
      </c>
      <c r="Z53" s="591">
        <f t="shared" si="61"/>
        <v>267738.39754032146</v>
      </c>
      <c r="AA53" s="591">
        <f t="shared" si="61"/>
        <v>278264.01344193437</v>
      </c>
      <c r="AB53" s="591">
        <f t="shared" si="61"/>
        <v>289210.65397961176</v>
      </c>
      <c r="AC53" s="591">
        <f t="shared" si="61"/>
        <v>300595.1601387962</v>
      </c>
      <c r="AD53" s="591">
        <f t="shared" si="61"/>
        <v>312435.04654434806</v>
      </c>
      <c r="AE53" s="591">
        <f t="shared" si="61"/>
        <v>324748.528406122</v>
      </c>
      <c r="AF53" s="591">
        <f t="shared" si="61"/>
        <v>337554.54954236688</v>
      </c>
      <c r="AG53" s="591">
        <f t="shared" si="61"/>
        <v>350872.8115240616</v>
      </c>
      <c r="AH53" s="591">
        <f t="shared" si="61"/>
        <v>364723.80398502405</v>
      </c>
      <c r="AI53" s="591">
        <f t="shared" ref="AI53:AJ53" si="62">AI41+SUM(AI50:AI51)</f>
        <v>379128.83614442509</v>
      </c>
      <c r="AJ53" s="591">
        <f t="shared" si="62"/>
        <v>394110.06959020207</v>
      </c>
      <c r="AK53" s="504"/>
      <c r="AL53" s="504"/>
      <c r="AM53" s="504"/>
      <c r="AN53" s="504"/>
      <c r="AO53" s="504"/>
      <c r="AP53" s="504"/>
    </row>
    <row r="54" spans="1:42" ht="14" thickTop="1" x14ac:dyDescent="0.15">
      <c r="A54" s="504"/>
      <c r="C54" s="14"/>
      <c r="D54" s="313" t="s">
        <v>183</v>
      </c>
      <c r="E54" s="540"/>
      <c r="F54" s="460" t="s">
        <v>184</v>
      </c>
      <c r="G54" s="460" t="s">
        <v>185</v>
      </c>
      <c r="H54" s="461" t="s">
        <v>186</v>
      </c>
      <c r="I54" s="461" t="s">
        <v>187</v>
      </c>
      <c r="J54" s="461" t="s">
        <v>188</v>
      </c>
      <c r="K54" s="461" t="s">
        <v>189</v>
      </c>
      <c r="L54" s="461" t="s">
        <v>190</v>
      </c>
      <c r="M54" s="504"/>
      <c r="N54" s="462" t="s">
        <v>167</v>
      </c>
      <c r="O54" s="462" t="s">
        <v>168</v>
      </c>
      <c r="P54" s="463" t="s">
        <v>169</v>
      </c>
      <c r="Q54" s="463" t="s">
        <v>170</v>
      </c>
      <c r="R54" s="463" t="s">
        <v>171</v>
      </c>
      <c r="S54" s="463" t="s">
        <v>172</v>
      </c>
      <c r="T54" s="463" t="s">
        <v>173</v>
      </c>
      <c r="U54" s="504"/>
      <c r="V54" s="504"/>
      <c r="W54" s="504"/>
      <c r="X54" s="504"/>
      <c r="Y54" s="504"/>
      <c r="Z54" s="504"/>
      <c r="AA54" s="504"/>
      <c r="AB54" s="504"/>
      <c r="AC54" s="504"/>
      <c r="AD54" s="504"/>
      <c r="AE54" s="504"/>
      <c r="AF54" s="504"/>
      <c r="AG54" s="504"/>
      <c r="AH54" s="504"/>
      <c r="AI54" s="504"/>
      <c r="AJ54" s="504"/>
      <c r="AK54" s="504"/>
      <c r="AL54" s="504"/>
      <c r="AM54" s="504"/>
      <c r="AN54" s="504"/>
      <c r="AO54" s="504"/>
      <c r="AP54" s="504"/>
    </row>
    <row r="55" spans="1:42" ht="16" x14ac:dyDescent="0.3">
      <c r="A55" s="504"/>
      <c r="B55" s="467" t="s">
        <v>191</v>
      </c>
      <c r="C55" s="11" t="s">
        <v>192</v>
      </c>
      <c r="D55" s="312">
        <f>N4</f>
        <v>2024</v>
      </c>
      <c r="E55" s="323" t="s">
        <v>175</v>
      </c>
      <c r="F55" s="464">
        <f ca="1">$F$63/NoOfSpaces</f>
        <v>2.2507438016528925</v>
      </c>
      <c r="G55" s="464">
        <f ca="1">$F$62/NoOfSpaces</f>
        <v>0</v>
      </c>
      <c r="H55" s="464">
        <f ca="1">($F$62+$F$63)/NoOfSpaces</f>
        <v>2.2507438016528925</v>
      </c>
      <c r="I55" s="464">
        <f ca="1">$F$61/NoOfSpaces</f>
        <v>22.218719008264465</v>
      </c>
      <c r="J55" s="464">
        <f ca="1">$F$59/NoOfSpaces</f>
        <v>0.61783057851239676</v>
      </c>
      <c r="K55" s="464">
        <f ca="1">$F$60/NoOfSpaces</f>
        <v>0</v>
      </c>
      <c r="L55" s="464">
        <f ca="1">SUM(F59:F63)/NoOfSpaces</f>
        <v>25.087293388429757</v>
      </c>
      <c r="M55" s="504"/>
      <c r="N55" s="464">
        <f ca="1">$F$63/OccPadsNum</f>
        <v>4.5389999999999997</v>
      </c>
      <c r="O55" s="464">
        <f ca="1">$F$62/OccPadsNum</f>
        <v>0</v>
      </c>
      <c r="P55" s="464">
        <f ca="1">($F$62+$F$63)/OccPadsNum</f>
        <v>4.5389999999999997</v>
      </c>
      <c r="Q55" s="464">
        <f ca="1">$F$61/OccPadsNum</f>
        <v>44.807750000000006</v>
      </c>
      <c r="R55" s="464">
        <f ca="1">$F$59/OccPadsNum</f>
        <v>1.2459583333333335</v>
      </c>
      <c r="S55" s="464">
        <f ca="1">$F$60/OccPadsNum</f>
        <v>0</v>
      </c>
      <c r="T55" s="665">
        <f ca="1">SUM(F59:F63)/OccPadsNum</f>
        <v>50.592708333333341</v>
      </c>
      <c r="U55" s="504"/>
      <c r="V55" s="504"/>
      <c r="W55" s="504"/>
      <c r="X55" s="504"/>
      <c r="Y55" s="504"/>
      <c r="Z55" s="504"/>
      <c r="AA55" s="504"/>
      <c r="AB55" s="504"/>
      <c r="AC55" s="504"/>
      <c r="AD55" s="504"/>
      <c r="AE55" s="504"/>
      <c r="AF55" s="504"/>
      <c r="AG55" s="504"/>
      <c r="AH55" s="504"/>
      <c r="AI55" s="504"/>
      <c r="AJ55" s="504"/>
      <c r="AK55" s="504"/>
      <c r="AL55" s="504"/>
      <c r="AM55" s="504"/>
      <c r="AN55" s="504"/>
      <c r="AO55" s="504"/>
      <c r="AP55" s="504"/>
    </row>
    <row r="56" spans="1:42" x14ac:dyDescent="0.15">
      <c r="A56" s="528">
        <v>600100</v>
      </c>
      <c r="B56" s="456">
        <f t="shared" ref="B56:B80" ca="1" si="63">E56/NoOfSpaces</f>
        <v>772.92975206611573</v>
      </c>
      <c r="C56" s="507" t="str">
        <f>IF(OtherFTE&gt;0,"Salary Exp ("&amp;TEXT(Notes!K39,"0.00")&amp;" FTE Mgr, "&amp;TEXT(Notes!K45,"0.00")&amp;" FTE Maint, "&amp;TEXT(Notes!K51,"0.00")&amp;" FTE Other)","Salary Exp ("&amp;TEXT(Notes!K39,"0.00")&amp;" FTE Mgr, "&amp;TEXT(Notes!K45,"0.00")&amp;" FTE Maintenance)")</f>
        <v>Salary Exp (1.50 FTE Mgr, 2.00 FTE Maintenance)</v>
      </c>
      <c r="D56" s="134">
        <f ca="1">OFFSET('IE SUMMARY'!D32,0,MoveCount)</f>
        <v>187049</v>
      </c>
      <c r="E56" s="703">
        <f ca="1">D56</f>
        <v>187049</v>
      </c>
      <c r="F56" s="325">
        <f t="shared" ref="F56:F65" ca="1" si="64">E56/12</f>
        <v>15587.416666666666</v>
      </c>
      <c r="G56" s="264">
        <f t="shared" ref="G56:AH56" ca="1" si="65">F56*(1+GlobalInflation)</f>
        <v>15899.164999999999</v>
      </c>
      <c r="H56" s="264">
        <f t="shared" ca="1" si="65"/>
        <v>16217.148299999999</v>
      </c>
      <c r="I56" s="264">
        <f t="shared" ca="1" si="65"/>
        <v>16541.491266000001</v>
      </c>
      <c r="J56" s="264">
        <f t="shared" ca="1" si="65"/>
        <v>16872.321091320002</v>
      </c>
      <c r="K56" s="264">
        <f t="shared" ca="1" si="65"/>
        <v>17209.767513146402</v>
      </c>
      <c r="L56" s="264">
        <f t="shared" ca="1" si="65"/>
        <v>17553.962863409331</v>
      </c>
      <c r="M56" s="264">
        <f t="shared" ca="1" si="65"/>
        <v>17905.042120677517</v>
      </c>
      <c r="N56" s="264">
        <f t="shared" ca="1" si="65"/>
        <v>18263.142963091068</v>
      </c>
      <c r="O56" s="264">
        <f t="shared" ca="1" si="65"/>
        <v>18628.405822352888</v>
      </c>
      <c r="P56" s="264">
        <f t="shared" ca="1" si="65"/>
        <v>19000.973938799947</v>
      </c>
      <c r="Q56" s="264">
        <f t="shared" ca="1" si="65"/>
        <v>19380.993417575948</v>
      </c>
      <c r="R56" s="264">
        <f t="shared" ca="1" si="65"/>
        <v>19768.613285927466</v>
      </c>
      <c r="S56" s="264">
        <f t="shared" ca="1" si="65"/>
        <v>20163.985551646016</v>
      </c>
      <c r="T56" s="264">
        <f t="shared" ca="1" si="65"/>
        <v>20567.265262678935</v>
      </c>
      <c r="U56" s="264">
        <f t="shared" ca="1" si="65"/>
        <v>20978.610567932516</v>
      </c>
      <c r="V56" s="264">
        <f t="shared" ca="1" si="65"/>
        <v>21398.182779291164</v>
      </c>
      <c r="W56" s="264">
        <f t="shared" ca="1" si="65"/>
        <v>21826.146434876988</v>
      </c>
      <c r="X56" s="264">
        <f t="shared" ca="1" si="65"/>
        <v>22262.669363574529</v>
      </c>
      <c r="Y56" s="264">
        <f t="shared" ca="1" si="65"/>
        <v>22707.922750846021</v>
      </c>
      <c r="Z56" s="264">
        <f t="shared" ca="1" si="65"/>
        <v>23162.081205862942</v>
      </c>
      <c r="AA56" s="264">
        <f t="shared" ca="1" si="65"/>
        <v>23625.322829980199</v>
      </c>
      <c r="AB56" s="264">
        <f t="shared" ca="1" si="65"/>
        <v>24097.829286579803</v>
      </c>
      <c r="AC56" s="264">
        <f t="shared" ca="1" si="65"/>
        <v>24579.7858723114</v>
      </c>
      <c r="AD56" s="264">
        <f t="shared" ca="1" si="65"/>
        <v>25071.381589757628</v>
      </c>
      <c r="AE56" s="264">
        <f t="shared" ca="1" si="65"/>
        <v>25572.809221552779</v>
      </c>
      <c r="AF56" s="264">
        <f t="shared" ca="1" si="65"/>
        <v>26084.265405983835</v>
      </c>
      <c r="AG56" s="264">
        <f t="shared" ca="1" si="65"/>
        <v>26605.950714103514</v>
      </c>
      <c r="AH56" s="264">
        <f t="shared" ca="1" si="65"/>
        <v>27138.069728385584</v>
      </c>
      <c r="AI56" s="264">
        <f t="shared" ref="AI56:AI78" ca="1" si="66">AH56*(1+GlobalInflation)</f>
        <v>27680.831122953296</v>
      </c>
      <c r="AJ56" s="264">
        <f t="shared" ref="AJ56:AJ78" ca="1" si="67">AI56*(1+GlobalInflation)</f>
        <v>28234.447745412363</v>
      </c>
      <c r="AK56" s="12"/>
      <c r="AL56" s="12"/>
      <c r="AM56" s="12"/>
      <c r="AN56" s="12"/>
      <c r="AO56" s="12"/>
      <c r="AP56" s="12"/>
    </row>
    <row r="57" spans="1:42" x14ac:dyDescent="0.15">
      <c r="A57" s="528">
        <v>610600</v>
      </c>
      <c r="B57" s="456">
        <f t="shared" ca="1" si="63"/>
        <v>131.39805785123968</v>
      </c>
      <c r="C57" s="507" t="s">
        <v>193</v>
      </c>
      <c r="D57" s="134">
        <f ca="1">OFFSET('IE SUMMARY'!D33,0,MoveCount)</f>
        <v>0</v>
      </c>
      <c r="E57" s="264">
        <f ca="1">E56*0.17</f>
        <v>31798.33</v>
      </c>
      <c r="F57" s="325">
        <f t="shared" ca="1" si="64"/>
        <v>2649.8608333333336</v>
      </c>
      <c r="G57" s="264">
        <f t="shared" ref="G57:AH57" ca="1" si="68">F57*(1+GlobalInflation)</f>
        <v>2702.8580500000003</v>
      </c>
      <c r="H57" s="264">
        <f t="shared" ca="1" si="68"/>
        <v>2756.9152110000005</v>
      </c>
      <c r="I57" s="264">
        <f t="shared" ca="1" si="68"/>
        <v>2812.0535152200005</v>
      </c>
      <c r="J57" s="264">
        <f t="shared" ca="1" si="68"/>
        <v>2868.2945855244006</v>
      </c>
      <c r="K57" s="264">
        <f t="shared" ca="1" si="68"/>
        <v>2925.6604772348887</v>
      </c>
      <c r="L57" s="264">
        <f t="shared" ca="1" si="68"/>
        <v>2984.1736867795867</v>
      </c>
      <c r="M57" s="264">
        <f t="shared" ca="1" si="68"/>
        <v>3043.8571605151783</v>
      </c>
      <c r="N57" s="264">
        <f t="shared" ca="1" si="68"/>
        <v>3104.7343037254818</v>
      </c>
      <c r="O57" s="264">
        <f t="shared" ca="1" si="68"/>
        <v>3166.8289897999916</v>
      </c>
      <c r="P57" s="264">
        <f t="shared" ca="1" si="68"/>
        <v>3230.1655695959917</v>
      </c>
      <c r="Q57" s="264">
        <f t="shared" ca="1" si="68"/>
        <v>3294.7688809879114</v>
      </c>
      <c r="R57" s="264">
        <f t="shared" ca="1" si="68"/>
        <v>3360.6642586076696</v>
      </c>
      <c r="S57" s="264">
        <f t="shared" ca="1" si="68"/>
        <v>3427.8775437798231</v>
      </c>
      <c r="T57" s="264">
        <f t="shared" ca="1" si="68"/>
        <v>3496.4350946554196</v>
      </c>
      <c r="U57" s="264">
        <f t="shared" ca="1" si="68"/>
        <v>3566.3637965485282</v>
      </c>
      <c r="V57" s="264">
        <f t="shared" ca="1" si="68"/>
        <v>3637.6910724794989</v>
      </c>
      <c r="W57" s="264">
        <f t="shared" ca="1" si="68"/>
        <v>3710.4448939290887</v>
      </c>
      <c r="X57" s="264">
        <f t="shared" ca="1" si="68"/>
        <v>3784.6537918076706</v>
      </c>
      <c r="Y57" s="264">
        <f t="shared" ca="1" si="68"/>
        <v>3860.3468676438242</v>
      </c>
      <c r="Z57" s="264">
        <f t="shared" ca="1" si="68"/>
        <v>3937.5538049967008</v>
      </c>
      <c r="AA57" s="264">
        <f t="shared" ca="1" si="68"/>
        <v>4016.3048810966347</v>
      </c>
      <c r="AB57" s="264">
        <f t="shared" ca="1" si="68"/>
        <v>4096.6309787185673</v>
      </c>
      <c r="AC57" s="264">
        <f t="shared" ca="1" si="68"/>
        <v>4178.5635982929389</v>
      </c>
      <c r="AD57" s="264">
        <f t="shared" ca="1" si="68"/>
        <v>4262.1348702587975</v>
      </c>
      <c r="AE57" s="264">
        <f t="shared" ca="1" si="68"/>
        <v>4347.3775676639734</v>
      </c>
      <c r="AF57" s="264">
        <f t="shared" ca="1" si="68"/>
        <v>4434.3251190172532</v>
      </c>
      <c r="AG57" s="264">
        <f t="shared" ca="1" si="68"/>
        <v>4523.011621397598</v>
      </c>
      <c r="AH57" s="264">
        <f t="shared" ca="1" si="68"/>
        <v>4613.4718538255502</v>
      </c>
      <c r="AI57" s="264">
        <f t="shared" ca="1" si="66"/>
        <v>4705.7412909020613</v>
      </c>
      <c r="AJ57" s="264">
        <f t="shared" ca="1" si="67"/>
        <v>4799.8561167201024</v>
      </c>
      <c r="AK57" s="12"/>
      <c r="AL57" s="12"/>
      <c r="AM57" s="12"/>
      <c r="AN57" s="12"/>
      <c r="AO57" s="12"/>
      <c r="AP57" s="12"/>
    </row>
    <row r="58" spans="1:42" x14ac:dyDescent="0.15">
      <c r="A58" s="528">
        <v>610700</v>
      </c>
      <c r="B58" s="456">
        <f t="shared" ca="1" si="63"/>
        <v>46.375785123966935</v>
      </c>
      <c r="C58" s="507" t="s">
        <v>194</v>
      </c>
      <c r="D58" s="134">
        <f ca="1">OFFSET('IE SUMMARY'!D34,0,MoveCount)</f>
        <v>0</v>
      </c>
      <c r="E58" s="264">
        <f ca="1">+E56*0.06</f>
        <v>11222.939999999999</v>
      </c>
      <c r="F58" s="325">
        <f t="shared" ca="1" si="64"/>
        <v>935.24499999999989</v>
      </c>
      <c r="G58" s="264">
        <f t="shared" ref="G58:AH58" ca="1" si="69">F58*(1+GlobalInflation)</f>
        <v>953.94989999999996</v>
      </c>
      <c r="H58" s="264">
        <f t="shared" ca="1" si="69"/>
        <v>973.02889800000003</v>
      </c>
      <c r="I58" s="264">
        <f t="shared" ca="1" si="69"/>
        <v>992.48947596000005</v>
      </c>
      <c r="J58" s="264">
        <f t="shared" ca="1" si="69"/>
        <v>1012.3392654792001</v>
      </c>
      <c r="K58" s="264">
        <f t="shared" ca="1" si="69"/>
        <v>1032.5860507887842</v>
      </c>
      <c r="L58" s="264">
        <f t="shared" ca="1" si="69"/>
        <v>1053.2377718045598</v>
      </c>
      <c r="M58" s="264">
        <f t="shared" ca="1" si="69"/>
        <v>1074.302527240651</v>
      </c>
      <c r="N58" s="264">
        <f t="shared" ca="1" si="69"/>
        <v>1095.788577785464</v>
      </c>
      <c r="O58" s="264">
        <f t="shared" ca="1" si="69"/>
        <v>1117.7043493411734</v>
      </c>
      <c r="P58" s="264">
        <f t="shared" ca="1" si="69"/>
        <v>1140.0584363279968</v>
      </c>
      <c r="Q58" s="264">
        <f t="shared" ca="1" si="69"/>
        <v>1162.8596050545568</v>
      </c>
      <c r="R58" s="264">
        <f t="shared" ca="1" si="69"/>
        <v>1186.1167971556479</v>
      </c>
      <c r="S58" s="264">
        <f t="shared" ca="1" si="69"/>
        <v>1209.8391330987608</v>
      </c>
      <c r="T58" s="264">
        <f t="shared" ca="1" si="69"/>
        <v>1234.0359157607361</v>
      </c>
      <c r="U58" s="264">
        <f t="shared" ca="1" si="69"/>
        <v>1258.7166340759509</v>
      </c>
      <c r="V58" s="264">
        <f t="shared" ca="1" si="69"/>
        <v>1283.8909667574699</v>
      </c>
      <c r="W58" s="264">
        <f t="shared" ca="1" si="69"/>
        <v>1309.5687860926193</v>
      </c>
      <c r="X58" s="264">
        <f t="shared" ca="1" si="69"/>
        <v>1335.7601618144718</v>
      </c>
      <c r="Y58" s="264">
        <f t="shared" ca="1" si="69"/>
        <v>1362.4753650507612</v>
      </c>
      <c r="Z58" s="264">
        <f t="shared" ca="1" si="69"/>
        <v>1389.7248723517764</v>
      </c>
      <c r="AA58" s="264">
        <f t="shared" ca="1" si="69"/>
        <v>1417.519369798812</v>
      </c>
      <c r="AB58" s="264">
        <f t="shared" ca="1" si="69"/>
        <v>1445.8697571947882</v>
      </c>
      <c r="AC58" s="264">
        <f t="shared" ca="1" si="69"/>
        <v>1474.7871523386841</v>
      </c>
      <c r="AD58" s="264">
        <f t="shared" ca="1" si="69"/>
        <v>1504.2828953854578</v>
      </c>
      <c r="AE58" s="264">
        <f t="shared" ca="1" si="69"/>
        <v>1534.368553293167</v>
      </c>
      <c r="AF58" s="264">
        <f t="shared" ca="1" si="69"/>
        <v>1565.0559243590303</v>
      </c>
      <c r="AG58" s="264">
        <f t="shared" ca="1" si="69"/>
        <v>1596.357042846211</v>
      </c>
      <c r="AH58" s="264">
        <f t="shared" ca="1" si="69"/>
        <v>1628.2841837031353</v>
      </c>
      <c r="AI58" s="264">
        <f t="shared" ca="1" si="66"/>
        <v>1660.8498673771981</v>
      </c>
      <c r="AJ58" s="264">
        <f t="shared" ca="1" si="67"/>
        <v>1694.0668647247421</v>
      </c>
      <c r="AK58" s="12"/>
      <c r="AL58" s="12"/>
      <c r="AM58" s="12"/>
      <c r="AN58" s="12"/>
      <c r="AO58" s="12"/>
      <c r="AP58" s="12"/>
    </row>
    <row r="59" spans="1:42" x14ac:dyDescent="0.15">
      <c r="A59" s="528">
        <v>540400</v>
      </c>
      <c r="B59" s="456">
        <f t="shared" ca="1" si="63"/>
        <v>7.4139669421487602</v>
      </c>
      <c r="C59" s="507" t="s">
        <v>176</v>
      </c>
      <c r="D59" s="134">
        <f ca="1">OFFSET('IE SUMMARY'!D35,0,MoveCount)</f>
        <v>1759</v>
      </c>
      <c r="E59" s="264">
        <f ca="1">D59*(1+GlobalInflation)</f>
        <v>1794.18</v>
      </c>
      <c r="F59" s="325">
        <f t="shared" ca="1" si="64"/>
        <v>149.51500000000001</v>
      </c>
      <c r="G59" s="264">
        <f t="shared" ref="G59:AH59" ca="1" si="70">F59*(1+GlobalInflation)</f>
        <v>152.50530000000001</v>
      </c>
      <c r="H59" s="264">
        <f t="shared" ca="1" si="70"/>
        <v>155.555406</v>
      </c>
      <c r="I59" s="264">
        <f t="shared" ca="1" si="70"/>
        <v>158.66651412000002</v>
      </c>
      <c r="J59" s="264">
        <f t="shared" ca="1" si="70"/>
        <v>161.83984440240002</v>
      </c>
      <c r="K59" s="264">
        <f t="shared" ca="1" si="70"/>
        <v>165.07664129044801</v>
      </c>
      <c r="L59" s="264">
        <f t="shared" ca="1" si="70"/>
        <v>168.37817411625699</v>
      </c>
      <c r="M59" s="264">
        <f t="shared" ca="1" si="70"/>
        <v>171.74573759858214</v>
      </c>
      <c r="N59" s="264">
        <f t="shared" ca="1" si="70"/>
        <v>175.18065235055377</v>
      </c>
      <c r="O59" s="264">
        <f t="shared" ca="1" si="70"/>
        <v>178.68426539756484</v>
      </c>
      <c r="P59" s="264">
        <f t="shared" ca="1" si="70"/>
        <v>182.25795070551615</v>
      </c>
      <c r="Q59" s="264">
        <f t="shared" ca="1" si="70"/>
        <v>185.90310971962649</v>
      </c>
      <c r="R59" s="264">
        <f t="shared" ca="1" si="70"/>
        <v>189.62117191401902</v>
      </c>
      <c r="S59" s="264">
        <f t="shared" ca="1" si="70"/>
        <v>193.41359535229941</v>
      </c>
      <c r="T59" s="264">
        <f t="shared" ca="1" si="70"/>
        <v>197.2818672593454</v>
      </c>
      <c r="U59" s="264">
        <f t="shared" ca="1" si="70"/>
        <v>201.22750460453233</v>
      </c>
      <c r="V59" s="264">
        <f t="shared" ca="1" si="70"/>
        <v>205.25205469662299</v>
      </c>
      <c r="W59" s="264">
        <f t="shared" ca="1" si="70"/>
        <v>209.35709579055546</v>
      </c>
      <c r="X59" s="264">
        <f t="shared" ca="1" si="70"/>
        <v>213.54423770636657</v>
      </c>
      <c r="Y59" s="264">
        <f t="shared" ca="1" si="70"/>
        <v>217.81512246049391</v>
      </c>
      <c r="Z59" s="264">
        <f t="shared" ca="1" si="70"/>
        <v>222.1714249097038</v>
      </c>
      <c r="AA59" s="264">
        <f t="shared" ca="1" si="70"/>
        <v>226.61485340789787</v>
      </c>
      <c r="AB59" s="264">
        <f t="shared" ca="1" si="70"/>
        <v>231.14715047605583</v>
      </c>
      <c r="AC59" s="264">
        <f t="shared" ca="1" si="70"/>
        <v>235.77009348557695</v>
      </c>
      <c r="AD59" s="264">
        <f t="shared" ca="1" si="70"/>
        <v>240.48549535528849</v>
      </c>
      <c r="AE59" s="264">
        <f t="shared" ca="1" si="70"/>
        <v>245.29520526239426</v>
      </c>
      <c r="AF59" s="264">
        <f t="shared" ca="1" si="70"/>
        <v>250.20110936764215</v>
      </c>
      <c r="AG59" s="264">
        <f t="shared" ca="1" si="70"/>
        <v>255.20513155499501</v>
      </c>
      <c r="AH59" s="264">
        <f t="shared" ca="1" si="70"/>
        <v>260.3092341860949</v>
      </c>
      <c r="AI59" s="264">
        <f t="shared" ca="1" si="66"/>
        <v>265.51541886981681</v>
      </c>
      <c r="AJ59" s="264">
        <f t="shared" ca="1" si="67"/>
        <v>270.82572724721314</v>
      </c>
      <c r="AK59" s="12"/>
      <c r="AL59" s="12"/>
      <c r="AM59" s="12"/>
      <c r="AN59" s="12"/>
      <c r="AO59" s="12"/>
      <c r="AP59" s="12"/>
    </row>
    <row r="60" spans="1:42" x14ac:dyDescent="0.15">
      <c r="A60" s="528">
        <v>540100</v>
      </c>
      <c r="B60" s="456">
        <f t="shared" ca="1" si="63"/>
        <v>0</v>
      </c>
      <c r="C60" s="507" t="s">
        <v>195</v>
      </c>
      <c r="D60" s="134">
        <f ca="1">OFFSET('IE SUMMARY'!D36,0,MoveCount)</f>
        <v>0</v>
      </c>
      <c r="E60" s="264">
        <f ca="1">D60*(1+GlobalInflation)</f>
        <v>0</v>
      </c>
      <c r="F60" s="325">
        <f t="shared" ca="1" si="64"/>
        <v>0</v>
      </c>
      <c r="G60" s="264">
        <f t="shared" ref="G60:AH60" ca="1" si="71">F60*(1+GlobalInflation)</f>
        <v>0</v>
      </c>
      <c r="H60" s="264">
        <f t="shared" ca="1" si="71"/>
        <v>0</v>
      </c>
      <c r="I60" s="264">
        <f t="shared" ca="1" si="71"/>
        <v>0</v>
      </c>
      <c r="J60" s="264">
        <f t="shared" ca="1" si="71"/>
        <v>0</v>
      </c>
      <c r="K60" s="264">
        <f t="shared" ca="1" si="71"/>
        <v>0</v>
      </c>
      <c r="L60" s="264">
        <f t="shared" ca="1" si="71"/>
        <v>0</v>
      </c>
      <c r="M60" s="264">
        <f t="shared" ca="1" si="71"/>
        <v>0</v>
      </c>
      <c r="N60" s="264">
        <f t="shared" ca="1" si="71"/>
        <v>0</v>
      </c>
      <c r="O60" s="264">
        <f t="shared" ca="1" si="71"/>
        <v>0</v>
      </c>
      <c r="P60" s="264">
        <f t="shared" ca="1" si="71"/>
        <v>0</v>
      </c>
      <c r="Q60" s="264">
        <f t="shared" ca="1" si="71"/>
        <v>0</v>
      </c>
      <c r="R60" s="264">
        <f t="shared" ca="1" si="71"/>
        <v>0</v>
      </c>
      <c r="S60" s="264">
        <f t="shared" ca="1" si="71"/>
        <v>0</v>
      </c>
      <c r="T60" s="264">
        <f t="shared" ca="1" si="71"/>
        <v>0</v>
      </c>
      <c r="U60" s="264">
        <f t="shared" ca="1" si="71"/>
        <v>0</v>
      </c>
      <c r="V60" s="264">
        <f t="shared" ca="1" si="71"/>
        <v>0</v>
      </c>
      <c r="W60" s="264">
        <f t="shared" ca="1" si="71"/>
        <v>0</v>
      </c>
      <c r="X60" s="264">
        <f t="shared" ca="1" si="71"/>
        <v>0</v>
      </c>
      <c r="Y60" s="264">
        <f t="shared" ca="1" si="71"/>
        <v>0</v>
      </c>
      <c r="Z60" s="264">
        <f t="shared" ca="1" si="71"/>
        <v>0</v>
      </c>
      <c r="AA60" s="264">
        <f t="shared" ca="1" si="71"/>
        <v>0</v>
      </c>
      <c r="AB60" s="264">
        <f t="shared" ca="1" si="71"/>
        <v>0</v>
      </c>
      <c r="AC60" s="264">
        <f t="shared" ca="1" si="71"/>
        <v>0</v>
      </c>
      <c r="AD60" s="264">
        <f t="shared" ca="1" si="71"/>
        <v>0</v>
      </c>
      <c r="AE60" s="264">
        <f t="shared" ca="1" si="71"/>
        <v>0</v>
      </c>
      <c r="AF60" s="264">
        <f t="shared" ca="1" si="71"/>
        <v>0</v>
      </c>
      <c r="AG60" s="264">
        <f t="shared" ca="1" si="71"/>
        <v>0</v>
      </c>
      <c r="AH60" s="264">
        <f t="shared" ca="1" si="71"/>
        <v>0</v>
      </c>
      <c r="AI60" s="264">
        <f t="shared" ca="1" si="66"/>
        <v>0</v>
      </c>
      <c r="AJ60" s="264">
        <f t="shared" ca="1" si="67"/>
        <v>0</v>
      </c>
      <c r="AK60" s="12"/>
      <c r="AL60" s="12"/>
      <c r="AM60" s="12"/>
      <c r="AN60" s="12"/>
      <c r="AO60" s="12"/>
      <c r="AP60" s="12"/>
    </row>
    <row r="61" spans="1:42" x14ac:dyDescent="0.15">
      <c r="A61" s="528">
        <v>540500</v>
      </c>
      <c r="B61" s="456">
        <f t="shared" ca="1" si="63"/>
        <v>266.62462809917355</v>
      </c>
      <c r="C61" s="507" t="s">
        <v>178</v>
      </c>
      <c r="D61" s="134">
        <f ca="1">OFFSET('IE SUMMARY'!D37,0,MoveCount)</f>
        <v>63258</v>
      </c>
      <c r="E61" s="264">
        <f ca="1">D61*(1+GlobalInflation)</f>
        <v>64523.16</v>
      </c>
      <c r="F61" s="325">
        <f t="shared" ca="1" si="64"/>
        <v>5376.93</v>
      </c>
      <c r="G61" s="264">
        <f t="shared" ref="G61:AH61" ca="1" si="72">F61*(1+GlobalInflation)</f>
        <v>5484.4686000000002</v>
      </c>
      <c r="H61" s="264">
        <f t="shared" ca="1" si="72"/>
        <v>5594.157972</v>
      </c>
      <c r="I61" s="264">
        <f t="shared" ca="1" si="72"/>
        <v>5706.0411314399998</v>
      </c>
      <c r="J61" s="264">
        <f t="shared" ca="1" si="72"/>
        <v>5820.1619540687998</v>
      </c>
      <c r="K61" s="264">
        <f t="shared" ca="1" si="72"/>
        <v>5936.5651931501761</v>
      </c>
      <c r="L61" s="264">
        <f t="shared" ca="1" si="72"/>
        <v>6055.2964970131798</v>
      </c>
      <c r="M61" s="264">
        <f t="shared" ca="1" si="72"/>
        <v>6176.4024269534439</v>
      </c>
      <c r="N61" s="264">
        <f t="shared" ca="1" si="72"/>
        <v>6299.9304754925124</v>
      </c>
      <c r="O61" s="264">
        <f t="shared" ca="1" si="72"/>
        <v>6425.9290850023626</v>
      </c>
      <c r="P61" s="264">
        <f t="shared" ca="1" si="72"/>
        <v>6554.4476667024101</v>
      </c>
      <c r="Q61" s="264">
        <f t="shared" ca="1" si="72"/>
        <v>6685.5366200364588</v>
      </c>
      <c r="R61" s="264">
        <f t="shared" ca="1" si="72"/>
        <v>6819.2473524371881</v>
      </c>
      <c r="S61" s="264">
        <f t="shared" ca="1" si="72"/>
        <v>6955.632299485932</v>
      </c>
      <c r="T61" s="264">
        <f t="shared" ca="1" si="72"/>
        <v>7094.7449454756506</v>
      </c>
      <c r="U61" s="264">
        <f t="shared" ca="1" si="72"/>
        <v>7236.639844385164</v>
      </c>
      <c r="V61" s="264">
        <f t="shared" ca="1" si="72"/>
        <v>7381.3726412728674</v>
      </c>
      <c r="W61" s="264">
        <f t="shared" ca="1" si="72"/>
        <v>7529.0000940983246</v>
      </c>
      <c r="X61" s="264">
        <f t="shared" ca="1" si="72"/>
        <v>7679.5800959802909</v>
      </c>
      <c r="Y61" s="264">
        <f t="shared" ca="1" si="72"/>
        <v>7833.1716978998966</v>
      </c>
      <c r="Z61" s="264">
        <f t="shared" ca="1" si="72"/>
        <v>7989.8351318578943</v>
      </c>
      <c r="AA61" s="264">
        <f t="shared" ca="1" si="72"/>
        <v>8149.6318344950523</v>
      </c>
      <c r="AB61" s="264">
        <f t="shared" ca="1" si="72"/>
        <v>8312.624471184954</v>
      </c>
      <c r="AC61" s="264">
        <f t="shared" ca="1" si="72"/>
        <v>8478.8769606086535</v>
      </c>
      <c r="AD61" s="264">
        <f t="shared" ca="1" si="72"/>
        <v>8648.4544998208276</v>
      </c>
      <c r="AE61" s="264">
        <f t="shared" ca="1" si="72"/>
        <v>8821.4235898172446</v>
      </c>
      <c r="AF61" s="264">
        <f t="shared" ca="1" si="72"/>
        <v>8997.8520616135902</v>
      </c>
      <c r="AG61" s="264">
        <f t="shared" ca="1" si="72"/>
        <v>9177.8091028458621</v>
      </c>
      <c r="AH61" s="264">
        <f t="shared" ca="1" si="72"/>
        <v>9361.3652849027803</v>
      </c>
      <c r="AI61" s="264">
        <f t="shared" ca="1" si="66"/>
        <v>9548.592590600836</v>
      </c>
      <c r="AJ61" s="264">
        <f t="shared" ca="1" si="67"/>
        <v>9739.5644424128532</v>
      </c>
      <c r="AK61" s="12"/>
      <c r="AL61" s="12"/>
      <c r="AM61" s="12"/>
      <c r="AN61" s="12"/>
      <c r="AO61" s="12"/>
      <c r="AP61" s="12"/>
    </row>
    <row r="62" spans="1:42" x14ac:dyDescent="0.15">
      <c r="A62" s="528">
        <v>540300</v>
      </c>
      <c r="B62" s="456">
        <f t="shared" ca="1" si="63"/>
        <v>0</v>
      </c>
      <c r="C62" s="507" t="s">
        <v>196</v>
      </c>
      <c r="D62" s="134">
        <f ca="1">OFFSET('IE SUMMARY'!D38,0,MoveCount)</f>
        <v>0</v>
      </c>
      <c r="E62" s="264">
        <f ca="1">D62*(1+GlobalInflation)</f>
        <v>0</v>
      </c>
      <c r="F62" s="325">
        <f t="shared" ref="F62" ca="1" si="73">E62/12</f>
        <v>0</v>
      </c>
      <c r="G62" s="264">
        <f t="shared" ref="G62" ca="1" si="74">F62*(1+GlobalInflation)</f>
        <v>0</v>
      </c>
      <c r="H62" s="264">
        <f t="shared" ref="H62" ca="1" si="75">G62*(1+GlobalInflation)</f>
        <v>0</v>
      </c>
      <c r="I62" s="264">
        <f t="shared" ref="I62" ca="1" si="76">H62*(1+GlobalInflation)</f>
        <v>0</v>
      </c>
      <c r="J62" s="264">
        <f t="shared" ref="J62" ca="1" si="77">I62*(1+GlobalInflation)</f>
        <v>0</v>
      </c>
      <c r="K62" s="264">
        <f t="shared" ref="K62" ca="1" si="78">J62*(1+GlobalInflation)</f>
        <v>0</v>
      </c>
      <c r="L62" s="264">
        <f t="shared" ref="L62" ca="1" si="79">K62*(1+GlobalInflation)</f>
        <v>0</v>
      </c>
      <c r="M62" s="264">
        <f t="shared" ref="M62" ca="1" si="80">L62*(1+GlobalInflation)</f>
        <v>0</v>
      </c>
      <c r="N62" s="264">
        <f t="shared" ref="N62" ca="1" si="81">M62*(1+GlobalInflation)</f>
        <v>0</v>
      </c>
      <c r="O62" s="264">
        <f t="shared" ref="O62" ca="1" si="82">N62*(1+GlobalInflation)</f>
        <v>0</v>
      </c>
      <c r="P62" s="264">
        <f t="shared" ref="P62" ca="1" si="83">O62*(1+GlobalInflation)</f>
        <v>0</v>
      </c>
      <c r="Q62" s="264">
        <f t="shared" ref="Q62" ca="1" si="84">P62*(1+GlobalInflation)</f>
        <v>0</v>
      </c>
      <c r="R62" s="264">
        <f t="shared" ref="R62" ca="1" si="85">Q62*(1+GlobalInflation)</f>
        <v>0</v>
      </c>
      <c r="S62" s="264">
        <f t="shared" ref="S62" ca="1" si="86">R62*(1+GlobalInflation)</f>
        <v>0</v>
      </c>
      <c r="T62" s="264">
        <f t="shared" ref="T62" ca="1" si="87">S62*(1+GlobalInflation)</f>
        <v>0</v>
      </c>
      <c r="U62" s="264">
        <f t="shared" ref="U62" ca="1" si="88">T62*(1+GlobalInflation)</f>
        <v>0</v>
      </c>
      <c r="V62" s="264">
        <f t="shared" ref="V62" ca="1" si="89">U62*(1+GlobalInflation)</f>
        <v>0</v>
      </c>
      <c r="W62" s="264">
        <f t="shared" ref="W62" ca="1" si="90">V62*(1+GlobalInflation)</f>
        <v>0</v>
      </c>
      <c r="X62" s="264">
        <f t="shared" ref="X62" ca="1" si="91">W62*(1+GlobalInflation)</f>
        <v>0</v>
      </c>
      <c r="Y62" s="264">
        <f t="shared" ref="Y62" ca="1" si="92">X62*(1+GlobalInflation)</f>
        <v>0</v>
      </c>
      <c r="Z62" s="264">
        <f t="shared" ref="Z62" ca="1" si="93">Y62*(1+GlobalInflation)</f>
        <v>0</v>
      </c>
      <c r="AA62" s="264">
        <f t="shared" ref="AA62" ca="1" si="94">Z62*(1+GlobalInflation)</f>
        <v>0</v>
      </c>
      <c r="AB62" s="264">
        <f t="shared" ref="AB62" ca="1" si="95">AA62*(1+GlobalInflation)</f>
        <v>0</v>
      </c>
      <c r="AC62" s="264">
        <f t="shared" ref="AC62" ca="1" si="96">AB62*(1+GlobalInflation)</f>
        <v>0</v>
      </c>
      <c r="AD62" s="264">
        <f t="shared" ref="AD62" ca="1" si="97">AC62*(1+GlobalInflation)</f>
        <v>0</v>
      </c>
      <c r="AE62" s="264">
        <f t="shared" ref="AE62" ca="1" si="98">AD62*(1+GlobalInflation)</f>
        <v>0</v>
      </c>
      <c r="AF62" s="264">
        <f t="shared" ref="AF62" ca="1" si="99">AE62*(1+GlobalInflation)</f>
        <v>0</v>
      </c>
      <c r="AG62" s="264">
        <f t="shared" ref="AG62" ca="1" si="100">AF62*(1+GlobalInflation)</f>
        <v>0</v>
      </c>
      <c r="AH62" s="264">
        <f t="shared" ref="AH62" ca="1" si="101">AG62*(1+GlobalInflation)</f>
        <v>0</v>
      </c>
      <c r="AI62" s="264">
        <f t="shared" ca="1" si="66"/>
        <v>0</v>
      </c>
      <c r="AJ62" s="264">
        <f t="shared" ca="1" si="67"/>
        <v>0</v>
      </c>
      <c r="AK62" s="12"/>
      <c r="AL62" s="12"/>
      <c r="AM62" s="12"/>
      <c r="AN62" s="12"/>
      <c r="AO62" s="12"/>
      <c r="AP62" s="12"/>
    </row>
    <row r="63" spans="1:42" x14ac:dyDescent="0.15">
      <c r="A63" s="528">
        <v>540200</v>
      </c>
      <c r="B63" s="456">
        <f t="shared" ca="1" si="63"/>
        <v>27.008925619834709</v>
      </c>
      <c r="C63" s="507" t="s">
        <v>197</v>
      </c>
      <c r="D63" s="134">
        <f ca="1">OFFSET('IE SUMMARY'!D39,0,MoveCount)</f>
        <v>6408</v>
      </c>
      <c r="E63" s="264">
        <f ca="1">D63*(1+GlobalInflation)</f>
        <v>6536.16</v>
      </c>
      <c r="F63" s="325">
        <f t="shared" ca="1" si="64"/>
        <v>544.67999999999995</v>
      </c>
      <c r="G63" s="264">
        <f t="shared" ref="G63:AH64" ca="1" si="102">F63*(1+GlobalInflation)</f>
        <v>555.57359999999994</v>
      </c>
      <c r="H63" s="264">
        <f t="shared" ca="1" si="102"/>
        <v>566.68507199999999</v>
      </c>
      <c r="I63" s="264">
        <f t="shared" ca="1" si="102"/>
        <v>578.01877344000002</v>
      </c>
      <c r="J63" s="264">
        <f t="shared" ca="1" si="102"/>
        <v>589.57914890879999</v>
      </c>
      <c r="K63" s="264">
        <f t="shared" ca="1" si="102"/>
        <v>601.37073188697605</v>
      </c>
      <c r="L63" s="264">
        <f t="shared" ca="1" si="102"/>
        <v>613.39814652471557</v>
      </c>
      <c r="M63" s="264">
        <f t="shared" ca="1" si="102"/>
        <v>625.66610945520995</v>
      </c>
      <c r="N63" s="264">
        <f t="shared" ca="1" si="102"/>
        <v>638.17943164431415</v>
      </c>
      <c r="O63" s="264">
        <f t="shared" ca="1" si="102"/>
        <v>650.94302027720039</v>
      </c>
      <c r="P63" s="264">
        <f t="shared" ca="1" si="102"/>
        <v>663.96188068274444</v>
      </c>
      <c r="Q63" s="264">
        <f t="shared" ca="1" si="102"/>
        <v>677.24111829639935</v>
      </c>
      <c r="R63" s="264">
        <f t="shared" ca="1" si="102"/>
        <v>690.78594066232733</v>
      </c>
      <c r="S63" s="264">
        <f t="shared" ca="1" si="102"/>
        <v>704.60165947557391</v>
      </c>
      <c r="T63" s="264">
        <f t="shared" ca="1" si="102"/>
        <v>718.69369266508545</v>
      </c>
      <c r="U63" s="264">
        <f t="shared" ca="1" si="102"/>
        <v>733.06756651838714</v>
      </c>
      <c r="V63" s="264">
        <f t="shared" ca="1" si="102"/>
        <v>747.72891784875492</v>
      </c>
      <c r="W63" s="264">
        <f t="shared" ca="1" si="102"/>
        <v>762.68349620573008</v>
      </c>
      <c r="X63" s="264">
        <f t="shared" ca="1" si="102"/>
        <v>777.93716612984474</v>
      </c>
      <c r="Y63" s="264">
        <f t="shared" ca="1" si="102"/>
        <v>793.49590945244165</v>
      </c>
      <c r="Z63" s="264">
        <f t="shared" ca="1" si="102"/>
        <v>809.36582764149045</v>
      </c>
      <c r="AA63" s="264">
        <f t="shared" ca="1" si="102"/>
        <v>825.55314419432023</v>
      </c>
      <c r="AB63" s="264">
        <f t="shared" ca="1" si="102"/>
        <v>842.06420707820666</v>
      </c>
      <c r="AC63" s="264">
        <f t="shared" ca="1" si="102"/>
        <v>858.90549121977085</v>
      </c>
      <c r="AD63" s="264">
        <f t="shared" ca="1" si="102"/>
        <v>876.08360104416624</v>
      </c>
      <c r="AE63" s="264">
        <f t="shared" ca="1" si="102"/>
        <v>893.60527306504957</v>
      </c>
      <c r="AF63" s="264">
        <f t="shared" ca="1" si="102"/>
        <v>911.47737852635055</v>
      </c>
      <c r="AG63" s="264">
        <f t="shared" ca="1" si="102"/>
        <v>929.70692609687762</v>
      </c>
      <c r="AH63" s="264">
        <f t="shared" ca="1" si="102"/>
        <v>948.30106461881519</v>
      </c>
      <c r="AI63" s="264">
        <f t="shared" ca="1" si="66"/>
        <v>967.26708591119154</v>
      </c>
      <c r="AJ63" s="264">
        <f t="shared" ca="1" si="67"/>
        <v>986.61242762941538</v>
      </c>
      <c r="AK63" s="12"/>
      <c r="AL63" s="12"/>
      <c r="AM63" s="12"/>
      <c r="AN63" s="12"/>
      <c r="AO63" s="12"/>
      <c r="AP63" s="12"/>
    </row>
    <row r="64" spans="1:42" x14ac:dyDescent="0.15">
      <c r="A64" s="528">
        <v>560140</v>
      </c>
      <c r="B64" s="456">
        <f t="shared" si="63"/>
        <v>16.528925619834709</v>
      </c>
      <c r="C64" s="507" t="s">
        <v>198</v>
      </c>
      <c r="D64" s="134">
        <f ca="1">OFFSET('IE SUMMARY'!D40,0,MoveCount)</f>
        <v>1601</v>
      </c>
      <c r="E64" s="264">
        <v>4000</v>
      </c>
      <c r="F64" s="325">
        <f>E64/12</f>
        <v>333.33333333333331</v>
      </c>
      <c r="G64" s="264">
        <f>F64*(1+GlobalInflation)</f>
        <v>340</v>
      </c>
      <c r="H64" s="264">
        <f t="shared" si="102"/>
        <v>346.8</v>
      </c>
      <c r="I64" s="264">
        <f t="shared" si="102"/>
        <v>353.73599999999999</v>
      </c>
      <c r="J64" s="264">
        <f t="shared" si="102"/>
        <v>360.81072</v>
      </c>
      <c r="K64" s="264">
        <f t="shared" si="102"/>
        <v>368.02693440000002</v>
      </c>
      <c r="L64" s="264">
        <f t="shared" si="102"/>
        <v>375.38747308800004</v>
      </c>
      <c r="M64" s="264">
        <f t="shared" si="102"/>
        <v>382.89522254976004</v>
      </c>
      <c r="N64" s="264">
        <f t="shared" si="102"/>
        <v>390.55312700075524</v>
      </c>
      <c r="O64" s="264">
        <f t="shared" si="102"/>
        <v>398.36418954077033</v>
      </c>
      <c r="P64" s="264">
        <f t="shared" si="102"/>
        <v>406.33147333158576</v>
      </c>
      <c r="Q64" s="264">
        <f t="shared" si="102"/>
        <v>414.45810279821745</v>
      </c>
      <c r="R64" s="264">
        <f t="shared" si="102"/>
        <v>422.74726485418182</v>
      </c>
      <c r="S64" s="264">
        <f t="shared" si="102"/>
        <v>431.20221015126549</v>
      </c>
      <c r="T64" s="264">
        <f t="shared" si="102"/>
        <v>439.82625435429082</v>
      </c>
      <c r="U64" s="264">
        <f t="shared" si="102"/>
        <v>448.62277944137662</v>
      </c>
      <c r="V64" s="264">
        <f t="shared" si="102"/>
        <v>457.59523503020415</v>
      </c>
      <c r="W64" s="264">
        <f t="shared" si="102"/>
        <v>466.74713973080821</v>
      </c>
      <c r="X64" s="264">
        <f t="shared" si="102"/>
        <v>476.08208252542437</v>
      </c>
      <c r="Y64" s="264">
        <f t="shared" si="102"/>
        <v>485.60372417593288</v>
      </c>
      <c r="Z64" s="264">
        <f t="shared" si="102"/>
        <v>495.31579865945156</v>
      </c>
      <c r="AA64" s="264">
        <f t="shared" si="102"/>
        <v>505.22211463264063</v>
      </c>
      <c r="AB64" s="264">
        <f t="shared" si="102"/>
        <v>515.3265569252934</v>
      </c>
      <c r="AC64" s="264">
        <f t="shared" si="102"/>
        <v>525.63308806379928</v>
      </c>
      <c r="AD64" s="264">
        <f t="shared" si="102"/>
        <v>536.14574982507531</v>
      </c>
      <c r="AE64" s="264">
        <f t="shared" si="102"/>
        <v>546.86866482157689</v>
      </c>
      <c r="AF64" s="264">
        <f t="shared" si="102"/>
        <v>557.80603811800847</v>
      </c>
      <c r="AG64" s="264">
        <f t="shared" si="102"/>
        <v>568.96215888036863</v>
      </c>
      <c r="AH64" s="264">
        <f t="shared" si="102"/>
        <v>580.34140205797598</v>
      </c>
      <c r="AI64" s="264">
        <f t="shared" si="66"/>
        <v>591.94823009913546</v>
      </c>
      <c r="AJ64" s="264">
        <f t="shared" si="67"/>
        <v>603.78719470111821</v>
      </c>
      <c r="AK64" s="12"/>
      <c r="AL64" s="12"/>
      <c r="AM64" s="12"/>
      <c r="AN64" s="12"/>
      <c r="AO64" s="12"/>
      <c r="AP64" s="12"/>
    </row>
    <row r="65" spans="1:42" x14ac:dyDescent="0.15">
      <c r="A65" s="528">
        <v>502000</v>
      </c>
      <c r="B65" s="456">
        <f t="shared" si="63"/>
        <v>51.652892561983471</v>
      </c>
      <c r="C65" s="507" t="s">
        <v>199</v>
      </c>
      <c r="D65" s="134">
        <f ca="1">OFFSET('IE SUMMARY'!D41,0,MoveCount)</f>
        <v>11558</v>
      </c>
      <c r="E65" s="264">
        <v>12500</v>
      </c>
      <c r="F65" s="325">
        <f t="shared" si="64"/>
        <v>1041.6666666666667</v>
      </c>
      <c r="G65" s="264">
        <f t="shared" ref="G65:AH65" si="103">F65*(1+GlobalInflation)</f>
        <v>1062.5</v>
      </c>
      <c r="H65" s="264">
        <f t="shared" si="103"/>
        <v>1083.75</v>
      </c>
      <c r="I65" s="264">
        <f t="shared" si="103"/>
        <v>1105.425</v>
      </c>
      <c r="J65" s="264">
        <f t="shared" si="103"/>
        <v>1127.5335</v>
      </c>
      <c r="K65" s="264">
        <f t="shared" si="103"/>
        <v>1150.0841700000001</v>
      </c>
      <c r="L65" s="264">
        <f t="shared" si="103"/>
        <v>1173.0858534000001</v>
      </c>
      <c r="M65" s="264">
        <f t="shared" si="103"/>
        <v>1196.5475704680002</v>
      </c>
      <c r="N65" s="264">
        <f t="shared" si="103"/>
        <v>1220.4785218773602</v>
      </c>
      <c r="O65" s="264">
        <f t="shared" si="103"/>
        <v>1244.8880923149075</v>
      </c>
      <c r="P65" s="264">
        <f t="shared" si="103"/>
        <v>1269.7858541612056</v>
      </c>
      <c r="Q65" s="264">
        <f t="shared" si="103"/>
        <v>1295.1815712444297</v>
      </c>
      <c r="R65" s="264">
        <f t="shared" si="103"/>
        <v>1321.0852026693183</v>
      </c>
      <c r="S65" s="264">
        <f t="shared" si="103"/>
        <v>1347.5069067227046</v>
      </c>
      <c r="T65" s="264">
        <f t="shared" si="103"/>
        <v>1374.4570448571587</v>
      </c>
      <c r="U65" s="264">
        <f t="shared" si="103"/>
        <v>1401.946185754302</v>
      </c>
      <c r="V65" s="264">
        <f t="shared" si="103"/>
        <v>1429.9851094693879</v>
      </c>
      <c r="W65" s="264">
        <f t="shared" si="103"/>
        <v>1458.5848116587756</v>
      </c>
      <c r="X65" s="264">
        <f t="shared" si="103"/>
        <v>1487.7565078919511</v>
      </c>
      <c r="Y65" s="264">
        <f t="shared" si="103"/>
        <v>1517.51163804979</v>
      </c>
      <c r="Z65" s="264">
        <f t="shared" si="103"/>
        <v>1547.8618708107858</v>
      </c>
      <c r="AA65" s="264">
        <f t="shared" si="103"/>
        <v>1578.8191082270016</v>
      </c>
      <c r="AB65" s="264">
        <f t="shared" si="103"/>
        <v>1610.3954903915417</v>
      </c>
      <c r="AC65" s="264">
        <f t="shared" si="103"/>
        <v>1642.6034001993726</v>
      </c>
      <c r="AD65" s="264">
        <f t="shared" si="103"/>
        <v>1675.4554682033599</v>
      </c>
      <c r="AE65" s="264">
        <f t="shared" si="103"/>
        <v>1708.9645775674271</v>
      </c>
      <c r="AF65" s="264">
        <f t="shared" si="103"/>
        <v>1743.1438691187757</v>
      </c>
      <c r="AG65" s="264">
        <f t="shared" si="103"/>
        <v>1778.0067465011512</v>
      </c>
      <c r="AH65" s="264">
        <f t="shared" si="103"/>
        <v>1813.5668814311741</v>
      </c>
      <c r="AI65" s="264">
        <f t="shared" si="66"/>
        <v>1849.8382190597977</v>
      </c>
      <c r="AJ65" s="264">
        <f t="shared" si="67"/>
        <v>1886.8349834409937</v>
      </c>
      <c r="AK65" s="12"/>
      <c r="AL65" s="12"/>
      <c r="AM65" s="12"/>
      <c r="AN65" s="12"/>
      <c r="AO65" s="12"/>
      <c r="AP65" s="12"/>
    </row>
    <row r="66" spans="1:42" x14ac:dyDescent="0.15">
      <c r="A66" s="528">
        <v>510000</v>
      </c>
      <c r="B66" s="456">
        <f t="shared" si="63"/>
        <v>250</v>
      </c>
      <c r="C66" s="507" t="str">
        <f>"Maintenance / Capital Reserve ("&amp;TEXT(J8,"$0")&amp;" per space / year)"</f>
        <v>Maintenance / Capital Reserve ($250 per space / year)</v>
      </c>
      <c r="D66" s="134">
        <f ca="1">OFFSET('IE SUMMARY'!D42,0,MoveCount)</f>
        <v>58699</v>
      </c>
      <c r="E66" s="703">
        <f>J8*NoOfSpaces</f>
        <v>60500</v>
      </c>
      <c r="F66" s="325">
        <f t="shared" ref="F66:F74" si="104">E66/12</f>
        <v>5041.666666666667</v>
      </c>
      <c r="G66" s="264">
        <f t="shared" ref="G66:AH66" si="105">F66*(1+GlobalInflation)</f>
        <v>5142.5</v>
      </c>
      <c r="H66" s="264">
        <f t="shared" si="105"/>
        <v>5245.35</v>
      </c>
      <c r="I66" s="264">
        <f t="shared" si="105"/>
        <v>5350.2570000000005</v>
      </c>
      <c r="J66" s="264">
        <f t="shared" si="105"/>
        <v>5457.2621400000007</v>
      </c>
      <c r="K66" s="264">
        <f t="shared" si="105"/>
        <v>5566.407382800001</v>
      </c>
      <c r="L66" s="264">
        <f t="shared" si="105"/>
        <v>5677.7355304560015</v>
      </c>
      <c r="M66" s="264">
        <f t="shared" si="105"/>
        <v>5791.2902410651213</v>
      </c>
      <c r="N66" s="264">
        <f t="shared" si="105"/>
        <v>5907.1160458864242</v>
      </c>
      <c r="O66" s="264">
        <f t="shared" si="105"/>
        <v>6025.2583668041525</v>
      </c>
      <c r="P66" s="264">
        <f t="shared" si="105"/>
        <v>6145.7635341402356</v>
      </c>
      <c r="Q66" s="264">
        <f t="shared" si="105"/>
        <v>6268.6788048230401</v>
      </c>
      <c r="R66" s="264">
        <f t="shared" si="105"/>
        <v>6394.052380919501</v>
      </c>
      <c r="S66" s="264">
        <f t="shared" si="105"/>
        <v>6521.9334285378909</v>
      </c>
      <c r="T66" s="264">
        <f t="shared" si="105"/>
        <v>6652.3720971086486</v>
      </c>
      <c r="U66" s="264">
        <f t="shared" si="105"/>
        <v>6785.4195390508221</v>
      </c>
      <c r="V66" s="264">
        <f t="shared" si="105"/>
        <v>6921.1279298318386</v>
      </c>
      <c r="W66" s="264">
        <f t="shared" si="105"/>
        <v>7059.5504884284755</v>
      </c>
      <c r="X66" s="264">
        <f t="shared" si="105"/>
        <v>7200.7414981970451</v>
      </c>
      <c r="Y66" s="264">
        <f t="shared" si="105"/>
        <v>7344.7563281609864</v>
      </c>
      <c r="Z66" s="264">
        <f t="shared" si="105"/>
        <v>7491.6514547242059</v>
      </c>
      <c r="AA66" s="264">
        <f t="shared" si="105"/>
        <v>7641.48448381869</v>
      </c>
      <c r="AB66" s="264">
        <f t="shared" si="105"/>
        <v>7794.3141734950641</v>
      </c>
      <c r="AC66" s="264">
        <f t="shared" si="105"/>
        <v>7950.2004569649653</v>
      </c>
      <c r="AD66" s="264">
        <f t="shared" si="105"/>
        <v>8109.2044661042646</v>
      </c>
      <c r="AE66" s="264">
        <f t="shared" si="105"/>
        <v>8271.3885554263506</v>
      </c>
      <c r="AF66" s="264">
        <f t="shared" si="105"/>
        <v>8436.8163265348776</v>
      </c>
      <c r="AG66" s="264">
        <f t="shared" si="105"/>
        <v>8605.5526530655752</v>
      </c>
      <c r="AH66" s="264">
        <f t="shared" si="105"/>
        <v>8777.6637061268866</v>
      </c>
      <c r="AI66" s="264">
        <f t="shared" si="66"/>
        <v>8953.2169802494245</v>
      </c>
      <c r="AJ66" s="264">
        <f t="shared" si="67"/>
        <v>9132.2813198544136</v>
      </c>
      <c r="AK66" s="12"/>
      <c r="AL66" s="12"/>
      <c r="AM66" s="12"/>
      <c r="AN66" s="12"/>
      <c r="AO66" s="12"/>
      <c r="AP66" s="12"/>
    </row>
    <row r="67" spans="1:42" x14ac:dyDescent="0.15">
      <c r="A67" s="528">
        <v>520000</v>
      </c>
      <c r="B67" s="456">
        <f t="shared" ca="1" si="63"/>
        <v>64.69413223140495</v>
      </c>
      <c r="C67" s="32" t="s">
        <v>200</v>
      </c>
      <c r="D67" s="134">
        <f ca="1">OFFSET('IE SUMMARY'!D43,0,MoveCount)</f>
        <v>15349</v>
      </c>
      <c r="E67" s="264">
        <f ca="1">+D67*1.02</f>
        <v>15655.98</v>
      </c>
      <c r="F67" s="325">
        <f ca="1">E67/12</f>
        <v>1304.665</v>
      </c>
      <c r="G67" s="264">
        <f t="shared" ref="G67:AH67" ca="1" si="106">F67*(1+GlobalInflation)</f>
        <v>1330.7583</v>
      </c>
      <c r="H67" s="264">
        <f t="shared" ca="1" si="106"/>
        <v>1357.373466</v>
      </c>
      <c r="I67" s="264">
        <f t="shared" ca="1" si="106"/>
        <v>1384.52093532</v>
      </c>
      <c r="J67" s="264">
        <f t="shared" ca="1" si="106"/>
        <v>1412.2113540264002</v>
      </c>
      <c r="K67" s="264">
        <f t="shared" ca="1" si="106"/>
        <v>1440.4555811069281</v>
      </c>
      <c r="L67" s="264">
        <f t="shared" ca="1" si="106"/>
        <v>1469.2646927290666</v>
      </c>
      <c r="M67" s="264">
        <f t="shared" ca="1" si="106"/>
        <v>1498.6499865836479</v>
      </c>
      <c r="N67" s="264">
        <f t="shared" ca="1" si="106"/>
        <v>1528.6229863153208</v>
      </c>
      <c r="O67" s="264">
        <f t="shared" ca="1" si="106"/>
        <v>1559.1954460416273</v>
      </c>
      <c r="P67" s="264">
        <f t="shared" ca="1" si="106"/>
        <v>1590.37935496246</v>
      </c>
      <c r="Q67" s="264">
        <f t="shared" ca="1" si="106"/>
        <v>1622.1869420617093</v>
      </c>
      <c r="R67" s="264">
        <f t="shared" ca="1" si="106"/>
        <v>1654.6306809029434</v>
      </c>
      <c r="S67" s="264">
        <f t="shared" ca="1" si="106"/>
        <v>1687.7232945210023</v>
      </c>
      <c r="T67" s="264">
        <f t="shared" ca="1" si="106"/>
        <v>1721.4777604114224</v>
      </c>
      <c r="U67" s="264">
        <f t="shared" ca="1" si="106"/>
        <v>1755.9073156196509</v>
      </c>
      <c r="V67" s="264">
        <f t="shared" ca="1" si="106"/>
        <v>1791.025461932044</v>
      </c>
      <c r="W67" s="264">
        <f t="shared" ca="1" si="106"/>
        <v>1826.8459711706848</v>
      </c>
      <c r="X67" s="264">
        <f t="shared" ca="1" si="106"/>
        <v>1863.3828905940986</v>
      </c>
      <c r="Y67" s="264">
        <f t="shared" ca="1" si="106"/>
        <v>1900.6505484059805</v>
      </c>
      <c r="Z67" s="264">
        <f t="shared" ca="1" si="106"/>
        <v>1938.6635593741003</v>
      </c>
      <c r="AA67" s="264">
        <f t="shared" ca="1" si="106"/>
        <v>1977.4368305615824</v>
      </c>
      <c r="AB67" s="264">
        <f t="shared" ca="1" si="106"/>
        <v>2016.9855671728142</v>
      </c>
      <c r="AC67" s="264">
        <f t="shared" ca="1" si="106"/>
        <v>2057.3252785162704</v>
      </c>
      <c r="AD67" s="264">
        <f t="shared" ca="1" si="106"/>
        <v>2098.471784086596</v>
      </c>
      <c r="AE67" s="264">
        <f t="shared" ca="1" si="106"/>
        <v>2140.4412197683278</v>
      </c>
      <c r="AF67" s="264">
        <f t="shared" ca="1" si="106"/>
        <v>2183.2500441636944</v>
      </c>
      <c r="AG67" s="264">
        <f t="shared" ca="1" si="106"/>
        <v>2226.9150450469683</v>
      </c>
      <c r="AH67" s="264">
        <f t="shared" ca="1" si="106"/>
        <v>2271.4533459479076</v>
      </c>
      <c r="AI67" s="264">
        <f t="shared" ca="1" si="66"/>
        <v>2316.8824128668657</v>
      </c>
      <c r="AJ67" s="264">
        <f t="shared" ca="1" si="67"/>
        <v>2363.2200611242029</v>
      </c>
      <c r="AK67" s="12"/>
      <c r="AL67" s="12"/>
      <c r="AM67" s="12"/>
      <c r="AN67" s="12"/>
      <c r="AO67" s="12"/>
      <c r="AP67" s="12"/>
    </row>
    <row r="68" spans="1:42" x14ac:dyDescent="0.15">
      <c r="A68" s="528">
        <v>530000</v>
      </c>
      <c r="B68" s="456">
        <f t="shared" ca="1" si="63"/>
        <v>155.85347107438017</v>
      </c>
      <c r="C68" s="507" t="s">
        <v>201</v>
      </c>
      <c r="D68" s="134">
        <f ca="1">OFFSET('IE SUMMARY'!D44,0,MoveCount)</f>
        <v>36977</v>
      </c>
      <c r="E68" s="264">
        <f ca="1">+D68*1.02</f>
        <v>37716.54</v>
      </c>
      <c r="F68" s="325">
        <f ca="1">E68/12</f>
        <v>3143.0450000000001</v>
      </c>
      <c r="G68" s="264">
        <f t="shared" ref="G68:AH68" ca="1" si="107">F68*(1+GlobalInflation)</f>
        <v>3205.9059000000002</v>
      </c>
      <c r="H68" s="264">
        <f t="shared" ca="1" si="107"/>
        <v>3270.0240180000001</v>
      </c>
      <c r="I68" s="264">
        <f t="shared" ca="1" si="107"/>
        <v>3335.4244983600001</v>
      </c>
      <c r="J68" s="264">
        <f t="shared" ca="1" si="107"/>
        <v>3402.1329883272001</v>
      </c>
      <c r="K68" s="264">
        <f t="shared" ca="1" si="107"/>
        <v>3470.1756480937443</v>
      </c>
      <c r="L68" s="264">
        <f t="shared" ca="1" si="107"/>
        <v>3539.5791610556194</v>
      </c>
      <c r="M68" s="264">
        <f t="shared" ca="1" si="107"/>
        <v>3610.3707442767318</v>
      </c>
      <c r="N68" s="264">
        <f t="shared" ca="1" si="107"/>
        <v>3682.5781591622663</v>
      </c>
      <c r="O68" s="264">
        <f t="shared" ca="1" si="107"/>
        <v>3756.2297223455116</v>
      </c>
      <c r="P68" s="264">
        <f t="shared" ca="1" si="107"/>
        <v>3831.3543167924217</v>
      </c>
      <c r="Q68" s="264">
        <f t="shared" ca="1" si="107"/>
        <v>3907.9814031282704</v>
      </c>
      <c r="R68" s="264">
        <f t="shared" ca="1" si="107"/>
        <v>3986.1410311908357</v>
      </c>
      <c r="S68" s="264">
        <f t="shared" ca="1" si="107"/>
        <v>4065.8638518146527</v>
      </c>
      <c r="T68" s="264">
        <f t="shared" ca="1" si="107"/>
        <v>4147.1811288509462</v>
      </c>
      <c r="U68" s="264">
        <f t="shared" ca="1" si="107"/>
        <v>4230.1247514279648</v>
      </c>
      <c r="V68" s="264">
        <f t="shared" ca="1" si="107"/>
        <v>4314.727246456524</v>
      </c>
      <c r="W68" s="264">
        <f t="shared" ca="1" si="107"/>
        <v>4401.021791385655</v>
      </c>
      <c r="X68" s="264">
        <f t="shared" ca="1" si="107"/>
        <v>4489.0422272133683</v>
      </c>
      <c r="Y68" s="264">
        <f t="shared" ca="1" si="107"/>
        <v>4578.8230717576362</v>
      </c>
      <c r="Z68" s="264">
        <f t="shared" ca="1" si="107"/>
        <v>4670.399533192789</v>
      </c>
      <c r="AA68" s="264">
        <f t="shared" ca="1" si="107"/>
        <v>4763.8075238566453</v>
      </c>
      <c r="AB68" s="264">
        <f t="shared" ca="1" si="107"/>
        <v>4859.0836743337786</v>
      </c>
      <c r="AC68" s="264">
        <f t="shared" ca="1" si="107"/>
        <v>4956.2653478204538</v>
      </c>
      <c r="AD68" s="264">
        <f t="shared" ca="1" si="107"/>
        <v>5055.3906547768629</v>
      </c>
      <c r="AE68" s="264">
        <f t="shared" ca="1" si="107"/>
        <v>5156.4984678724004</v>
      </c>
      <c r="AF68" s="264">
        <f t="shared" ca="1" si="107"/>
        <v>5259.6284372298487</v>
      </c>
      <c r="AG68" s="264">
        <f t="shared" ca="1" si="107"/>
        <v>5364.8210059744461</v>
      </c>
      <c r="AH68" s="264">
        <f t="shared" ca="1" si="107"/>
        <v>5472.1174260939351</v>
      </c>
      <c r="AI68" s="264">
        <f t="shared" ca="1" si="66"/>
        <v>5581.5597746158137</v>
      </c>
      <c r="AJ68" s="264">
        <f t="shared" ca="1" si="67"/>
        <v>5693.1909701081304</v>
      </c>
      <c r="AK68" s="12"/>
      <c r="AL68" s="12"/>
      <c r="AM68" s="12"/>
      <c r="AN68" s="12"/>
      <c r="AO68" s="12"/>
      <c r="AP68" s="12"/>
    </row>
    <row r="69" spans="1:42" x14ac:dyDescent="0.15">
      <c r="A69" s="528">
        <v>700100</v>
      </c>
      <c r="B69" s="456">
        <f t="shared" si="63"/>
        <v>340.90909090909093</v>
      </c>
      <c r="C69" s="507" t="s">
        <v>202</v>
      </c>
      <c r="D69" s="134">
        <f ca="1">OFFSET('IE SUMMARY'!D45,0,MoveCount)</f>
        <v>160319</v>
      </c>
      <c r="E69" s="264">
        <v>82500</v>
      </c>
      <c r="F69" s="325">
        <f>E69/12</f>
        <v>6875</v>
      </c>
      <c r="G69" s="264">
        <f t="shared" ref="G69:AH69" si="108">F69*(1+GlobalInflation)</f>
        <v>7012.5</v>
      </c>
      <c r="H69" s="264">
        <f t="shared" si="108"/>
        <v>7152.75</v>
      </c>
      <c r="I69" s="264">
        <f t="shared" si="108"/>
        <v>7295.8050000000003</v>
      </c>
      <c r="J69" s="264">
        <f t="shared" si="108"/>
        <v>7441.7211000000007</v>
      </c>
      <c r="K69" s="264">
        <f t="shared" si="108"/>
        <v>7590.5555220000006</v>
      </c>
      <c r="L69" s="264">
        <f t="shared" si="108"/>
        <v>7742.366632440001</v>
      </c>
      <c r="M69" s="264">
        <f t="shared" si="108"/>
        <v>7897.2139650888012</v>
      </c>
      <c r="N69" s="264">
        <f t="shared" si="108"/>
        <v>8055.1582443905772</v>
      </c>
      <c r="O69" s="264">
        <f t="shared" si="108"/>
        <v>8216.2614092783897</v>
      </c>
      <c r="P69" s="264">
        <f t="shared" si="108"/>
        <v>8380.5866374639572</v>
      </c>
      <c r="Q69" s="264">
        <f t="shared" si="108"/>
        <v>8548.1983702132366</v>
      </c>
      <c r="R69" s="264">
        <f t="shared" si="108"/>
        <v>8719.1623376175012</v>
      </c>
      <c r="S69" s="264">
        <f t="shared" si="108"/>
        <v>8893.545584369851</v>
      </c>
      <c r="T69" s="264">
        <f t="shared" si="108"/>
        <v>9071.4164960572489</v>
      </c>
      <c r="U69" s="264">
        <f t="shared" si="108"/>
        <v>9252.8448259783945</v>
      </c>
      <c r="V69" s="264">
        <f t="shared" si="108"/>
        <v>9437.9017224979634</v>
      </c>
      <c r="W69" s="264">
        <f t="shared" si="108"/>
        <v>9626.6597569479236</v>
      </c>
      <c r="X69" s="264">
        <f t="shared" si="108"/>
        <v>9819.1929520868816</v>
      </c>
      <c r="Y69" s="264">
        <f t="shared" si="108"/>
        <v>10015.57681112862</v>
      </c>
      <c r="Z69" s="264">
        <f t="shared" si="108"/>
        <v>10215.888347351192</v>
      </c>
      <c r="AA69" s="264">
        <f t="shared" si="108"/>
        <v>10420.206114298217</v>
      </c>
      <c r="AB69" s="264">
        <f t="shared" si="108"/>
        <v>10628.610236584182</v>
      </c>
      <c r="AC69" s="264">
        <f t="shared" si="108"/>
        <v>10841.182441315865</v>
      </c>
      <c r="AD69" s="264">
        <f t="shared" si="108"/>
        <v>11058.006090142182</v>
      </c>
      <c r="AE69" s="264">
        <f t="shared" si="108"/>
        <v>11279.166211945027</v>
      </c>
      <c r="AF69" s="264">
        <f t="shared" si="108"/>
        <v>11504.749536183926</v>
      </c>
      <c r="AG69" s="264">
        <f t="shared" si="108"/>
        <v>11734.844526907606</v>
      </c>
      <c r="AH69" s="264">
        <f t="shared" si="108"/>
        <v>11969.541417445758</v>
      </c>
      <c r="AI69" s="264">
        <f t="shared" si="66"/>
        <v>12208.932245794673</v>
      </c>
      <c r="AJ69" s="264">
        <f t="shared" si="67"/>
        <v>12453.110890710566</v>
      </c>
      <c r="AK69" s="12"/>
      <c r="AL69" s="12"/>
      <c r="AM69" s="12"/>
      <c r="AN69" s="12"/>
      <c r="AO69" s="12"/>
      <c r="AP69" s="12"/>
    </row>
    <row r="70" spans="1:42" x14ac:dyDescent="0.15">
      <c r="A70" s="528">
        <v>720100</v>
      </c>
      <c r="B70" s="456">
        <f t="shared" ca="1" si="63"/>
        <v>117.32231404958678</v>
      </c>
      <c r="C70" s="507" t="s">
        <v>203</v>
      </c>
      <c r="D70" s="134">
        <f ca="1">OFFSET('IE SUMMARY'!D46,0,MoveCount)</f>
        <v>28392</v>
      </c>
      <c r="E70" s="703">
        <f ca="1">D70</f>
        <v>28392</v>
      </c>
      <c r="F70" s="325">
        <f ca="1">E70/12</f>
        <v>2366</v>
      </c>
      <c r="G70" s="264">
        <f t="shared" ref="G70:AH70" ca="1" si="109">F70*(1+GlobalInflation)</f>
        <v>2413.3200000000002</v>
      </c>
      <c r="H70" s="264">
        <f t="shared" ca="1" si="109"/>
        <v>2461.5864000000001</v>
      </c>
      <c r="I70" s="264">
        <f t="shared" ca="1" si="109"/>
        <v>2510.8181280000003</v>
      </c>
      <c r="J70" s="264">
        <f t="shared" ca="1" si="109"/>
        <v>2561.0344905600004</v>
      </c>
      <c r="K70" s="264">
        <f t="shared" ca="1" si="109"/>
        <v>2612.2551803712004</v>
      </c>
      <c r="L70" s="264">
        <f t="shared" ca="1" si="109"/>
        <v>2664.5002839786243</v>
      </c>
      <c r="M70" s="264">
        <f t="shared" ca="1" si="109"/>
        <v>2717.7902896581968</v>
      </c>
      <c r="N70" s="264">
        <f t="shared" ca="1" si="109"/>
        <v>2772.1460954513609</v>
      </c>
      <c r="O70" s="264">
        <f t="shared" ca="1" si="109"/>
        <v>2827.589017360388</v>
      </c>
      <c r="P70" s="264">
        <f t="shared" ca="1" si="109"/>
        <v>2884.140797707596</v>
      </c>
      <c r="Q70" s="264">
        <f t="shared" ca="1" si="109"/>
        <v>2941.8236136617479</v>
      </c>
      <c r="R70" s="264">
        <f t="shared" ca="1" si="109"/>
        <v>3000.6600859349828</v>
      </c>
      <c r="S70" s="264">
        <f t="shared" ca="1" si="109"/>
        <v>3060.6732876536826</v>
      </c>
      <c r="T70" s="264">
        <f t="shared" ca="1" si="109"/>
        <v>3121.8867534067563</v>
      </c>
      <c r="U70" s="264">
        <f t="shared" ca="1" si="109"/>
        <v>3184.3244884748915</v>
      </c>
      <c r="V70" s="264">
        <f t="shared" ca="1" si="109"/>
        <v>3248.0109782443892</v>
      </c>
      <c r="W70" s="264">
        <f t="shared" ca="1" si="109"/>
        <v>3312.9711978092769</v>
      </c>
      <c r="X70" s="264">
        <f t="shared" ca="1" si="109"/>
        <v>3379.2306217654623</v>
      </c>
      <c r="Y70" s="264">
        <f t="shared" ca="1" si="109"/>
        <v>3446.8152342007716</v>
      </c>
      <c r="Z70" s="264">
        <f t="shared" ca="1" si="109"/>
        <v>3515.7515388847869</v>
      </c>
      <c r="AA70" s="264">
        <f t="shared" ca="1" si="109"/>
        <v>3586.0665696624828</v>
      </c>
      <c r="AB70" s="264">
        <f t="shared" ca="1" si="109"/>
        <v>3657.7879010557326</v>
      </c>
      <c r="AC70" s="264">
        <f t="shared" ca="1" si="109"/>
        <v>3730.9436590768473</v>
      </c>
      <c r="AD70" s="264">
        <f t="shared" ca="1" si="109"/>
        <v>3805.5625322583842</v>
      </c>
      <c r="AE70" s="264">
        <f t="shared" ca="1" si="109"/>
        <v>3881.6737829035519</v>
      </c>
      <c r="AF70" s="264">
        <f t="shared" ca="1" si="109"/>
        <v>3959.3072585616228</v>
      </c>
      <c r="AG70" s="264">
        <f t="shared" ca="1" si="109"/>
        <v>4038.4934037328553</v>
      </c>
      <c r="AH70" s="264">
        <f t="shared" ca="1" si="109"/>
        <v>4119.2632718075129</v>
      </c>
      <c r="AI70" s="264">
        <f t="shared" ca="1" si="66"/>
        <v>4201.6485372436628</v>
      </c>
      <c r="AJ70" s="264">
        <f t="shared" ca="1" si="67"/>
        <v>4285.6815079885364</v>
      </c>
      <c r="AK70" s="12"/>
      <c r="AL70" s="12"/>
      <c r="AM70" s="12"/>
      <c r="AN70" s="12"/>
      <c r="AO70" s="12"/>
      <c r="AP70" s="12"/>
    </row>
    <row r="71" spans="1:42" x14ac:dyDescent="0.15">
      <c r="A71" s="528">
        <v>560110</v>
      </c>
      <c r="B71" s="456">
        <f t="shared" si="63"/>
        <v>4.5247933884297522</v>
      </c>
      <c r="C71" s="507" t="s">
        <v>204</v>
      </c>
      <c r="D71" s="134">
        <f ca="1">OFFSET('IE SUMMARY'!D47,0,MoveCount)</f>
        <v>0</v>
      </c>
      <c r="E71" s="264">
        <f>195+(75*12)</f>
        <v>1095</v>
      </c>
      <c r="F71" s="325">
        <f t="shared" si="104"/>
        <v>91.25</v>
      </c>
      <c r="G71" s="264">
        <f t="shared" ref="G71:AH71" si="110">F71*(1+GlobalInflation)</f>
        <v>93.075000000000003</v>
      </c>
      <c r="H71" s="264">
        <f t="shared" si="110"/>
        <v>94.936500000000009</v>
      </c>
      <c r="I71" s="264">
        <f t="shared" si="110"/>
        <v>96.83523000000001</v>
      </c>
      <c r="J71" s="264">
        <f t="shared" si="110"/>
        <v>98.771934600000009</v>
      </c>
      <c r="K71" s="264">
        <f t="shared" si="110"/>
        <v>100.74737329200001</v>
      </c>
      <c r="L71" s="264">
        <f t="shared" si="110"/>
        <v>102.76232075784</v>
      </c>
      <c r="M71" s="264">
        <f t="shared" si="110"/>
        <v>104.8175671729968</v>
      </c>
      <c r="N71" s="264">
        <f t="shared" si="110"/>
        <v>106.91391851645675</v>
      </c>
      <c r="O71" s="264">
        <f t="shared" si="110"/>
        <v>109.05219688678588</v>
      </c>
      <c r="P71" s="264">
        <f t="shared" si="110"/>
        <v>111.2332408245216</v>
      </c>
      <c r="Q71" s="264">
        <f t="shared" si="110"/>
        <v>113.45790564101203</v>
      </c>
      <c r="R71" s="264">
        <f t="shared" si="110"/>
        <v>115.72706375383227</v>
      </c>
      <c r="S71" s="264">
        <f t="shared" si="110"/>
        <v>118.04160502890892</v>
      </c>
      <c r="T71" s="264">
        <f t="shared" si="110"/>
        <v>120.4024371294871</v>
      </c>
      <c r="U71" s="264">
        <f t="shared" si="110"/>
        <v>122.81048587207684</v>
      </c>
      <c r="V71" s="264">
        <f t="shared" si="110"/>
        <v>125.26669558951838</v>
      </c>
      <c r="W71" s="264">
        <f t="shared" si="110"/>
        <v>127.77202950130875</v>
      </c>
      <c r="X71" s="264">
        <f t="shared" si="110"/>
        <v>130.32747009133493</v>
      </c>
      <c r="Y71" s="264">
        <f t="shared" si="110"/>
        <v>132.93401949316163</v>
      </c>
      <c r="Z71" s="264">
        <f t="shared" si="110"/>
        <v>135.59269988302486</v>
      </c>
      <c r="AA71" s="264">
        <f t="shared" si="110"/>
        <v>138.30455388068538</v>
      </c>
      <c r="AB71" s="264">
        <f t="shared" si="110"/>
        <v>141.07064495829908</v>
      </c>
      <c r="AC71" s="264">
        <f t="shared" si="110"/>
        <v>143.89205785746506</v>
      </c>
      <c r="AD71" s="264">
        <f t="shared" si="110"/>
        <v>146.76989901461437</v>
      </c>
      <c r="AE71" s="264">
        <f t="shared" si="110"/>
        <v>149.70529699490666</v>
      </c>
      <c r="AF71" s="264">
        <f t="shared" si="110"/>
        <v>152.69940293480479</v>
      </c>
      <c r="AG71" s="264">
        <f t="shared" si="110"/>
        <v>155.75339099350089</v>
      </c>
      <c r="AH71" s="264">
        <f t="shared" si="110"/>
        <v>158.86845881337089</v>
      </c>
      <c r="AI71" s="264">
        <f t="shared" si="66"/>
        <v>162.04582798963833</v>
      </c>
      <c r="AJ71" s="264">
        <f t="shared" si="67"/>
        <v>165.28674454943109</v>
      </c>
      <c r="AK71" s="12"/>
      <c r="AL71" s="12"/>
      <c r="AM71" s="12"/>
      <c r="AN71" s="12"/>
      <c r="AO71" s="12"/>
      <c r="AP71" s="12"/>
    </row>
    <row r="72" spans="1:42" x14ac:dyDescent="0.15">
      <c r="A72" s="528">
        <v>506200</v>
      </c>
      <c r="B72" s="456">
        <f t="shared" si="63"/>
        <v>10.330578512396695</v>
      </c>
      <c r="C72" s="507" t="s">
        <v>205</v>
      </c>
      <c r="D72" s="134">
        <f ca="1">OFFSET('IE SUMMARY'!D48,0,MoveCount)</f>
        <v>10985</v>
      </c>
      <c r="E72" s="264">
        <v>2500</v>
      </c>
      <c r="F72" s="325">
        <f>E72/12</f>
        <v>208.33333333333334</v>
      </c>
      <c r="G72" s="264">
        <f t="shared" ref="G72:AH72" si="111">F72*(1+GlobalInflation)</f>
        <v>212.5</v>
      </c>
      <c r="H72" s="264">
        <f t="shared" si="111"/>
        <v>216.75</v>
      </c>
      <c r="I72" s="264">
        <f t="shared" si="111"/>
        <v>221.08500000000001</v>
      </c>
      <c r="J72" s="264">
        <f t="shared" si="111"/>
        <v>225.50670000000002</v>
      </c>
      <c r="K72" s="264">
        <f t="shared" si="111"/>
        <v>230.01683400000002</v>
      </c>
      <c r="L72" s="264">
        <f t="shared" si="111"/>
        <v>234.61717068000002</v>
      </c>
      <c r="M72" s="264">
        <f t="shared" si="111"/>
        <v>239.30951409360003</v>
      </c>
      <c r="N72" s="264">
        <f t="shared" si="111"/>
        <v>244.09570437547202</v>
      </c>
      <c r="O72" s="264">
        <f t="shared" si="111"/>
        <v>248.97761846298147</v>
      </c>
      <c r="P72" s="264">
        <f t="shared" si="111"/>
        <v>253.9571708322411</v>
      </c>
      <c r="Q72" s="264">
        <f t="shared" si="111"/>
        <v>259.03631424888596</v>
      </c>
      <c r="R72" s="264">
        <f t="shared" si="111"/>
        <v>264.21704053386367</v>
      </c>
      <c r="S72" s="264">
        <f t="shared" si="111"/>
        <v>269.50138134454096</v>
      </c>
      <c r="T72" s="264">
        <f t="shared" si="111"/>
        <v>274.89140897143176</v>
      </c>
      <c r="U72" s="264">
        <f t="shared" si="111"/>
        <v>280.38923715086042</v>
      </c>
      <c r="V72" s="264">
        <f t="shared" si="111"/>
        <v>285.99702189387762</v>
      </c>
      <c r="W72" s="264">
        <f t="shared" si="111"/>
        <v>291.71696233175516</v>
      </c>
      <c r="X72" s="264">
        <f t="shared" si="111"/>
        <v>297.55130157839028</v>
      </c>
      <c r="Y72" s="264">
        <f t="shared" si="111"/>
        <v>303.50232760995812</v>
      </c>
      <c r="Z72" s="264">
        <f t="shared" si="111"/>
        <v>309.5723741621573</v>
      </c>
      <c r="AA72" s="264">
        <f t="shared" si="111"/>
        <v>315.76382164540047</v>
      </c>
      <c r="AB72" s="264">
        <f t="shared" si="111"/>
        <v>322.0790980783085</v>
      </c>
      <c r="AC72" s="264">
        <f t="shared" si="111"/>
        <v>328.52068003987466</v>
      </c>
      <c r="AD72" s="264">
        <f t="shared" si="111"/>
        <v>335.09109364067217</v>
      </c>
      <c r="AE72" s="264">
        <f t="shared" si="111"/>
        <v>341.79291551348564</v>
      </c>
      <c r="AF72" s="264">
        <f t="shared" si="111"/>
        <v>348.62877382375535</v>
      </c>
      <c r="AG72" s="264">
        <f t="shared" si="111"/>
        <v>355.60134930023048</v>
      </c>
      <c r="AH72" s="264">
        <f t="shared" si="111"/>
        <v>362.71337628623507</v>
      </c>
      <c r="AI72" s="264">
        <f t="shared" si="66"/>
        <v>369.96764381195976</v>
      </c>
      <c r="AJ72" s="264">
        <f t="shared" si="67"/>
        <v>377.36699668819898</v>
      </c>
      <c r="AK72" s="12"/>
      <c r="AL72" s="12"/>
      <c r="AM72" s="12"/>
      <c r="AN72" s="12"/>
      <c r="AO72" s="12"/>
      <c r="AP72" s="12"/>
    </row>
    <row r="73" spans="1:42" x14ac:dyDescent="0.15">
      <c r="A73" s="528">
        <v>700200</v>
      </c>
      <c r="B73" s="456">
        <f t="shared" si="63"/>
        <v>7.0247933884297522</v>
      </c>
      <c r="C73" s="507" t="s">
        <v>206</v>
      </c>
      <c r="D73" s="134">
        <f ca="1">OFFSET('IE SUMMARY'!D49,0,MoveCount)</f>
        <v>0</v>
      </c>
      <c r="E73" s="264">
        <v>1700</v>
      </c>
      <c r="F73" s="325">
        <f t="shared" si="104"/>
        <v>141.66666666666666</v>
      </c>
      <c r="G73" s="264">
        <f t="shared" ref="G73:AH73" si="112">F73*(1+GlobalInflation)</f>
        <v>144.5</v>
      </c>
      <c r="H73" s="264">
        <f t="shared" si="112"/>
        <v>147.39000000000001</v>
      </c>
      <c r="I73" s="264">
        <f t="shared" si="112"/>
        <v>150.33780000000002</v>
      </c>
      <c r="J73" s="264">
        <f t="shared" si="112"/>
        <v>153.34455600000001</v>
      </c>
      <c r="K73" s="264">
        <f t="shared" si="112"/>
        <v>156.41144712000002</v>
      </c>
      <c r="L73" s="264">
        <f t="shared" si="112"/>
        <v>159.53967606240002</v>
      </c>
      <c r="M73" s="264">
        <f t="shared" si="112"/>
        <v>162.73046958364802</v>
      </c>
      <c r="N73" s="264">
        <f t="shared" si="112"/>
        <v>165.98507897532099</v>
      </c>
      <c r="O73" s="264">
        <f t="shared" si="112"/>
        <v>169.3047805548274</v>
      </c>
      <c r="P73" s="264">
        <f t="shared" si="112"/>
        <v>172.69087616592395</v>
      </c>
      <c r="Q73" s="264">
        <f t="shared" si="112"/>
        <v>176.14469368924244</v>
      </c>
      <c r="R73" s="264">
        <f t="shared" si="112"/>
        <v>179.6675875630273</v>
      </c>
      <c r="S73" s="264">
        <f t="shared" si="112"/>
        <v>183.26093931428784</v>
      </c>
      <c r="T73" s="264">
        <f t="shared" si="112"/>
        <v>186.92615810057359</v>
      </c>
      <c r="U73" s="264">
        <f t="shared" si="112"/>
        <v>190.66468126258505</v>
      </c>
      <c r="V73" s="264">
        <f t="shared" si="112"/>
        <v>194.47797488783675</v>
      </c>
      <c r="W73" s="264">
        <f t="shared" si="112"/>
        <v>198.3675343855935</v>
      </c>
      <c r="X73" s="264">
        <f t="shared" si="112"/>
        <v>202.33488507330537</v>
      </c>
      <c r="Y73" s="264">
        <f t="shared" si="112"/>
        <v>206.38158277477149</v>
      </c>
      <c r="Z73" s="264">
        <f t="shared" si="112"/>
        <v>210.50921443026692</v>
      </c>
      <c r="AA73" s="264">
        <f t="shared" si="112"/>
        <v>214.71939871887227</v>
      </c>
      <c r="AB73" s="264">
        <f t="shared" si="112"/>
        <v>219.01378669324973</v>
      </c>
      <c r="AC73" s="264">
        <f t="shared" si="112"/>
        <v>223.39406242711473</v>
      </c>
      <c r="AD73" s="264">
        <f t="shared" si="112"/>
        <v>227.86194367565705</v>
      </c>
      <c r="AE73" s="264">
        <f t="shared" si="112"/>
        <v>232.41918254917019</v>
      </c>
      <c r="AF73" s="264">
        <f t="shared" si="112"/>
        <v>237.06756620015361</v>
      </c>
      <c r="AG73" s="264">
        <f t="shared" si="112"/>
        <v>241.80891752415667</v>
      </c>
      <c r="AH73" s="264">
        <f t="shared" si="112"/>
        <v>246.64509587463979</v>
      </c>
      <c r="AI73" s="264">
        <f t="shared" si="66"/>
        <v>251.57799779213261</v>
      </c>
      <c r="AJ73" s="264">
        <f t="shared" si="67"/>
        <v>256.60955774797526</v>
      </c>
      <c r="AK73" s="12"/>
      <c r="AL73" s="12"/>
      <c r="AM73" s="12"/>
      <c r="AN73" s="12"/>
      <c r="AO73" s="12"/>
      <c r="AP73" s="12"/>
    </row>
    <row r="74" spans="1:42" x14ac:dyDescent="0.15">
      <c r="A74" s="528">
        <v>501100</v>
      </c>
      <c r="B74" s="456">
        <f t="shared" si="63"/>
        <v>0</v>
      </c>
      <c r="C74" s="507" t="s">
        <v>207</v>
      </c>
      <c r="D74" s="134">
        <f ca="1">OFFSET('IE SUMMARY'!D50,0,MoveCount)</f>
        <v>1826</v>
      </c>
      <c r="E74" s="264">
        <v>0</v>
      </c>
      <c r="F74" s="325">
        <f t="shared" si="104"/>
        <v>0</v>
      </c>
      <c r="G74" s="264">
        <f t="shared" ref="G74:AH74" si="113">F74*(1+GlobalInflation)</f>
        <v>0</v>
      </c>
      <c r="H74" s="264">
        <f t="shared" si="113"/>
        <v>0</v>
      </c>
      <c r="I74" s="264">
        <f t="shared" si="113"/>
        <v>0</v>
      </c>
      <c r="J74" s="264">
        <f t="shared" si="113"/>
        <v>0</v>
      </c>
      <c r="K74" s="264">
        <f t="shared" si="113"/>
        <v>0</v>
      </c>
      <c r="L74" s="264">
        <f t="shared" si="113"/>
        <v>0</v>
      </c>
      <c r="M74" s="264">
        <f t="shared" si="113"/>
        <v>0</v>
      </c>
      <c r="N74" s="264">
        <f t="shared" si="113"/>
        <v>0</v>
      </c>
      <c r="O74" s="264">
        <f t="shared" si="113"/>
        <v>0</v>
      </c>
      <c r="P74" s="264">
        <f t="shared" si="113"/>
        <v>0</v>
      </c>
      <c r="Q74" s="264">
        <f t="shared" si="113"/>
        <v>0</v>
      </c>
      <c r="R74" s="264">
        <f t="shared" si="113"/>
        <v>0</v>
      </c>
      <c r="S74" s="264">
        <f t="shared" si="113"/>
        <v>0</v>
      </c>
      <c r="T74" s="264">
        <f t="shared" si="113"/>
        <v>0</v>
      </c>
      <c r="U74" s="264">
        <f t="shared" si="113"/>
        <v>0</v>
      </c>
      <c r="V74" s="264">
        <f t="shared" si="113"/>
        <v>0</v>
      </c>
      <c r="W74" s="264">
        <f t="shared" si="113"/>
        <v>0</v>
      </c>
      <c r="X74" s="264">
        <f t="shared" si="113"/>
        <v>0</v>
      </c>
      <c r="Y74" s="264">
        <f t="shared" si="113"/>
        <v>0</v>
      </c>
      <c r="Z74" s="264">
        <f t="shared" si="113"/>
        <v>0</v>
      </c>
      <c r="AA74" s="264">
        <f t="shared" si="113"/>
        <v>0</v>
      </c>
      <c r="AB74" s="264">
        <f t="shared" si="113"/>
        <v>0</v>
      </c>
      <c r="AC74" s="264">
        <f t="shared" si="113"/>
        <v>0</v>
      </c>
      <c r="AD74" s="264">
        <f t="shared" si="113"/>
        <v>0</v>
      </c>
      <c r="AE74" s="264">
        <f t="shared" si="113"/>
        <v>0</v>
      </c>
      <c r="AF74" s="264">
        <f t="shared" si="113"/>
        <v>0</v>
      </c>
      <c r="AG74" s="264">
        <f t="shared" si="113"/>
        <v>0</v>
      </c>
      <c r="AH74" s="264">
        <f t="shared" si="113"/>
        <v>0</v>
      </c>
      <c r="AI74" s="264">
        <f t="shared" si="66"/>
        <v>0</v>
      </c>
      <c r="AJ74" s="264">
        <f t="shared" si="67"/>
        <v>0</v>
      </c>
      <c r="AK74" s="12"/>
      <c r="AL74" s="12"/>
      <c r="AM74" s="12"/>
      <c r="AN74" s="12"/>
      <c r="AO74" s="12"/>
      <c r="AP74" s="12"/>
    </row>
    <row r="75" spans="1:42" x14ac:dyDescent="0.15">
      <c r="A75" s="528">
        <v>506100</v>
      </c>
      <c r="B75" s="456">
        <f t="shared" si="63"/>
        <v>10.12396694214876</v>
      </c>
      <c r="C75" s="507" t="s">
        <v>208</v>
      </c>
      <c r="D75" s="134">
        <f ca="1">OFFSET('IE SUMMARY'!D51,0,MoveCount)</f>
        <v>0</v>
      </c>
      <c r="E75" s="264">
        <v>2450</v>
      </c>
      <c r="F75" s="325">
        <f>E75/12</f>
        <v>204.16666666666666</v>
      </c>
      <c r="G75" s="264">
        <f t="shared" ref="G75:AH75" si="114">F75*(1+GlobalInflation)</f>
        <v>208.25</v>
      </c>
      <c r="H75" s="264">
        <f t="shared" si="114"/>
        <v>212.41499999999999</v>
      </c>
      <c r="I75" s="264">
        <f t="shared" si="114"/>
        <v>216.66329999999999</v>
      </c>
      <c r="J75" s="264">
        <f t="shared" si="114"/>
        <v>220.996566</v>
      </c>
      <c r="K75" s="264">
        <f t="shared" si="114"/>
        <v>225.41649732000002</v>
      </c>
      <c r="L75" s="264">
        <f t="shared" si="114"/>
        <v>229.92482726640003</v>
      </c>
      <c r="M75" s="264">
        <f t="shared" si="114"/>
        <v>234.52332381172803</v>
      </c>
      <c r="N75" s="264">
        <f t="shared" si="114"/>
        <v>239.21379028796261</v>
      </c>
      <c r="O75" s="264">
        <f t="shared" si="114"/>
        <v>243.99806609372186</v>
      </c>
      <c r="P75" s="264">
        <f t="shared" si="114"/>
        <v>248.87802741559631</v>
      </c>
      <c r="Q75" s="264">
        <f t="shared" si="114"/>
        <v>253.85558796390825</v>
      </c>
      <c r="R75" s="264">
        <f t="shared" si="114"/>
        <v>258.93269972318643</v>
      </c>
      <c r="S75" s="264">
        <f t="shared" si="114"/>
        <v>264.11135371765016</v>
      </c>
      <c r="T75" s="264">
        <f t="shared" si="114"/>
        <v>269.39358079200315</v>
      </c>
      <c r="U75" s="264">
        <f t="shared" si="114"/>
        <v>274.78145240784323</v>
      </c>
      <c r="V75" s="264">
        <f t="shared" si="114"/>
        <v>280.27708145600008</v>
      </c>
      <c r="W75" s="264">
        <f t="shared" si="114"/>
        <v>285.88262308512009</v>
      </c>
      <c r="X75" s="264">
        <f t="shared" si="114"/>
        <v>291.6002755468225</v>
      </c>
      <c r="Y75" s="264">
        <f t="shared" si="114"/>
        <v>297.43228105775898</v>
      </c>
      <c r="Z75" s="264">
        <f t="shared" si="114"/>
        <v>303.38092667891419</v>
      </c>
      <c r="AA75" s="264">
        <f t="shared" si="114"/>
        <v>309.44854521249249</v>
      </c>
      <c r="AB75" s="264">
        <f t="shared" si="114"/>
        <v>315.63751611674235</v>
      </c>
      <c r="AC75" s="264">
        <f t="shared" si="114"/>
        <v>321.95026643907721</v>
      </c>
      <c r="AD75" s="264">
        <f t="shared" si="114"/>
        <v>328.38927176785876</v>
      </c>
      <c r="AE75" s="264">
        <f t="shared" si="114"/>
        <v>334.95705720321592</v>
      </c>
      <c r="AF75" s="264">
        <f t="shared" si="114"/>
        <v>341.65619834728022</v>
      </c>
      <c r="AG75" s="264">
        <f t="shared" si="114"/>
        <v>348.48932231422583</v>
      </c>
      <c r="AH75" s="264">
        <f t="shared" si="114"/>
        <v>355.45910876051033</v>
      </c>
      <c r="AI75" s="264">
        <f t="shared" si="66"/>
        <v>362.56829093572054</v>
      </c>
      <c r="AJ75" s="264">
        <f t="shared" si="67"/>
        <v>369.81965675443496</v>
      </c>
      <c r="AK75" s="12"/>
      <c r="AL75" s="12"/>
      <c r="AM75" s="12"/>
      <c r="AN75" s="12"/>
      <c r="AO75" s="12"/>
      <c r="AP75" s="12"/>
    </row>
    <row r="76" spans="1:42" x14ac:dyDescent="0.15">
      <c r="A76" s="528">
        <v>700400</v>
      </c>
      <c r="B76" s="456">
        <f t="shared" ca="1" si="63"/>
        <v>0</v>
      </c>
      <c r="C76" s="507" t="s">
        <v>209</v>
      </c>
      <c r="D76" s="134">
        <f ca="1">OFFSET('IE SUMMARY'!D52,0,MoveCount)</f>
        <v>0</v>
      </c>
      <c r="E76" s="264">
        <f ca="1">+D76*1.02</f>
        <v>0</v>
      </c>
      <c r="F76" s="325">
        <f ca="1">E76/12</f>
        <v>0</v>
      </c>
      <c r="G76" s="264">
        <f t="shared" ref="G76:AH76" ca="1" si="115">F76*(1+GlobalInflation)</f>
        <v>0</v>
      </c>
      <c r="H76" s="264">
        <f t="shared" ca="1" si="115"/>
        <v>0</v>
      </c>
      <c r="I76" s="264">
        <f t="shared" ca="1" si="115"/>
        <v>0</v>
      </c>
      <c r="J76" s="264">
        <f t="shared" ca="1" si="115"/>
        <v>0</v>
      </c>
      <c r="K76" s="264">
        <f t="shared" ca="1" si="115"/>
        <v>0</v>
      </c>
      <c r="L76" s="264">
        <f t="shared" ca="1" si="115"/>
        <v>0</v>
      </c>
      <c r="M76" s="264">
        <f t="shared" ca="1" si="115"/>
        <v>0</v>
      </c>
      <c r="N76" s="264">
        <f t="shared" ca="1" si="115"/>
        <v>0</v>
      </c>
      <c r="O76" s="264">
        <f t="shared" ca="1" si="115"/>
        <v>0</v>
      </c>
      <c r="P76" s="264">
        <f t="shared" ca="1" si="115"/>
        <v>0</v>
      </c>
      <c r="Q76" s="264">
        <f t="shared" ca="1" si="115"/>
        <v>0</v>
      </c>
      <c r="R76" s="264">
        <f t="shared" ca="1" si="115"/>
        <v>0</v>
      </c>
      <c r="S76" s="264">
        <f t="shared" ca="1" si="115"/>
        <v>0</v>
      </c>
      <c r="T76" s="264">
        <f t="shared" ca="1" si="115"/>
        <v>0</v>
      </c>
      <c r="U76" s="264">
        <f t="shared" ca="1" si="115"/>
        <v>0</v>
      </c>
      <c r="V76" s="264">
        <f t="shared" ca="1" si="115"/>
        <v>0</v>
      </c>
      <c r="W76" s="264">
        <f t="shared" ca="1" si="115"/>
        <v>0</v>
      </c>
      <c r="X76" s="264">
        <f t="shared" ca="1" si="115"/>
        <v>0</v>
      </c>
      <c r="Y76" s="264">
        <f t="shared" ca="1" si="115"/>
        <v>0</v>
      </c>
      <c r="Z76" s="264">
        <f t="shared" ca="1" si="115"/>
        <v>0</v>
      </c>
      <c r="AA76" s="264">
        <f t="shared" ca="1" si="115"/>
        <v>0</v>
      </c>
      <c r="AB76" s="264">
        <f t="shared" ca="1" si="115"/>
        <v>0</v>
      </c>
      <c r="AC76" s="264">
        <f t="shared" ca="1" si="115"/>
        <v>0</v>
      </c>
      <c r="AD76" s="264">
        <f t="shared" ca="1" si="115"/>
        <v>0</v>
      </c>
      <c r="AE76" s="264">
        <f t="shared" ca="1" si="115"/>
        <v>0</v>
      </c>
      <c r="AF76" s="264">
        <f t="shared" ca="1" si="115"/>
        <v>0</v>
      </c>
      <c r="AG76" s="264">
        <f t="shared" ca="1" si="115"/>
        <v>0</v>
      </c>
      <c r="AH76" s="264">
        <f t="shared" ca="1" si="115"/>
        <v>0</v>
      </c>
      <c r="AI76" s="264">
        <f t="shared" ca="1" si="66"/>
        <v>0</v>
      </c>
      <c r="AJ76" s="264">
        <f t="shared" ca="1" si="67"/>
        <v>0</v>
      </c>
      <c r="AK76" s="12"/>
      <c r="AL76" s="12"/>
      <c r="AM76" s="12"/>
      <c r="AN76" s="12"/>
      <c r="AO76" s="12"/>
      <c r="AP76" s="12"/>
    </row>
    <row r="77" spans="1:42" x14ac:dyDescent="0.15">
      <c r="A77" s="528">
        <v>506400</v>
      </c>
      <c r="B77" s="456">
        <f t="shared" si="63"/>
        <v>14.479338842975206</v>
      </c>
      <c r="C77" s="507" t="s">
        <v>210</v>
      </c>
      <c r="D77" s="134">
        <f ca="1">OFFSET('IE SUMMARY'!D53,0,MoveCount)</f>
        <v>1468</v>
      </c>
      <c r="E77" s="264">
        <f>12*(50+(1*NoOfSpaces))</f>
        <v>3504</v>
      </c>
      <c r="F77" s="325">
        <f>E77/12</f>
        <v>292</v>
      </c>
      <c r="G77" s="264">
        <f t="shared" ref="G77:AH77" si="116">F77*(1+GlobalInflation)</f>
        <v>297.84000000000003</v>
      </c>
      <c r="H77" s="264">
        <f t="shared" si="116"/>
        <v>303.79680000000002</v>
      </c>
      <c r="I77" s="264">
        <f t="shared" si="116"/>
        <v>309.87273600000003</v>
      </c>
      <c r="J77" s="264">
        <f t="shared" si="116"/>
        <v>316.07019072000003</v>
      </c>
      <c r="K77" s="264">
        <f t="shared" si="116"/>
        <v>322.39159453440004</v>
      </c>
      <c r="L77" s="264">
        <f t="shared" si="116"/>
        <v>328.83942642508805</v>
      </c>
      <c r="M77" s="264">
        <f t="shared" si="116"/>
        <v>335.41621495358982</v>
      </c>
      <c r="N77" s="264">
        <f t="shared" si="116"/>
        <v>342.12453925266163</v>
      </c>
      <c r="O77" s="264">
        <f t="shared" si="116"/>
        <v>348.96703003771489</v>
      </c>
      <c r="P77" s="264">
        <f t="shared" si="116"/>
        <v>355.9463706384692</v>
      </c>
      <c r="Q77" s="264">
        <f t="shared" si="116"/>
        <v>363.06529805123859</v>
      </c>
      <c r="R77" s="264">
        <f t="shared" si="116"/>
        <v>370.32660401226337</v>
      </c>
      <c r="S77" s="264">
        <f t="shared" si="116"/>
        <v>377.73313609250863</v>
      </c>
      <c r="T77" s="264">
        <f t="shared" si="116"/>
        <v>385.28779881435884</v>
      </c>
      <c r="U77" s="264">
        <f t="shared" si="116"/>
        <v>392.99355479064604</v>
      </c>
      <c r="V77" s="264">
        <f t="shared" si="116"/>
        <v>400.85342588645898</v>
      </c>
      <c r="W77" s="264">
        <f t="shared" si="116"/>
        <v>408.87049440418815</v>
      </c>
      <c r="X77" s="264">
        <f t="shared" si="116"/>
        <v>417.04790429227194</v>
      </c>
      <c r="Y77" s="264">
        <f t="shared" si="116"/>
        <v>425.38886237811738</v>
      </c>
      <c r="Z77" s="264">
        <f t="shared" si="116"/>
        <v>433.89663962567971</v>
      </c>
      <c r="AA77" s="264">
        <f t="shared" si="116"/>
        <v>442.57457241819333</v>
      </c>
      <c r="AB77" s="264">
        <f t="shared" si="116"/>
        <v>451.42606386655723</v>
      </c>
      <c r="AC77" s="264">
        <f t="shared" si="116"/>
        <v>460.45458514388838</v>
      </c>
      <c r="AD77" s="264">
        <f t="shared" si="116"/>
        <v>469.66367684676618</v>
      </c>
      <c r="AE77" s="264">
        <f t="shared" si="116"/>
        <v>479.05695038370152</v>
      </c>
      <c r="AF77" s="264">
        <f t="shared" si="116"/>
        <v>488.63808939137556</v>
      </c>
      <c r="AG77" s="264">
        <f t="shared" si="116"/>
        <v>498.41085117920306</v>
      </c>
      <c r="AH77" s="264">
        <f t="shared" si="116"/>
        <v>508.37906820278715</v>
      </c>
      <c r="AI77" s="264">
        <f t="shared" si="66"/>
        <v>518.54664956684292</v>
      </c>
      <c r="AJ77" s="264">
        <f t="shared" si="67"/>
        <v>528.91758255817979</v>
      </c>
      <c r="AK77" s="12"/>
      <c r="AL77" s="12"/>
      <c r="AM77" s="12"/>
      <c r="AN77" s="12"/>
      <c r="AO77" s="12"/>
      <c r="AP77" s="12"/>
    </row>
    <row r="78" spans="1:42" x14ac:dyDescent="0.15">
      <c r="A78" s="528">
        <v>560000</v>
      </c>
      <c r="B78" s="456">
        <f t="shared" si="63"/>
        <v>10.330578512396695</v>
      </c>
      <c r="C78" s="507" t="s">
        <v>211</v>
      </c>
      <c r="D78" s="134">
        <f ca="1">OFFSET('IE SUMMARY'!D54,0,MoveCount)</f>
        <v>26627</v>
      </c>
      <c r="E78" s="264">
        <v>2500</v>
      </c>
      <c r="F78" s="325">
        <f>E78/12</f>
        <v>208.33333333333334</v>
      </c>
      <c r="G78" s="264">
        <f t="shared" ref="G78:AH78" si="117">F78*(1+GlobalInflation)</f>
        <v>212.5</v>
      </c>
      <c r="H78" s="264">
        <f t="shared" si="117"/>
        <v>216.75</v>
      </c>
      <c r="I78" s="264">
        <f t="shared" si="117"/>
        <v>221.08500000000001</v>
      </c>
      <c r="J78" s="264">
        <f t="shared" si="117"/>
        <v>225.50670000000002</v>
      </c>
      <c r="K78" s="264">
        <f t="shared" si="117"/>
        <v>230.01683400000002</v>
      </c>
      <c r="L78" s="264">
        <f t="shared" si="117"/>
        <v>234.61717068000002</v>
      </c>
      <c r="M78" s="264">
        <f t="shared" si="117"/>
        <v>239.30951409360003</v>
      </c>
      <c r="N78" s="264">
        <f t="shared" si="117"/>
        <v>244.09570437547202</v>
      </c>
      <c r="O78" s="264">
        <f t="shared" si="117"/>
        <v>248.97761846298147</v>
      </c>
      <c r="P78" s="264">
        <f t="shared" si="117"/>
        <v>253.9571708322411</v>
      </c>
      <c r="Q78" s="264">
        <f t="shared" si="117"/>
        <v>259.03631424888596</v>
      </c>
      <c r="R78" s="264">
        <f t="shared" si="117"/>
        <v>264.21704053386367</v>
      </c>
      <c r="S78" s="264">
        <f t="shared" si="117"/>
        <v>269.50138134454096</v>
      </c>
      <c r="T78" s="264">
        <f t="shared" si="117"/>
        <v>274.89140897143176</v>
      </c>
      <c r="U78" s="264">
        <f t="shared" si="117"/>
        <v>280.38923715086042</v>
      </c>
      <c r="V78" s="264">
        <f t="shared" si="117"/>
        <v>285.99702189387762</v>
      </c>
      <c r="W78" s="264">
        <f t="shared" si="117"/>
        <v>291.71696233175516</v>
      </c>
      <c r="X78" s="264">
        <f t="shared" si="117"/>
        <v>297.55130157839028</v>
      </c>
      <c r="Y78" s="264">
        <f t="shared" si="117"/>
        <v>303.50232760995812</v>
      </c>
      <c r="Z78" s="264">
        <f t="shared" si="117"/>
        <v>309.5723741621573</v>
      </c>
      <c r="AA78" s="264">
        <f t="shared" si="117"/>
        <v>315.76382164540047</v>
      </c>
      <c r="AB78" s="264">
        <f t="shared" si="117"/>
        <v>322.0790980783085</v>
      </c>
      <c r="AC78" s="264">
        <f t="shared" si="117"/>
        <v>328.52068003987466</v>
      </c>
      <c r="AD78" s="264">
        <f t="shared" si="117"/>
        <v>335.09109364067217</v>
      </c>
      <c r="AE78" s="264">
        <f t="shared" si="117"/>
        <v>341.79291551348564</v>
      </c>
      <c r="AF78" s="264">
        <f t="shared" si="117"/>
        <v>348.62877382375535</v>
      </c>
      <c r="AG78" s="264">
        <f t="shared" si="117"/>
        <v>355.60134930023048</v>
      </c>
      <c r="AH78" s="264">
        <f t="shared" si="117"/>
        <v>362.71337628623507</v>
      </c>
      <c r="AI78" s="264">
        <f t="shared" si="66"/>
        <v>369.96764381195976</v>
      </c>
      <c r="AJ78" s="264">
        <f t="shared" si="67"/>
        <v>377.36699668819898</v>
      </c>
      <c r="AK78" s="12"/>
      <c r="AL78" s="12"/>
      <c r="AM78" s="12"/>
      <c r="AN78" s="12"/>
      <c r="AO78" s="12"/>
      <c r="AP78" s="12"/>
    </row>
    <row r="79" spans="1:42" x14ac:dyDescent="0.15">
      <c r="A79" s="528">
        <v>500000</v>
      </c>
      <c r="B79" s="456">
        <f t="shared" si="63"/>
        <v>174.04958677685951</v>
      </c>
      <c r="C79" s="507" t="str">
        <f>"Professional Mgmt ("&amp;TEXT(MgmtFeeLimit,"$0,0")&amp;"/mo or "&amp;TEXT(MgmtFee,"0.0%"&amp;")")</f>
        <v>Professional Mgmt ($2,000/mo or 5.0%)</v>
      </c>
      <c r="D79" s="134">
        <f ca="1">OFFSET('IE SUMMARY'!D55,0,MoveCount)</f>
        <v>125283</v>
      </c>
      <c r="E79" s="264">
        <f>F79*12</f>
        <v>42120</v>
      </c>
      <c r="F79" s="326">
        <f t="shared" ref="F79:AH79" si="118">IF(F53*MgmtFee&gt;MgmtFeeLimit,F53*MgmtFee,MgmtFeeLimit)</f>
        <v>3510</v>
      </c>
      <c r="G79" s="264">
        <f t="shared" si="118"/>
        <v>4972.5</v>
      </c>
      <c r="H79" s="264">
        <f t="shared" si="118"/>
        <v>6435</v>
      </c>
      <c r="I79" s="264">
        <f t="shared" si="118"/>
        <v>6984.362000000001</v>
      </c>
      <c r="J79" s="264">
        <f t="shared" si="118"/>
        <v>7254.5404800000006</v>
      </c>
      <c r="K79" s="264">
        <f t="shared" si="118"/>
        <v>7535.5260992000012</v>
      </c>
      <c r="L79" s="264">
        <f t="shared" si="118"/>
        <v>7827.7511431680023</v>
      </c>
      <c r="M79" s="264">
        <f t="shared" si="118"/>
        <v>8131.6651888947226</v>
      </c>
      <c r="N79" s="264">
        <f t="shared" si="118"/>
        <v>8447.7357964505118</v>
      </c>
      <c r="O79" s="264">
        <f t="shared" si="118"/>
        <v>8776.4492283085328</v>
      </c>
      <c r="P79" s="264">
        <f t="shared" si="118"/>
        <v>9118.311197440873</v>
      </c>
      <c r="Q79" s="264">
        <f t="shared" si="118"/>
        <v>9473.8476453385101</v>
      </c>
      <c r="R79" s="264">
        <f t="shared" si="118"/>
        <v>9843.6055511520499</v>
      </c>
      <c r="S79" s="264">
        <f t="shared" si="118"/>
        <v>10228.153773198133</v>
      </c>
      <c r="T79" s="264">
        <f t="shared" si="118"/>
        <v>10628.083924126058</v>
      </c>
      <c r="U79" s="264">
        <f t="shared" si="118"/>
        <v>11044.011281091101</v>
      </c>
      <c r="V79" s="264">
        <f t="shared" si="118"/>
        <v>11476.575732334746</v>
      </c>
      <c r="W79" s="264">
        <f t="shared" si="118"/>
        <v>11926.442761628137</v>
      </c>
      <c r="X79" s="264">
        <f t="shared" si="118"/>
        <v>12394.304472093261</v>
      </c>
      <c r="Y79" s="264">
        <f t="shared" si="118"/>
        <v>12880.880650976993</v>
      </c>
      <c r="Z79" s="264">
        <f t="shared" si="118"/>
        <v>13386.919877016073</v>
      </c>
      <c r="AA79" s="264">
        <f t="shared" si="118"/>
        <v>13913.200672096718</v>
      </c>
      <c r="AB79" s="264">
        <f t="shared" si="118"/>
        <v>14460.532698980589</v>
      </c>
      <c r="AC79" s="264">
        <f t="shared" si="118"/>
        <v>15029.75800693981</v>
      </c>
      <c r="AD79" s="264">
        <f t="shared" si="118"/>
        <v>15621.752327217404</v>
      </c>
      <c r="AE79" s="264">
        <f t="shared" si="118"/>
        <v>16237.426420306101</v>
      </c>
      <c r="AF79" s="264">
        <f t="shared" si="118"/>
        <v>16877.727477118344</v>
      </c>
      <c r="AG79" s="264">
        <f t="shared" si="118"/>
        <v>17543.640576203081</v>
      </c>
      <c r="AH79" s="264">
        <f t="shared" si="118"/>
        <v>18236.190199251203</v>
      </c>
      <c r="AI79" s="264">
        <f t="shared" ref="AI79:AJ79" si="119">IF(AI53*MgmtFee&gt;MgmtFeeLimit,AI53*MgmtFee,MgmtFeeLimit)</f>
        <v>18956.441807221254</v>
      </c>
      <c r="AJ79" s="264">
        <f t="shared" si="119"/>
        <v>19705.503479510106</v>
      </c>
      <c r="AK79" s="12"/>
      <c r="AL79" s="12"/>
      <c r="AM79" s="12"/>
      <c r="AN79" s="12"/>
      <c r="AO79" s="12"/>
      <c r="AP79" s="12"/>
    </row>
    <row r="80" spans="1:42" ht="14" thickBot="1" x14ac:dyDescent="0.2">
      <c r="A80" s="504"/>
      <c r="B80" s="592">
        <f t="shared" ca="1" si="63"/>
        <v>206.63129820936638</v>
      </c>
      <c r="C80" s="588" t="s">
        <v>212</v>
      </c>
      <c r="D80" s="589">
        <f ca="1">SUM(D56:D79)/12</f>
        <v>61463.166666666664</v>
      </c>
      <c r="E80" s="590">
        <f ca="1">F80</f>
        <v>50004.774166666662</v>
      </c>
      <c r="F80" s="594">
        <f t="shared" ref="F80:AH80" ca="1" si="120">SUM(F56:F79)</f>
        <v>50004.774166666662</v>
      </c>
      <c r="G80" s="594">
        <f t="shared" ca="1" si="120"/>
        <v>52397.169649999989</v>
      </c>
      <c r="H80" s="594">
        <f t="shared" ca="1" si="120"/>
        <v>54808.163042999993</v>
      </c>
      <c r="I80" s="594">
        <f t="shared" ca="1" si="120"/>
        <v>56324.988303859987</v>
      </c>
      <c r="J80" s="594">
        <f t="shared" ca="1" si="120"/>
        <v>57581.979309937211</v>
      </c>
      <c r="K80" s="594">
        <f t="shared" ca="1" si="120"/>
        <v>58869.513705735961</v>
      </c>
      <c r="L80" s="594">
        <f t="shared" ca="1" si="120"/>
        <v>60188.418501834691</v>
      </c>
      <c r="M80" s="594">
        <f t="shared" ca="1" si="120"/>
        <v>61539.545894734722</v>
      </c>
      <c r="N80" s="594">
        <f t="shared" ca="1" si="120"/>
        <v>62923.774116407323</v>
      </c>
      <c r="O80" s="594">
        <f t="shared" ca="1" si="120"/>
        <v>64342.008314664483</v>
      </c>
      <c r="P80" s="594">
        <f t="shared" ca="1" si="120"/>
        <v>65795.181465523929</v>
      </c>
      <c r="Q80" s="594">
        <f t="shared" ca="1" si="120"/>
        <v>67284.255318783238</v>
      </c>
      <c r="R80" s="594">
        <f t="shared" ca="1" si="120"/>
        <v>68810.22137806566</v>
      </c>
      <c r="S80" s="594">
        <f t="shared" ca="1" si="120"/>
        <v>70374.101916650034</v>
      </c>
      <c r="T80" s="594">
        <f t="shared" ca="1" si="120"/>
        <v>71976.951030446988</v>
      </c>
      <c r="U80" s="594">
        <f t="shared" ca="1" si="120"/>
        <v>73619.855729538453</v>
      </c>
      <c r="V80" s="594">
        <f t="shared" ca="1" si="120"/>
        <v>75303.937069751046</v>
      </c>
      <c r="W80" s="594">
        <f t="shared" ca="1" si="120"/>
        <v>77030.351325792755</v>
      </c>
      <c r="X80" s="594">
        <f t="shared" ca="1" si="120"/>
        <v>78800.291207541173</v>
      </c>
      <c r="Y80" s="594">
        <f t="shared" ca="1" si="120"/>
        <v>80614.987121133861</v>
      </c>
      <c r="Z80" s="594">
        <f t="shared" ca="1" si="120"/>
        <v>82475.708476576081</v>
      </c>
      <c r="AA80" s="594">
        <f t="shared" ca="1" si="120"/>
        <v>84383.765043647931</v>
      </c>
      <c r="AB80" s="594">
        <f t="shared" ca="1" si="120"/>
        <v>86340.508357962826</v>
      </c>
      <c r="AC80" s="594">
        <f t="shared" ca="1" si="120"/>
        <v>88347.333179101697</v>
      </c>
      <c r="AD80" s="594">
        <f t="shared" ca="1" si="120"/>
        <v>90405.679002822537</v>
      </c>
      <c r="AE80" s="594">
        <f t="shared" ca="1" si="120"/>
        <v>92517.031629423334</v>
      </c>
      <c r="AF80" s="594">
        <f t="shared" ca="1" si="120"/>
        <v>94682.924790417921</v>
      </c>
      <c r="AG80" s="594">
        <f t="shared" ca="1" si="120"/>
        <v>96904.941835768652</v>
      </c>
      <c r="AH80" s="594">
        <f t="shared" ca="1" si="120"/>
        <v>99184.717484008099</v>
      </c>
      <c r="AI80" s="594">
        <f t="shared" ref="AI80:AJ80" ca="1" si="121">SUM(AI56:AI79)</f>
        <v>101523.93963767329</v>
      </c>
      <c r="AJ80" s="594">
        <f t="shared" ca="1" si="121"/>
        <v>103924.35126657119</v>
      </c>
      <c r="AK80" s="504"/>
      <c r="AL80" s="504"/>
      <c r="AM80" s="504"/>
      <c r="AN80" s="504"/>
      <c r="AO80" s="504"/>
      <c r="AP80" s="504"/>
    </row>
    <row r="81" spans="2:78" ht="14" thickTop="1" x14ac:dyDescent="0.15">
      <c r="C81" s="14"/>
      <c r="D81" s="275" t="str">
        <f ca="1">TEXT(SUM(D56:D79),"0,0")&amp;"  ("&amp;TEXT((SUM(D56:D79)/D52),"0%")&amp;")"</f>
        <v>737,558  (43%)</v>
      </c>
      <c r="E81" s="324">
        <f ca="1">E80*12</f>
        <v>600057.28999999992</v>
      </c>
      <c r="F81" s="286" t="str">
        <f t="shared" ref="F81:K81" ca="1" si="122">"Ratio= "&amp;TEXT(F80/F53,"0%")</f>
        <v>Ratio= 71%</v>
      </c>
      <c r="G81" s="286" t="str">
        <f t="shared" ca="1" si="122"/>
        <v>Ratio= 53%</v>
      </c>
      <c r="H81" s="286" t="str">
        <f t="shared" ca="1" si="122"/>
        <v>Ratio= 43%</v>
      </c>
      <c r="I81" s="286" t="str">
        <f t="shared" ca="1" si="122"/>
        <v>Ratio= 40%</v>
      </c>
      <c r="J81" s="286" t="str">
        <f t="shared" ca="1" si="122"/>
        <v>Ratio= 40%</v>
      </c>
      <c r="K81" s="286" t="str">
        <f t="shared" ca="1" si="122"/>
        <v>Ratio= 39%</v>
      </c>
      <c r="L81" s="327"/>
      <c r="M81" s="504"/>
      <c r="N81" s="504"/>
      <c r="O81" s="504"/>
      <c r="P81" s="504"/>
      <c r="Q81" s="504"/>
      <c r="R81" s="504"/>
      <c r="S81" s="504"/>
      <c r="T81" s="504"/>
      <c r="U81" s="504"/>
      <c r="V81" s="504"/>
      <c r="W81" s="504"/>
      <c r="X81" s="504"/>
      <c r="Y81" s="504"/>
      <c r="Z81" s="504"/>
      <c r="AA81" s="504"/>
      <c r="AB81" s="504"/>
      <c r="AC81" s="504"/>
      <c r="AD81" s="504"/>
      <c r="AE81" s="504"/>
      <c r="AF81" s="504"/>
      <c r="AG81" s="504"/>
      <c r="AH81" s="504"/>
      <c r="AI81" s="504"/>
      <c r="AJ81" s="504"/>
      <c r="AK81" s="504"/>
      <c r="AL81" s="504"/>
      <c r="AM81" s="504"/>
      <c r="AN81" s="504"/>
      <c r="AO81" s="504"/>
      <c r="AP81" s="504"/>
      <c r="AQ81" s="504"/>
      <c r="AR81" s="504"/>
      <c r="AS81" s="504"/>
      <c r="AT81" s="504"/>
      <c r="AU81" s="504"/>
      <c r="AV81" s="504"/>
      <c r="AW81" s="504"/>
      <c r="AX81" s="504"/>
      <c r="AY81" s="504"/>
      <c r="AZ81" s="504"/>
      <c r="BA81" s="504"/>
      <c r="BB81" s="504"/>
      <c r="BC81" s="504"/>
      <c r="BD81" s="504"/>
      <c r="BE81" s="504"/>
      <c r="BF81" s="504"/>
      <c r="BG81" s="504"/>
      <c r="BH81" s="504"/>
      <c r="BI81" s="504"/>
      <c r="BJ81" s="504"/>
      <c r="BK81" s="504"/>
      <c r="BL81" s="504"/>
      <c r="BM81" s="504"/>
      <c r="BN81" s="504"/>
      <c r="BO81" s="504"/>
      <c r="BP81" s="504"/>
      <c r="BQ81" s="504"/>
      <c r="BR81" s="504"/>
      <c r="BS81" s="504"/>
      <c r="BT81" s="504"/>
      <c r="BU81" s="504"/>
      <c r="BV81" s="504"/>
      <c r="BW81" s="504"/>
      <c r="BX81" s="504"/>
      <c r="BY81" s="504"/>
      <c r="BZ81" s="504"/>
    </row>
    <row r="82" spans="2:78" ht="6.75" customHeight="1" x14ac:dyDescent="0.15">
      <c r="C82" s="14"/>
      <c r="D82" s="139"/>
      <c r="E82" s="322"/>
      <c r="F82" s="328"/>
      <c r="G82" s="328"/>
      <c r="H82" s="328"/>
      <c r="I82" s="328"/>
      <c r="J82" s="328"/>
      <c r="K82" s="504"/>
      <c r="L82" s="327"/>
      <c r="M82" s="504"/>
      <c r="N82" s="504"/>
      <c r="O82" s="504"/>
      <c r="P82" s="504"/>
      <c r="Q82" s="504"/>
      <c r="R82" s="504"/>
      <c r="S82" s="504"/>
      <c r="T82" s="504"/>
      <c r="U82" s="504"/>
      <c r="V82" s="504"/>
      <c r="W82" s="504"/>
      <c r="X82" s="504"/>
      <c r="Y82" s="504"/>
      <c r="Z82" s="504"/>
      <c r="AA82" s="504"/>
      <c r="AB82" s="504"/>
      <c r="AC82" s="504"/>
      <c r="AD82" s="504"/>
      <c r="AE82" s="504"/>
      <c r="AF82" s="504"/>
      <c r="AG82" s="504"/>
      <c r="AH82" s="504"/>
      <c r="AI82" s="504"/>
      <c r="AJ82" s="504"/>
      <c r="AK82" s="504"/>
      <c r="AL82" s="504"/>
      <c r="AM82" s="504"/>
      <c r="AN82" s="504"/>
      <c r="AO82" s="504"/>
      <c r="AP82" s="504"/>
      <c r="AQ82" s="504"/>
      <c r="AR82" s="504"/>
      <c r="AS82" s="504"/>
      <c r="AT82" s="504"/>
      <c r="AU82" s="504"/>
      <c r="AV82" s="504"/>
      <c r="AW82" s="504"/>
      <c r="AX82" s="504"/>
      <c r="AY82" s="504"/>
      <c r="AZ82" s="504"/>
      <c r="BA82" s="504"/>
      <c r="BB82" s="504"/>
      <c r="BC82" s="504"/>
      <c r="BD82" s="504"/>
      <c r="BE82" s="504"/>
      <c r="BF82" s="504"/>
      <c r="BG82" s="504"/>
      <c r="BH82" s="504"/>
      <c r="BI82" s="504"/>
      <c r="BJ82" s="504"/>
      <c r="BK82" s="504"/>
      <c r="BL82" s="504"/>
      <c r="BM82" s="504"/>
      <c r="BN82" s="504"/>
      <c r="BO82" s="504"/>
      <c r="BP82" s="504"/>
      <c r="BQ82" s="504"/>
      <c r="BR82" s="504"/>
      <c r="BS82" s="504"/>
      <c r="BT82" s="504"/>
      <c r="BU82" s="504"/>
      <c r="BV82" s="504"/>
      <c r="BW82" s="504"/>
      <c r="BX82" s="504"/>
      <c r="BY82" s="504"/>
      <c r="BZ82" s="504"/>
    </row>
    <row r="83" spans="2:78" x14ac:dyDescent="0.15">
      <c r="C83" s="11" t="s">
        <v>213</v>
      </c>
      <c r="D83" s="133">
        <f ca="1">(D53)-D80</f>
        <v>80106.833333333343</v>
      </c>
      <c r="E83" s="322">
        <f t="shared" ref="E83:AH83" ca="1" si="123">E53-E80</f>
        <v>20195.225833333338</v>
      </c>
      <c r="F83" s="264">
        <f t="shared" ca="1" si="123"/>
        <v>20195.225833333338</v>
      </c>
      <c r="G83" s="264">
        <f t="shared" ca="1" si="123"/>
        <v>47052.830350000011</v>
      </c>
      <c r="H83" s="264">
        <f t="shared" ca="1" si="123"/>
        <v>73891.836957000007</v>
      </c>
      <c r="I83" s="264">
        <f t="shared" ca="1" si="123"/>
        <v>83362.25169614004</v>
      </c>
      <c r="J83" s="264">
        <f t="shared" ca="1" si="123"/>
        <v>87508.83029006279</v>
      </c>
      <c r="K83" s="264">
        <f t="shared" ca="1" si="123"/>
        <v>91841.008278264053</v>
      </c>
      <c r="L83" s="264">
        <f t="shared" ca="1" si="123"/>
        <v>96366.604361525344</v>
      </c>
      <c r="M83" s="264">
        <f t="shared" ca="1" si="123"/>
        <v>101093.75788315972</v>
      </c>
      <c r="N83" s="264">
        <f t="shared" ca="1" si="123"/>
        <v>106030.94181260292</v>
      </c>
      <c r="O83" s="264">
        <f t="shared" ca="1" si="123"/>
        <v>111186.97625150619</v>
      </c>
      <c r="P83" s="264">
        <f t="shared" ca="1" si="123"/>
        <v>116571.04248329354</v>
      </c>
      <c r="Q83" s="264">
        <f t="shared" ca="1" si="123"/>
        <v>122192.69758798696</v>
      </c>
      <c r="R83" s="264">
        <f t="shared" ca="1" si="123"/>
        <v>128061.88964497532</v>
      </c>
      <c r="S83" s="264">
        <f t="shared" ca="1" si="123"/>
        <v>134188.97354731261</v>
      </c>
      <c r="T83" s="264">
        <f t="shared" ca="1" si="123"/>
        <v>140584.72745207418</v>
      </c>
      <c r="U83" s="264">
        <f t="shared" ca="1" si="123"/>
        <v>147260.36989228358</v>
      </c>
      <c r="V83" s="264">
        <f t="shared" ca="1" si="123"/>
        <v>154227.57757694385</v>
      </c>
      <c r="W83" s="264">
        <f t="shared" ca="1" si="123"/>
        <v>161498.50390676997</v>
      </c>
      <c r="X83" s="264">
        <f t="shared" ca="1" si="123"/>
        <v>169085.79823432403</v>
      </c>
      <c r="Y83" s="264">
        <f t="shared" ca="1" si="123"/>
        <v>177002.625898406</v>
      </c>
      <c r="Z83" s="264">
        <f t="shared" ca="1" si="123"/>
        <v>185262.68906374538</v>
      </c>
      <c r="AA83" s="264">
        <f t="shared" ca="1" si="123"/>
        <v>193880.24839828644</v>
      </c>
      <c r="AB83" s="264">
        <f t="shared" ca="1" si="123"/>
        <v>202870.14562164893</v>
      </c>
      <c r="AC83" s="264">
        <f t="shared" ca="1" si="123"/>
        <v>212247.8269596945</v>
      </c>
      <c r="AD83" s="264">
        <f t="shared" ca="1" si="123"/>
        <v>222029.36754152551</v>
      </c>
      <c r="AE83" s="264">
        <f t="shared" ca="1" si="123"/>
        <v>232231.49677669868</v>
      </c>
      <c r="AF83" s="264">
        <f t="shared" ca="1" si="123"/>
        <v>242871.62475194896</v>
      </c>
      <c r="AG83" s="264">
        <f t="shared" ca="1" si="123"/>
        <v>253967.86968829297</v>
      </c>
      <c r="AH83" s="264">
        <f t="shared" ca="1" si="123"/>
        <v>265539.08650101593</v>
      </c>
      <c r="AI83" s="264">
        <f t="shared" ref="AI83:AJ83" ca="1" si="124">AI53-AI80</f>
        <v>277604.89650675177</v>
      </c>
      <c r="AJ83" s="264">
        <f t="shared" ca="1" si="124"/>
        <v>290185.71832363086</v>
      </c>
      <c r="AK83" s="534"/>
      <c r="AL83" s="534"/>
      <c r="AM83" s="534"/>
      <c r="AN83" s="534"/>
      <c r="AO83" s="534"/>
      <c r="AP83" s="534"/>
      <c r="AQ83" s="534"/>
      <c r="AR83" s="534"/>
      <c r="AS83" s="534"/>
      <c r="AT83" s="534"/>
      <c r="AU83" s="534"/>
      <c r="AV83" s="534"/>
      <c r="AW83" s="534"/>
      <c r="AX83" s="534"/>
      <c r="AY83" s="534"/>
      <c r="AZ83" s="534"/>
      <c r="BA83" s="534"/>
      <c r="BB83" s="534"/>
      <c r="BC83" s="534"/>
      <c r="BD83" s="534"/>
      <c r="BE83" s="534"/>
      <c r="BF83" s="534"/>
      <c r="BG83" s="534"/>
      <c r="BH83" s="534"/>
      <c r="BI83" s="534"/>
      <c r="BJ83" s="534"/>
      <c r="BK83" s="534"/>
      <c r="BL83" s="534"/>
      <c r="BM83" s="534"/>
      <c r="BN83" s="534"/>
      <c r="BO83" s="534"/>
      <c r="BP83" s="534"/>
      <c r="BQ83" s="534"/>
      <c r="BR83" s="534"/>
      <c r="BS83" s="534"/>
      <c r="BT83" s="534"/>
      <c r="BU83" s="534"/>
      <c r="BV83" s="534"/>
      <c r="BW83" s="534"/>
      <c r="BX83" s="534"/>
      <c r="BY83" s="534"/>
      <c r="BZ83" s="534"/>
    </row>
    <row r="84" spans="2:78" ht="4.5" customHeight="1" x14ac:dyDescent="0.15">
      <c r="C84" s="504"/>
      <c r="D84" s="133"/>
      <c r="E84" s="329"/>
      <c r="F84" s="264"/>
      <c r="G84" s="264"/>
      <c r="H84" s="264"/>
      <c r="I84" s="264"/>
      <c r="J84" s="264"/>
      <c r="K84" s="264"/>
      <c r="L84" s="264"/>
      <c r="M84" s="264"/>
      <c r="N84" s="264"/>
      <c r="O84" s="264"/>
      <c r="P84" s="264"/>
      <c r="Q84" s="264"/>
      <c r="R84" s="264"/>
      <c r="S84" s="264"/>
      <c r="T84" s="264"/>
      <c r="U84" s="264"/>
      <c r="V84" s="264"/>
      <c r="W84" s="264"/>
      <c r="X84" s="264"/>
      <c r="Y84" s="264"/>
      <c r="Z84" s="264"/>
      <c r="AA84" s="264"/>
      <c r="AB84" s="264"/>
      <c r="AC84" s="264"/>
      <c r="AD84" s="264"/>
      <c r="AE84" s="264"/>
      <c r="AF84" s="264"/>
      <c r="AG84" s="264"/>
      <c r="AH84" s="264"/>
      <c r="AI84" s="264"/>
      <c r="AJ84" s="264"/>
      <c r="AK84" s="534"/>
      <c r="AL84" s="534"/>
      <c r="AM84" s="534"/>
      <c r="AN84" s="534"/>
      <c r="AO84" s="534"/>
      <c r="AP84" s="534"/>
      <c r="AQ84" s="534"/>
      <c r="AR84" s="534"/>
      <c r="AS84" s="534"/>
      <c r="AT84" s="534"/>
      <c r="AU84" s="534"/>
      <c r="AV84" s="534"/>
      <c r="AW84" s="534"/>
      <c r="AX84" s="534"/>
      <c r="AY84" s="534"/>
      <c r="AZ84" s="534"/>
      <c r="BA84" s="534"/>
      <c r="BB84" s="534"/>
      <c r="BC84" s="534"/>
      <c r="BD84" s="534"/>
      <c r="BE84" s="534"/>
      <c r="BF84" s="534"/>
      <c r="BG84" s="534"/>
      <c r="BH84" s="534"/>
      <c r="BI84" s="534"/>
      <c r="BJ84" s="534"/>
      <c r="BK84" s="534"/>
      <c r="BL84" s="534"/>
      <c r="BM84" s="534"/>
      <c r="BN84" s="534"/>
      <c r="BO84" s="534"/>
      <c r="BP84" s="534"/>
      <c r="BQ84" s="534"/>
      <c r="BR84" s="534"/>
      <c r="BS84" s="534"/>
      <c r="BT84" s="534"/>
      <c r="BU84" s="534"/>
      <c r="BV84" s="534"/>
      <c r="BW84" s="534"/>
      <c r="BX84" s="534"/>
      <c r="BY84" s="534"/>
      <c r="BZ84" s="534"/>
    </row>
    <row r="85" spans="2:78" ht="14" thickBot="1" x14ac:dyDescent="0.2">
      <c r="B85" s="592">
        <f ca="1">E85/NoOfSpaces</f>
        <v>1001.4161570247936</v>
      </c>
      <c r="C85" s="579" t="s">
        <v>214</v>
      </c>
      <c r="D85" s="595">
        <f t="shared" ref="D85:AH85" ca="1" si="125">D83*12</f>
        <v>961282.00000000012</v>
      </c>
      <c r="E85" s="596">
        <f t="shared" ca="1" si="125"/>
        <v>242342.71000000005</v>
      </c>
      <c r="F85" s="597">
        <f t="shared" ca="1" si="125"/>
        <v>242342.71000000005</v>
      </c>
      <c r="G85" s="597">
        <f t="shared" ca="1" si="125"/>
        <v>564633.96420000016</v>
      </c>
      <c r="H85" s="597">
        <f t="shared" ca="1" si="125"/>
        <v>886702.04348400002</v>
      </c>
      <c r="I85" s="597">
        <f t="shared" ca="1" si="125"/>
        <v>1000347.0203536805</v>
      </c>
      <c r="J85" s="597">
        <f t="shared" ca="1" si="125"/>
        <v>1050105.9634807534</v>
      </c>
      <c r="K85" s="597">
        <f t="shared" ca="1" si="125"/>
        <v>1102092.0993391685</v>
      </c>
      <c r="L85" s="597">
        <f t="shared" ca="1" si="125"/>
        <v>1156399.2523383042</v>
      </c>
      <c r="M85" s="597">
        <f t="shared" ca="1" si="125"/>
        <v>1213125.0945979166</v>
      </c>
      <c r="N85" s="597">
        <f t="shared" ca="1" si="125"/>
        <v>1272371.301751235</v>
      </c>
      <c r="O85" s="597">
        <f t="shared" ca="1" si="125"/>
        <v>1334243.7150180743</v>
      </c>
      <c r="P85" s="597">
        <f t="shared" ca="1" si="125"/>
        <v>1398852.5097995223</v>
      </c>
      <c r="Q85" s="597">
        <f t="shared" ca="1" si="125"/>
        <v>1466312.3710558435</v>
      </c>
      <c r="R85" s="597">
        <f t="shared" ca="1" si="125"/>
        <v>1536742.6757397039</v>
      </c>
      <c r="S85" s="597">
        <f t="shared" ca="1" si="125"/>
        <v>1610267.6825677513</v>
      </c>
      <c r="T85" s="597">
        <f t="shared" ca="1" si="125"/>
        <v>1687016.7294248901</v>
      </c>
      <c r="U85" s="597">
        <f t="shared" ca="1" si="125"/>
        <v>1767124.4387074029</v>
      </c>
      <c r="V85" s="597">
        <f t="shared" ca="1" si="125"/>
        <v>1850730.9309233262</v>
      </c>
      <c r="W85" s="597">
        <f t="shared" ca="1" si="125"/>
        <v>1937982.0468812396</v>
      </c>
      <c r="X85" s="597">
        <f t="shared" ca="1" si="125"/>
        <v>2029029.5788118884</v>
      </c>
      <c r="Y85" s="597">
        <f t="shared" ca="1" si="125"/>
        <v>2124031.5107808718</v>
      </c>
      <c r="Z85" s="597">
        <f t="shared" ca="1" si="125"/>
        <v>2223152.2687649447</v>
      </c>
      <c r="AA85" s="597">
        <f t="shared" ca="1" si="125"/>
        <v>2326562.9807794373</v>
      </c>
      <c r="AB85" s="597">
        <f t="shared" ca="1" si="125"/>
        <v>2434441.7474597869</v>
      </c>
      <c r="AC85" s="597">
        <f t="shared" ca="1" si="125"/>
        <v>2546973.923516334</v>
      </c>
      <c r="AD85" s="597">
        <f t="shared" ca="1" si="125"/>
        <v>2664352.4104983062</v>
      </c>
      <c r="AE85" s="597">
        <f t="shared" ca="1" si="125"/>
        <v>2786777.9613203844</v>
      </c>
      <c r="AF85" s="597">
        <f t="shared" ca="1" si="125"/>
        <v>2914459.4970233873</v>
      </c>
      <c r="AG85" s="597">
        <f t="shared" ca="1" si="125"/>
        <v>3047614.4362595156</v>
      </c>
      <c r="AH85" s="597">
        <f t="shared" ca="1" si="125"/>
        <v>3186469.0380121912</v>
      </c>
      <c r="AI85" s="597">
        <f t="shared" ref="AI85:AJ85" ca="1" si="126">AI83*12</f>
        <v>3331258.7580810213</v>
      </c>
      <c r="AJ85" s="597">
        <f t="shared" ca="1" si="126"/>
        <v>3482228.6198835704</v>
      </c>
      <c r="AK85" s="534"/>
      <c r="AL85" s="534"/>
      <c r="AM85" s="534"/>
      <c r="AN85" s="534"/>
      <c r="AO85" s="534"/>
      <c r="AP85" s="534"/>
      <c r="AQ85" s="534"/>
      <c r="AR85" s="534"/>
      <c r="AS85" s="534"/>
      <c r="AT85" s="534"/>
      <c r="AU85" s="534"/>
      <c r="AV85" s="534"/>
      <c r="AW85" s="534"/>
      <c r="AX85" s="534"/>
      <c r="AY85" s="534"/>
      <c r="AZ85" s="534"/>
      <c r="BA85" s="534"/>
      <c r="BB85" s="534"/>
      <c r="BC85" s="534"/>
      <c r="BD85" s="534"/>
      <c r="BE85" s="534"/>
      <c r="BF85" s="534"/>
      <c r="BG85" s="534"/>
      <c r="BH85" s="534"/>
      <c r="BI85" s="534"/>
      <c r="BJ85" s="534"/>
      <c r="BK85" s="534"/>
      <c r="BL85" s="534"/>
      <c r="BM85" s="534"/>
      <c r="BN85" s="534"/>
      <c r="BO85" s="534"/>
      <c r="BP85" s="534"/>
      <c r="BQ85" s="534"/>
      <c r="BR85" s="534"/>
      <c r="BS85" s="534"/>
      <c r="BT85" s="534"/>
      <c r="BU85" s="534"/>
      <c r="BV85" s="534"/>
      <c r="BW85" s="534"/>
      <c r="BX85" s="534"/>
      <c r="BY85" s="534"/>
      <c r="BZ85" s="534"/>
    </row>
    <row r="86" spans="2:78" ht="14" thickTop="1" x14ac:dyDescent="0.15">
      <c r="C86" s="752">
        <f ca="1">F85-I85</f>
        <v>-758004.3103536804</v>
      </c>
      <c r="D86" s="504"/>
      <c r="E86" s="504"/>
      <c r="F86" s="270"/>
      <c r="G86" s="16"/>
      <c r="H86" s="16"/>
      <c r="I86" s="16"/>
      <c r="J86" s="16"/>
      <c r="K86" s="16"/>
      <c r="L86" s="16"/>
      <c r="M86" s="16"/>
      <c r="N86" s="16"/>
      <c r="O86" s="16"/>
      <c r="P86" s="16"/>
      <c r="Q86" s="16"/>
      <c r="R86" s="16"/>
      <c r="S86" s="534"/>
      <c r="T86" s="534"/>
      <c r="U86" s="534"/>
      <c r="V86" s="534"/>
      <c r="W86" s="534"/>
      <c r="X86" s="534"/>
      <c r="Y86" s="534"/>
      <c r="Z86" s="534"/>
      <c r="AA86" s="534"/>
      <c r="AB86" s="534"/>
      <c r="AC86" s="534"/>
      <c r="AD86" s="534"/>
      <c r="AE86" s="534"/>
      <c r="AF86" s="534"/>
      <c r="AG86" s="534"/>
      <c r="AH86" s="534"/>
      <c r="AI86" s="534"/>
      <c r="AJ86" s="534"/>
      <c r="AK86" s="534"/>
      <c r="AL86" s="534"/>
      <c r="AM86" s="534"/>
      <c r="AN86" s="534"/>
      <c r="AO86" s="534"/>
      <c r="AP86" s="534"/>
      <c r="AQ86" s="534"/>
      <c r="AR86" s="534"/>
      <c r="AS86" s="534"/>
      <c r="AT86" s="534"/>
      <c r="AU86" s="534"/>
      <c r="AV86" s="534"/>
      <c r="AW86" s="534"/>
      <c r="AX86" s="534"/>
      <c r="AY86" s="534"/>
      <c r="AZ86" s="534"/>
      <c r="BA86" s="534"/>
      <c r="BB86" s="534"/>
      <c r="BC86" s="534"/>
      <c r="BD86" s="534"/>
      <c r="BE86" s="534"/>
      <c r="BF86" s="534"/>
      <c r="BG86" s="534"/>
      <c r="BH86" s="534"/>
      <c r="BI86" s="534"/>
      <c r="BJ86" s="534"/>
      <c r="BK86" s="534"/>
      <c r="BL86" s="534"/>
      <c r="BM86" s="534"/>
      <c r="BN86" s="534"/>
      <c r="BO86" s="534"/>
      <c r="BP86" s="534"/>
      <c r="BQ86" s="534"/>
      <c r="BR86" s="534"/>
      <c r="BS86" s="534"/>
      <c r="BT86" s="534"/>
      <c r="BU86" s="534"/>
      <c r="BV86" s="534"/>
      <c r="BW86" s="534"/>
      <c r="BX86" s="534"/>
      <c r="BY86" s="534"/>
      <c r="BZ86" s="534"/>
    </row>
    <row r="87" spans="2:78" x14ac:dyDescent="0.15">
      <c r="C87" s="14"/>
      <c r="D87" s="504"/>
      <c r="E87" s="315" t="s">
        <v>215</v>
      </c>
      <c r="F87" s="311">
        <f t="shared" ref="F87:M87" ca="1" si="127">+F85/$D$6</f>
        <v>2.3190689952153114E-2</v>
      </c>
      <c r="G87" s="311">
        <f t="shared" ca="1" si="127"/>
        <v>5.4031958296650737E-2</v>
      </c>
      <c r="H87" s="311">
        <f t="shared" ca="1" si="127"/>
        <v>8.485187018985646E-2</v>
      </c>
      <c r="I87" s="311">
        <f t="shared" ca="1" si="127"/>
        <v>9.572698759365364E-2</v>
      </c>
      <c r="J87" s="311">
        <f t="shared" ca="1" si="127"/>
        <v>0.10048860894552664</v>
      </c>
      <c r="K87" s="311">
        <f t="shared" ca="1" si="127"/>
        <v>0.10546335878843718</v>
      </c>
      <c r="L87" s="311">
        <f t="shared" ca="1" si="127"/>
        <v>0.11066021553476595</v>
      </c>
      <c r="M87" s="311">
        <f t="shared" ca="1" si="127"/>
        <v>0.1160885257988437</v>
      </c>
      <c r="N87" s="16"/>
      <c r="O87" s="16"/>
      <c r="P87" s="16"/>
      <c r="Q87" s="16"/>
      <c r="R87" s="16"/>
      <c r="S87" s="534"/>
      <c r="T87" s="534"/>
      <c r="U87" s="534"/>
      <c r="V87" s="534"/>
      <c r="W87" s="534"/>
      <c r="X87" s="534"/>
      <c r="Y87" s="534"/>
      <c r="Z87" s="534"/>
      <c r="AA87" s="534"/>
      <c r="AB87" s="534"/>
      <c r="AC87" s="534"/>
      <c r="AD87" s="534"/>
      <c r="AE87" s="534"/>
      <c r="AF87" s="534"/>
      <c r="AG87" s="534"/>
      <c r="AH87" s="534"/>
      <c r="AI87" s="534"/>
      <c r="AJ87" s="534"/>
      <c r="AK87" s="534"/>
      <c r="AL87" s="534"/>
      <c r="AM87" s="534"/>
      <c r="AN87" s="534"/>
      <c r="AO87" s="534"/>
      <c r="AP87" s="534"/>
      <c r="AQ87" s="534"/>
      <c r="AR87" s="534"/>
      <c r="AS87" s="534"/>
      <c r="AT87" s="534"/>
      <c r="AU87" s="534"/>
      <c r="AV87" s="534"/>
      <c r="AW87" s="534"/>
      <c r="AX87" s="534"/>
      <c r="AY87" s="534"/>
      <c r="AZ87" s="534"/>
      <c r="BA87" s="534"/>
      <c r="BB87" s="534"/>
      <c r="BC87" s="534"/>
      <c r="BD87" s="534"/>
      <c r="BE87" s="534"/>
      <c r="BF87" s="534"/>
      <c r="BG87" s="534"/>
      <c r="BH87" s="534"/>
      <c r="BI87" s="534"/>
      <c r="BJ87" s="534"/>
      <c r="BK87" s="534"/>
      <c r="BL87" s="534"/>
      <c r="BM87" s="534"/>
      <c r="BN87" s="534"/>
      <c r="BO87" s="534"/>
      <c r="BP87" s="534"/>
      <c r="BQ87" s="534"/>
      <c r="BR87" s="534"/>
      <c r="BS87" s="534"/>
      <c r="BT87" s="534"/>
      <c r="BU87" s="534"/>
      <c r="BV87" s="534"/>
      <c r="BW87" s="534"/>
      <c r="BX87" s="534"/>
      <c r="BY87" s="534"/>
      <c r="BZ87" s="534"/>
    </row>
    <row r="88" spans="2:78" s="60" customFormat="1" ht="12" hidden="1" x14ac:dyDescent="0.15">
      <c r="B88" s="453"/>
      <c r="C88" s="278"/>
      <c r="E88" s="315" t="s">
        <v>215</v>
      </c>
      <c r="F88" s="311">
        <f ca="1">+F85/($D$6-SUM(F85-F85))</f>
        <v>2.3190689952153114E-2</v>
      </c>
      <c r="G88" s="311">
        <f ca="1">+G85/($D$6-SUM($F$85:F85))</f>
        <v>5.5314745407170719E-2</v>
      </c>
      <c r="H88" s="311">
        <f ca="1">+H85/($D$6-SUM($F$85:G85))</f>
        <v>9.1952701297695755E-2</v>
      </c>
      <c r="I88" s="311">
        <f ca="1">+I85/($D$6-SUM($F$85:H85))</f>
        <v>0.11424284104032946</v>
      </c>
      <c r="J88" s="311">
        <f ca="1">+J85/($D$6-SUM($F$85:I85))</f>
        <v>0.13539317279981133</v>
      </c>
      <c r="K88" s="311">
        <f ca="1">+K85/($D$6-SUM($F$85:J85))</f>
        <v>0.16434741189127131</v>
      </c>
      <c r="L88" s="311">
        <f ca="1">+L85/($D$6-SUM($F$85:K85))</f>
        <v>0.20636071306974743</v>
      </c>
      <c r="M88" s="311">
        <f ca="1">+M85/($D$6-SUM($F$85:L85))</f>
        <v>0.27277316699446269</v>
      </c>
      <c r="N88" s="279"/>
      <c r="O88" s="280"/>
      <c r="P88" s="279"/>
      <c r="Q88" s="279"/>
      <c r="R88" s="279"/>
      <c r="S88" s="59"/>
      <c r="T88" s="59"/>
      <c r="U88" s="59"/>
      <c r="V88" s="59"/>
      <c r="W88" s="59"/>
      <c r="X88" s="59"/>
      <c r="Y88" s="59"/>
      <c r="Z88" s="59"/>
      <c r="AA88" s="59"/>
      <c r="AB88" s="59"/>
      <c r="AC88" s="59"/>
      <c r="AD88" s="59"/>
      <c r="AE88" s="59"/>
      <c r="AF88" s="59"/>
      <c r="AG88" s="59"/>
      <c r="AH88" s="59"/>
      <c r="AI88" s="59"/>
      <c r="AJ88" s="59"/>
      <c r="AK88" s="59"/>
      <c r="AL88" s="59"/>
      <c r="AM88" s="59"/>
      <c r="AN88" s="59"/>
      <c r="AO88" s="59"/>
      <c r="AP88" s="59"/>
      <c r="AQ88" s="59"/>
      <c r="AR88" s="59"/>
      <c r="AS88" s="59"/>
      <c r="AT88" s="59"/>
      <c r="AU88" s="59"/>
      <c r="AV88" s="59"/>
      <c r="AW88" s="59"/>
      <c r="AX88" s="59"/>
      <c r="AY88" s="59"/>
      <c r="AZ88" s="59"/>
      <c r="BA88" s="59"/>
      <c r="BB88" s="59"/>
      <c r="BC88" s="59"/>
      <c r="BD88" s="59"/>
      <c r="BE88" s="59"/>
      <c r="BF88" s="59"/>
      <c r="BG88" s="59"/>
      <c r="BH88" s="59"/>
      <c r="BI88" s="59"/>
      <c r="BJ88" s="59"/>
      <c r="BK88" s="59"/>
      <c r="BL88" s="59"/>
      <c r="BM88" s="59"/>
      <c r="BN88" s="59"/>
      <c r="BO88" s="59"/>
      <c r="BP88" s="59"/>
      <c r="BQ88" s="59"/>
      <c r="BR88" s="59"/>
      <c r="BS88" s="59"/>
      <c r="BT88" s="59"/>
      <c r="BU88" s="59"/>
      <c r="BV88" s="59"/>
      <c r="BW88" s="59"/>
      <c r="BX88" s="59"/>
      <c r="BY88" s="59"/>
      <c r="BZ88" s="59"/>
    </row>
    <row r="89" spans="2:78" x14ac:dyDescent="0.15">
      <c r="C89" s="14"/>
      <c r="D89" s="221" t="s">
        <v>216</v>
      </c>
      <c r="E89" s="221" t="s">
        <v>217</v>
      </c>
      <c r="F89" s="44"/>
      <c r="G89" s="44"/>
      <c r="H89" s="44"/>
      <c r="I89" s="44"/>
      <c r="J89" s="44"/>
      <c r="K89" s="44"/>
      <c r="L89" s="44"/>
      <c r="M89" s="44"/>
      <c r="N89" s="44"/>
      <c r="O89" s="44"/>
      <c r="P89" s="44"/>
      <c r="Q89" s="44"/>
      <c r="R89" s="44"/>
      <c r="S89" s="44"/>
      <c r="T89" s="44"/>
      <c r="U89" s="44"/>
      <c r="V89" s="44"/>
      <c r="W89" s="44"/>
      <c r="X89" s="44"/>
      <c r="Y89" s="44"/>
      <c r="Z89" s="44"/>
      <c r="AA89" s="44"/>
      <c r="AB89" s="44"/>
      <c r="AC89" s="44"/>
      <c r="AD89" s="44"/>
      <c r="AE89" s="44"/>
      <c r="AF89" s="44"/>
      <c r="AG89" s="44"/>
      <c r="AH89" s="44"/>
      <c r="AI89" s="44"/>
      <c r="AJ89" s="44"/>
      <c r="AK89" s="534"/>
      <c r="AL89" s="534"/>
      <c r="AM89" s="534"/>
      <c r="AN89" s="534"/>
      <c r="AO89" s="534"/>
      <c r="AP89" s="534"/>
      <c r="AQ89" s="534"/>
      <c r="AR89" s="534"/>
      <c r="AS89" s="534"/>
      <c r="AT89" s="534"/>
      <c r="AU89" s="534"/>
      <c r="AV89" s="534"/>
      <c r="AW89" s="534"/>
      <c r="AX89" s="534"/>
      <c r="AY89" s="534"/>
      <c r="AZ89" s="534"/>
      <c r="BA89" s="534"/>
      <c r="BB89" s="534"/>
      <c r="BC89" s="534"/>
      <c r="BD89" s="534"/>
      <c r="BE89" s="534"/>
      <c r="BF89" s="534"/>
      <c r="BG89" s="534"/>
      <c r="BH89" s="534"/>
      <c r="BI89" s="534"/>
      <c r="BJ89" s="534"/>
      <c r="BK89" s="534"/>
      <c r="BL89" s="534"/>
      <c r="BM89" s="534"/>
      <c r="BN89" s="534"/>
      <c r="BO89" s="534"/>
      <c r="BP89" s="534"/>
      <c r="BQ89" s="534"/>
      <c r="BR89" s="534"/>
      <c r="BS89" s="534"/>
      <c r="BT89" s="534"/>
      <c r="BU89" s="534"/>
      <c r="BV89" s="534"/>
      <c r="BW89" s="534"/>
      <c r="BX89" s="534"/>
      <c r="BY89" s="534"/>
      <c r="BZ89" s="534"/>
    </row>
    <row r="90" spans="2:78" x14ac:dyDescent="0.15">
      <c r="C90" s="268"/>
      <c r="D90" s="716" t="s">
        <v>218</v>
      </c>
      <c r="E90" s="717" t="s">
        <v>218</v>
      </c>
      <c r="F90" s="219">
        <v>1</v>
      </c>
      <c r="G90" s="219">
        <f t="shared" ref="G90:AH90" si="128">F90+1</f>
        <v>2</v>
      </c>
      <c r="H90" s="219">
        <f t="shared" si="128"/>
        <v>3</v>
      </c>
      <c r="I90" s="219">
        <f t="shared" si="128"/>
        <v>4</v>
      </c>
      <c r="J90" s="219">
        <f t="shared" si="128"/>
        <v>5</v>
      </c>
      <c r="K90" s="219">
        <f t="shared" si="128"/>
        <v>6</v>
      </c>
      <c r="L90" s="219">
        <f t="shared" si="128"/>
        <v>7</v>
      </c>
      <c r="M90" s="219">
        <f t="shared" si="128"/>
        <v>8</v>
      </c>
      <c r="N90" s="219">
        <f t="shared" si="128"/>
        <v>9</v>
      </c>
      <c r="O90" s="219">
        <f t="shared" si="128"/>
        <v>10</v>
      </c>
      <c r="P90" s="219">
        <f t="shared" si="128"/>
        <v>11</v>
      </c>
      <c r="Q90" s="219">
        <f t="shared" si="128"/>
        <v>12</v>
      </c>
      <c r="R90" s="219">
        <f t="shared" si="128"/>
        <v>13</v>
      </c>
      <c r="S90" s="219">
        <f t="shared" si="128"/>
        <v>14</v>
      </c>
      <c r="T90" s="219">
        <f t="shared" si="128"/>
        <v>15</v>
      </c>
      <c r="U90" s="219">
        <f t="shared" si="128"/>
        <v>16</v>
      </c>
      <c r="V90" s="219">
        <f t="shared" si="128"/>
        <v>17</v>
      </c>
      <c r="W90" s="219">
        <f t="shared" si="128"/>
        <v>18</v>
      </c>
      <c r="X90" s="219">
        <f t="shared" si="128"/>
        <v>19</v>
      </c>
      <c r="Y90" s="219">
        <f t="shared" si="128"/>
        <v>20</v>
      </c>
      <c r="Z90" s="219">
        <f t="shared" si="128"/>
        <v>21</v>
      </c>
      <c r="AA90" s="219">
        <f t="shared" si="128"/>
        <v>22</v>
      </c>
      <c r="AB90" s="219">
        <f t="shared" si="128"/>
        <v>23</v>
      </c>
      <c r="AC90" s="219">
        <f t="shared" si="128"/>
        <v>24</v>
      </c>
      <c r="AD90" s="219">
        <f t="shared" si="128"/>
        <v>25</v>
      </c>
      <c r="AE90" s="219">
        <f t="shared" si="128"/>
        <v>26</v>
      </c>
      <c r="AF90" s="219">
        <f t="shared" si="128"/>
        <v>27</v>
      </c>
      <c r="AG90" s="219">
        <f t="shared" si="128"/>
        <v>28</v>
      </c>
      <c r="AH90" s="219">
        <f t="shared" si="128"/>
        <v>29</v>
      </c>
      <c r="AI90" s="219">
        <f t="shared" ref="AI90" si="129">AH90+1</f>
        <v>30</v>
      </c>
      <c r="AJ90" s="219">
        <f t="shared" ref="AJ90" si="130">AI90+1</f>
        <v>31</v>
      </c>
      <c r="AK90" s="534"/>
      <c r="AL90" s="534"/>
      <c r="AM90" s="534"/>
      <c r="AN90" s="534"/>
      <c r="AO90" s="534"/>
      <c r="AP90" s="534"/>
      <c r="AQ90" s="534"/>
      <c r="AR90" s="534"/>
      <c r="AS90" s="534"/>
      <c r="AT90" s="534"/>
      <c r="AU90" s="534"/>
      <c r="AV90" s="534"/>
      <c r="AW90" s="534"/>
      <c r="AX90" s="534"/>
      <c r="AY90" s="534"/>
      <c r="AZ90" s="534"/>
      <c r="BA90" s="534"/>
      <c r="BB90" s="534"/>
      <c r="BC90" s="534"/>
      <c r="BD90" s="534"/>
      <c r="BE90" s="534"/>
      <c r="BF90" s="534"/>
      <c r="BG90" s="534"/>
      <c r="BH90" s="534"/>
      <c r="BI90" s="534"/>
      <c r="BJ90" s="534"/>
      <c r="BK90" s="534"/>
      <c r="BL90" s="534"/>
      <c r="BM90" s="534"/>
      <c r="BN90" s="534"/>
      <c r="BO90" s="534"/>
      <c r="BP90" s="534"/>
      <c r="BQ90" s="534"/>
      <c r="BR90" s="534"/>
      <c r="BS90" s="534"/>
      <c r="BT90" s="534"/>
      <c r="BU90" s="534"/>
      <c r="BV90" s="534"/>
      <c r="BW90" s="534"/>
      <c r="BX90" s="534"/>
      <c r="BY90" s="534"/>
      <c r="BZ90" s="534"/>
    </row>
    <row r="91" spans="2:78" x14ac:dyDescent="0.15">
      <c r="C91" s="11" t="s">
        <v>219</v>
      </c>
      <c r="D91" s="285">
        <v>0.6067415730337079</v>
      </c>
      <c r="E91" s="285">
        <v>0.65</v>
      </c>
      <c r="F91" s="220" t="str">
        <f>IF(F93&gt;0,SUM(F92:F93),"")</f>
        <v/>
      </c>
      <c r="G91" s="220" t="str">
        <f t="shared" ref="G91" si="131">IF(G93&lt;&gt;0,SUM(G92:G93),IF(H93&lt;&gt;0,"Refinance",""))</f>
        <v/>
      </c>
      <c r="H91" s="220" t="str">
        <f t="shared" ref="H91" si="132">IF(H93&lt;&gt;0,SUM(H92:H93),IF(I93&lt;&gt;0,"Refinance",""))</f>
        <v/>
      </c>
      <c r="I91" s="220" t="str">
        <f t="shared" ref="I91" ca="1" si="133">IF(I93&lt;&gt;0,SUM(I92:I93),IF(J93&lt;&gt;0,"Refinance",""))</f>
        <v>Refinance</v>
      </c>
      <c r="J91" s="220">
        <f ca="1">IF(J93&lt;&gt;0,SUM(J92:J93),IF(K93&lt;&gt;0,"Refinance",""))</f>
        <v>10003470.203536805</v>
      </c>
      <c r="K91" s="220" t="str">
        <f t="shared" ref="K91" si="134">IF(K93&lt;&gt;0,SUM(K92:K93),IF(L93&lt;&gt;0,"Refinance",""))</f>
        <v/>
      </c>
      <c r="L91" s="220" t="str">
        <f t="shared" ref="L91" si="135">IF(L93&lt;&gt;0,SUM(L92:L93),IF(M93&lt;&gt;0,"Refinance",""))</f>
        <v/>
      </c>
      <c r="M91" s="220" t="str">
        <f t="shared" ref="M91" si="136">IF(M93&lt;&gt;0,SUM(M92:M93),IF(N93&lt;&gt;0,"Refinance",""))</f>
        <v/>
      </c>
      <c r="N91" s="220" t="str">
        <f t="shared" ref="N91" si="137">IF(N93&lt;&gt;0,SUM(N92:N93),IF(O93&lt;&gt;0,"Refinance",""))</f>
        <v/>
      </c>
      <c r="O91" s="220" t="str">
        <f t="shared" ref="O91" si="138">IF(O93&lt;&gt;0,SUM(O92:O93),IF(P93&lt;&gt;0,"Refinance",""))</f>
        <v/>
      </c>
      <c r="P91" s="220" t="str">
        <f t="shared" ref="P91" si="139">IF(P93&lt;&gt;0,SUM(P92:P93),IF(Q93&lt;&gt;0,"Refinance",""))</f>
        <v/>
      </c>
      <c r="Q91" s="220" t="str">
        <f t="shared" ref="Q91" si="140">IF(Q93&lt;&gt;0,SUM(Q92:Q93),IF(R93&lt;&gt;0,"Refinance",""))</f>
        <v/>
      </c>
      <c r="R91" s="220" t="str">
        <f t="shared" ref="R91" si="141">IF(R93&lt;&gt;0,SUM(R92:R93),IF(S93&lt;&gt;0,"Refinance",""))</f>
        <v/>
      </c>
      <c r="S91" s="220" t="str">
        <f t="shared" ref="S91" si="142">IF(S93&lt;&gt;0,SUM(S92:S93),IF(T93&lt;&gt;0,"Refinance",""))</f>
        <v/>
      </c>
      <c r="T91" s="220" t="str">
        <f t="shared" ref="T91" si="143">IF(T93&lt;&gt;0,SUM(T92:T93),IF(U93&lt;&gt;0,"Refinance",""))</f>
        <v/>
      </c>
      <c r="U91" s="220" t="str">
        <f t="shared" ref="U91" si="144">IF(U93&lt;&gt;0,SUM(U92:U93),IF(V93&lt;&gt;0,"Refinance",""))</f>
        <v/>
      </c>
      <c r="V91" s="220" t="str">
        <f t="shared" ref="V91" si="145">IF(V93&lt;&gt;0,SUM(V92:V93),IF(W93&lt;&gt;0,"Refinance",""))</f>
        <v/>
      </c>
      <c r="W91" s="220" t="str">
        <f t="shared" ref="W91" si="146">IF(W93&lt;&gt;0,SUM(W92:W93),IF(X93&lt;&gt;0,"Refinance",""))</f>
        <v/>
      </c>
      <c r="X91" s="220" t="str">
        <f t="shared" ref="X91" si="147">IF(X93&lt;&gt;0,SUM(X92:X93),IF(Y93&lt;&gt;0,"Refinance",""))</f>
        <v/>
      </c>
      <c r="Y91" s="220" t="str">
        <f t="shared" ref="Y91" si="148">IF(Y93&lt;&gt;0,SUM(Y92:Y93),IF(Z93&lt;&gt;0,"Refinance",""))</f>
        <v/>
      </c>
      <c r="Z91" s="220" t="str">
        <f t="shared" ref="Z91" si="149">IF(Z93&lt;&gt;0,SUM(Z92:Z93),IF(AA93&lt;&gt;0,"Refinance",""))</f>
        <v/>
      </c>
      <c r="AA91" s="220" t="str">
        <f t="shared" ref="AA91" si="150">IF(AA93&lt;&gt;0,SUM(AA92:AA93),IF(AB93&lt;&gt;0,"Refinance",""))</f>
        <v/>
      </c>
      <c r="AB91" s="220" t="str">
        <f t="shared" ref="AB91" si="151">IF(AB93&lt;&gt;0,SUM(AB92:AB93),IF(AC93&lt;&gt;0,"Refinance",""))</f>
        <v/>
      </c>
      <c r="AC91" s="220" t="str">
        <f t="shared" ref="AC91" si="152">IF(AC93&lt;&gt;0,SUM(AC92:AC93),IF(AD93&lt;&gt;0,"Refinance",""))</f>
        <v/>
      </c>
      <c r="AD91" s="220" t="str">
        <f t="shared" ref="AD91" si="153">IF(AD93&lt;&gt;0,SUM(AD92:AD93),IF(AE93&lt;&gt;0,"Refinance",""))</f>
        <v/>
      </c>
      <c r="AE91" s="220" t="str">
        <f t="shared" ref="AE91" si="154">IF(AE93&lt;&gt;0,SUM(AE92:AE93),IF(AF93&lt;&gt;0,"Refinance",""))</f>
        <v/>
      </c>
      <c r="AF91" s="220" t="str">
        <f t="shared" ref="AF91" si="155">IF(AF93&lt;&gt;0,SUM(AF92:AF93),IF(AG93&lt;&gt;0,"Refinance",""))</f>
        <v/>
      </c>
      <c r="AG91" s="220" t="str">
        <f t="shared" ref="AG91" si="156">IF(AG93&lt;&gt;0,SUM(AG92:AG93),IF(AH93&lt;&gt;0,"Refinance",""))</f>
        <v/>
      </c>
      <c r="AH91" s="220" t="str">
        <f>IF(AH93&lt;&gt;0,SUM(AH92:AH93),IF(AJ93&lt;&gt;0,"Refinance",""))</f>
        <v/>
      </c>
      <c r="AI91" s="220" t="str">
        <f t="shared" ref="AI91:AJ91" si="157">IF(AI93&lt;&gt;0,SUM(AI92:AI93),IF(AK93&lt;&gt;0,"Refinance",""))</f>
        <v/>
      </c>
      <c r="AJ91" s="220" t="str">
        <f t="shared" si="157"/>
        <v/>
      </c>
      <c r="AK91" s="534"/>
      <c r="AL91" s="534"/>
      <c r="AM91" s="534"/>
      <c r="AN91" s="534"/>
      <c r="AO91" s="534"/>
      <c r="AP91" s="534"/>
      <c r="AQ91" s="534"/>
      <c r="AR91" s="534"/>
      <c r="AS91" s="534"/>
      <c r="AT91" s="534"/>
      <c r="AU91" s="534"/>
      <c r="AV91" s="534"/>
      <c r="AW91" s="534"/>
      <c r="AX91" s="534"/>
      <c r="AY91" s="534"/>
      <c r="AZ91" s="534"/>
      <c r="BA91" s="534"/>
      <c r="BB91" s="534"/>
      <c r="BC91" s="534"/>
      <c r="BD91" s="534"/>
      <c r="BE91" s="534"/>
      <c r="BF91" s="534"/>
      <c r="BG91" s="534"/>
      <c r="BH91" s="534"/>
      <c r="BI91" s="534"/>
      <c r="BJ91" s="534"/>
      <c r="BK91" s="534"/>
      <c r="BL91" s="534"/>
      <c r="BM91" s="534"/>
      <c r="BN91" s="534"/>
      <c r="BO91" s="534"/>
      <c r="BP91" s="534"/>
      <c r="BQ91" s="534"/>
      <c r="BR91" s="534"/>
      <c r="BS91" s="534"/>
      <c r="BT91" s="534"/>
      <c r="BU91" s="534"/>
      <c r="BV91" s="534"/>
      <c r="BW91" s="534"/>
      <c r="BX91" s="534"/>
      <c r="BY91" s="534"/>
      <c r="BZ91" s="534"/>
    </row>
    <row r="92" spans="2:78" x14ac:dyDescent="0.15">
      <c r="C92" s="32" t="s">
        <v>220</v>
      </c>
      <c r="D92" s="716" t="s">
        <v>221</v>
      </c>
      <c r="E92" s="716" t="s">
        <v>221</v>
      </c>
      <c r="F92" s="33">
        <f>D4*D91</f>
        <v>5400000</v>
      </c>
      <c r="G92" s="33">
        <f t="shared" ref="G92" si="158">F97</f>
        <v>5400000</v>
      </c>
      <c r="H92" s="33">
        <f t="shared" ref="H92" si="159">G97</f>
        <v>5400000</v>
      </c>
      <c r="I92" s="33">
        <f t="shared" ref="I92" si="160">H97</f>
        <v>5341804.9684915757</v>
      </c>
      <c r="J92" s="33">
        <f t="shared" ref="J92" si="161">I97</f>
        <v>5279807.5221202504</v>
      </c>
      <c r="K92" s="33">
        <f t="shared" ref="K92" ca="1" si="162">J97</f>
        <v>9896934.5995611511</v>
      </c>
      <c r="L92" s="33">
        <f t="shared" ref="L92" ca="1" si="163">K97</f>
        <v>9783373.1944524776</v>
      </c>
      <c r="M92" s="33">
        <f t="shared" ref="M92" ca="1" si="164">L97</f>
        <v>9662322.6512631476</v>
      </c>
      <c r="N92" s="33">
        <f t="shared" ref="N92" ca="1" si="165">M97</f>
        <v>9533289.0769391134</v>
      </c>
      <c r="O92" s="33">
        <f t="shared" ref="O92" ca="1" si="166">N97</f>
        <v>9395746.0072083548</v>
      </c>
      <c r="P92" s="33">
        <f t="shared" ref="P92" ca="1" si="167">O97</f>
        <v>9249132.2585769147</v>
      </c>
      <c r="Q92" s="33">
        <f t="shared" ref="Q92" ca="1" si="168">P97</f>
        <v>9092849.6386685409</v>
      </c>
      <c r="R92" s="33">
        <f t="shared" ref="R92" ca="1" si="169">Q97</f>
        <v>8926260.5055660009</v>
      </c>
      <c r="S92" s="33">
        <f t="shared" ref="S92" ca="1" si="170">R97</f>
        <v>8748685.1661960427</v>
      </c>
      <c r="T92" s="33">
        <f t="shared" ref="T92" ca="1" si="171">S97</f>
        <v>8559399.1031432599</v>
      </c>
      <c r="U92" s="33">
        <f t="shared" ref="U92" ca="1" si="172">T97</f>
        <v>8357630.0185781103</v>
      </c>
      <c r="V92" s="33">
        <f t="shared" ref="V92" ca="1" si="173">U97</f>
        <v>8142554.6832381487</v>
      </c>
      <c r="W92" s="33">
        <f t="shared" ref="W92" ca="1" si="174">V97</f>
        <v>7913295.5776061323</v>
      </c>
      <c r="X92" s="33">
        <f t="shared" ref="X92" ca="1" si="175">W97</f>
        <v>7668917.3115808209</v>
      </c>
      <c r="Y92" s="33">
        <f t="shared" ref="Y92" ca="1" si="176">X97</f>
        <v>7408422.8080325276</v>
      </c>
      <c r="Z92" s="33">
        <f t="shared" ref="Z92" ca="1" si="177">Y97</f>
        <v>7130749.2346721068</v>
      </c>
      <c r="AA92" s="33">
        <f t="shared" ref="AA92" ca="1" si="178">Z97</f>
        <v>6834763.6676351773</v>
      </c>
      <c r="AB92" s="33">
        <f t="shared" ref="AB92" ca="1" si="179">AA97</f>
        <v>6519258.4690887602</v>
      </c>
      <c r="AC92" s="33">
        <f t="shared" ref="AC92" ca="1" si="180">AB97</f>
        <v>6182946.3600007035</v>
      </c>
      <c r="AD92" s="33">
        <f t="shared" ref="AD92" ca="1" si="181">AC97</f>
        <v>5824455.1679685172</v>
      </c>
      <c r="AE92" s="33">
        <f t="shared" ref="AE92" ca="1" si="182">AD97</f>
        <v>5442322.2286784584</v>
      </c>
      <c r="AF92" s="33">
        <f t="shared" ref="AF92" ca="1" si="183">AE97</f>
        <v>5034988.4181525102</v>
      </c>
      <c r="AG92" s="33">
        <f t="shared" ref="AG92" ca="1" si="184">AF97</f>
        <v>4600791.7914344808</v>
      </c>
      <c r="AH92" s="33">
        <f t="shared" ref="AH92" ca="1" si="185">AG97</f>
        <v>4137960.8017607033</v>
      </c>
      <c r="AI92" s="33">
        <f t="shared" ref="AI92" ca="1" si="186">AH97</f>
        <v>3644607.0725491685</v>
      </c>
      <c r="AJ92" s="33">
        <f t="shared" ref="AJ92" ca="1" si="187">AI97</f>
        <v>3118717.692716402</v>
      </c>
      <c r="AK92" s="534"/>
      <c r="AL92" s="534"/>
      <c r="AM92" s="534"/>
      <c r="AN92" s="534"/>
      <c r="AO92" s="534"/>
      <c r="AP92" s="534"/>
      <c r="AQ92" s="534"/>
      <c r="AR92" s="534"/>
      <c r="AS92" s="534"/>
      <c r="AT92" s="534"/>
      <c r="AU92" s="534"/>
      <c r="AV92" s="534"/>
      <c r="AW92" s="534"/>
      <c r="AX92" s="534"/>
      <c r="AY92" s="534"/>
      <c r="AZ92" s="534"/>
      <c r="BA92" s="534"/>
      <c r="BB92" s="534"/>
      <c r="BC92" s="534"/>
      <c r="BD92" s="534"/>
      <c r="BE92" s="534"/>
      <c r="BF92" s="534"/>
      <c r="BG92" s="534"/>
      <c r="BH92" s="534"/>
      <c r="BI92" s="534"/>
      <c r="BJ92" s="534"/>
      <c r="BK92" s="534"/>
      <c r="BL92" s="534"/>
      <c r="BM92" s="534"/>
      <c r="BN92" s="534"/>
      <c r="BO92" s="534"/>
      <c r="BP92" s="534"/>
      <c r="BQ92" s="534"/>
      <c r="BR92" s="534"/>
      <c r="BS92" s="534"/>
      <c r="BT92" s="534"/>
      <c r="BU92" s="534"/>
      <c r="BV92" s="534"/>
      <c r="BW92" s="534"/>
      <c r="BX92" s="534"/>
      <c r="BY92" s="534"/>
      <c r="BZ92" s="534"/>
    </row>
    <row r="93" spans="2:78" x14ac:dyDescent="0.15">
      <c r="C93" s="507" t="s">
        <v>220</v>
      </c>
      <c r="D93" s="281">
        <v>360</v>
      </c>
      <c r="E93" s="281">
        <v>360</v>
      </c>
      <c r="F93" s="33"/>
      <c r="G93" s="274">
        <f>IF(G90=$D$97+1,(F102*$E$91)-G92,IF(G90=$E$97+1,(F102*$E$91)-G92,0))</f>
        <v>0</v>
      </c>
      <c r="H93" s="274">
        <f t="shared" ref="H93:M93" si="188">IF(H90=$D$97+1,(G102*$E$91)-H92,IF(H90=$E$97+1,(G102*$E$91)-H92,0))</f>
        <v>0</v>
      </c>
      <c r="I93" s="274">
        <f t="shared" si="188"/>
        <v>0</v>
      </c>
      <c r="J93" s="274">
        <f ca="1">IF(J90=$D$97+1,(I102*$E$91)-J92,IF(J90=$E$97+1,(I102*$E$91)-J92,0))</f>
        <v>4723662.6814165544</v>
      </c>
      <c r="K93" s="274">
        <f t="shared" si="188"/>
        <v>0</v>
      </c>
      <c r="L93" s="274">
        <f t="shared" si="188"/>
        <v>0</v>
      </c>
      <c r="M93" s="274">
        <f t="shared" si="188"/>
        <v>0</v>
      </c>
      <c r="N93" s="274">
        <f t="shared" ref="N93" si="189">IF(N90=$D$97+1,(M102*$E$91)-N92,IF(N90=$E$97+1,(M102*$E$91)-N92,0))</f>
        <v>0</v>
      </c>
      <c r="O93" s="274">
        <f t="shared" ref="O93" si="190">IF(O90=$D$97+1,(N102*$E$91)-O92,IF(O90=$E$97+1,(N102*$E$91)-O92,0))</f>
        <v>0</v>
      </c>
      <c r="P93" s="274">
        <f t="shared" ref="P93" si="191">IF(P90=$D$97+1,(O102*$E$91)-P92,IF(P90=$E$97+1,(O102*$E$91)-P92,0))</f>
        <v>0</v>
      </c>
      <c r="Q93" s="274">
        <f t="shared" ref="Q93" si="192">IF(Q90=$D$97+1,(P102*$E$91)-Q92,IF(Q90=$E$97+1,(P102*$E$91)-Q92,0))</f>
        <v>0</v>
      </c>
      <c r="R93" s="274">
        <f t="shared" ref="R93" si="193">IF(R90=$D$97+1,(Q102*$E$91)-R92,IF(R90=$E$97+1,(Q102*$E$91)-R92,0))</f>
        <v>0</v>
      </c>
      <c r="S93" s="274">
        <f t="shared" ref="S93" si="194">IF(S90=$D$97+1,(R102*$E$91)-S92,IF(S90=$E$97+1,(R102*$E$91)-S92,0))</f>
        <v>0</v>
      </c>
      <c r="T93" s="274">
        <f t="shared" ref="T93" si="195">IF(T90=$D$97+1,(S102*$E$91)-T92,IF(T90=$E$97+1,(S102*$E$91)-T92,0))</f>
        <v>0</v>
      </c>
      <c r="U93" s="274">
        <f t="shared" ref="U93" si="196">IF(U90=$D$97+1,(T102*$E$91)-U92,IF(U90=$E$97+1,(T102*$E$91)-U92,0))</f>
        <v>0</v>
      </c>
      <c r="V93" s="274">
        <f t="shared" ref="V93" si="197">IF(V90=$D$97+1,(U102*$E$91)-V92,IF(V90=$E$97+1,(U102*$E$91)-V92,0))</f>
        <v>0</v>
      </c>
      <c r="W93" s="274">
        <f t="shared" ref="W93" si="198">IF(W90=$D$97+1,(V102*$E$91)-W92,IF(W90=$E$97+1,(V102*$E$91)-W92,0))</f>
        <v>0</v>
      </c>
      <c r="X93" s="274">
        <f t="shared" ref="X93" si="199">IF(X90=$D$97+1,(W102*$E$91)-X92,IF(X90=$E$97+1,(W102*$E$91)-X92,0))</f>
        <v>0</v>
      </c>
      <c r="Y93" s="274">
        <f t="shared" ref="Y93" si="200">IF(Y90=$D$97+1,(X102*$E$91)-Y92,IF(Y90=$E$97+1,(X102*$E$91)-Y92,0))</f>
        <v>0</v>
      </c>
      <c r="Z93" s="274">
        <f t="shared" ref="Z93" si="201">IF(Z90=$D$97+1,(Y102*$E$91)-Z92,IF(Z90=$E$97+1,(Y102*$E$91)-Z92,0))</f>
        <v>0</v>
      </c>
      <c r="AA93" s="274">
        <f t="shared" ref="AA93" si="202">IF(AA90=$D$97+1,(Z102*$E$91)-AA92,IF(AA90=$E$97+1,(Z102*$E$91)-AA92,0))</f>
        <v>0</v>
      </c>
      <c r="AB93" s="274">
        <f t="shared" ref="AB93" si="203">IF(AB90=$D$97+1,(AA102*$E$91)-AB92,IF(AB90=$E$97+1,(AA102*$E$91)-AB92,0))</f>
        <v>0</v>
      </c>
      <c r="AC93" s="274">
        <f t="shared" ref="AC93" si="204">IF(AC90=$D$97+1,(AB102*$E$91)-AC92,IF(AC90=$E$97+1,(AB102*$E$91)-AC92,0))</f>
        <v>0</v>
      </c>
      <c r="AD93" s="274">
        <f t="shared" ref="AD93" si="205">IF(AD90=$D$97+1,(AC102*$E$91)-AD92,IF(AD90=$E$97+1,(AC102*$E$91)-AD92,0))</f>
        <v>0</v>
      </c>
      <c r="AE93" s="274">
        <f t="shared" ref="AE93" si="206">IF(AE90=$D$97+1,(AD102*$E$91)-AE92,IF(AE90=$E$97+1,(AD102*$E$91)-AE92,0))</f>
        <v>0</v>
      </c>
      <c r="AF93" s="274">
        <f t="shared" ref="AF93" si="207">IF(AF90=$D$97+1,(AE102*$E$91)-AF92,IF(AF90=$E$97+1,(AE102*$E$91)-AF92,0))</f>
        <v>0</v>
      </c>
      <c r="AG93" s="274">
        <f t="shared" ref="AG93" si="208">IF(AG90=$D$97+1,(AF102*$E$91)-AG92,IF(AG90=$E$97+1,(AF102*$E$91)-AG92,0))</f>
        <v>0</v>
      </c>
      <c r="AH93" s="274">
        <f t="shared" ref="AH93" si="209">IF(AH90=$D$97+1,(AG102*$E$91)-AH92,IF(AH90=$E$97+1,(AG102*$E$91)-AH92,0))</f>
        <v>0</v>
      </c>
      <c r="AI93" s="274">
        <f t="shared" ref="AI93" si="210">IF(AI90=$D$97+1,(AH102*$E$91)-AI92,IF(AI90=$E$97+1,(AH102*$E$91)-AI92,0))</f>
        <v>0</v>
      </c>
      <c r="AJ93" s="274">
        <f t="shared" ref="AJ93" si="211">IF(AJ90=$D$97+1,(AI102*$E$91)-AJ92,IF(AJ90=$E$97+1,(AI102*$E$91)-AJ92,0))</f>
        <v>0</v>
      </c>
      <c r="AK93" s="534"/>
      <c r="AL93" s="534"/>
      <c r="AM93" s="534"/>
      <c r="AN93" s="534"/>
      <c r="AO93" s="534"/>
      <c r="AP93" s="534"/>
      <c r="AQ93" s="534"/>
      <c r="AR93" s="534"/>
      <c r="AS93" s="534"/>
      <c r="AT93" s="534"/>
      <c r="AU93" s="534"/>
      <c r="AV93" s="534"/>
      <c r="AW93" s="534"/>
      <c r="AX93" s="534"/>
      <c r="AY93" s="534"/>
      <c r="AZ93" s="534"/>
      <c r="BA93" s="534"/>
      <c r="BB93" s="534"/>
      <c r="BC93" s="534"/>
      <c r="BD93" s="534"/>
      <c r="BE93" s="534"/>
      <c r="BF93" s="534"/>
      <c r="BG93" s="534"/>
      <c r="BH93" s="534"/>
      <c r="BI93" s="534"/>
      <c r="BJ93" s="534"/>
      <c r="BK93" s="534"/>
      <c r="BL93" s="534"/>
      <c r="BM93" s="534"/>
      <c r="BN93" s="534"/>
      <c r="BO93" s="534"/>
      <c r="BP93" s="534"/>
      <c r="BQ93" s="534"/>
      <c r="BR93" s="534"/>
      <c r="BS93" s="534"/>
      <c r="BT93" s="534"/>
      <c r="BU93" s="534"/>
      <c r="BV93" s="534"/>
      <c r="BW93" s="534"/>
      <c r="BX93" s="534"/>
      <c r="BY93" s="534"/>
      <c r="BZ93" s="534"/>
    </row>
    <row r="94" spans="2:78" x14ac:dyDescent="0.15">
      <c r="C94" s="32" t="s">
        <v>222</v>
      </c>
      <c r="D94" s="716" t="s">
        <v>223</v>
      </c>
      <c r="E94" s="716" t="s">
        <v>223</v>
      </c>
      <c r="F94" s="33">
        <f>IF(D100&lt;F90,-PMT((($D$95/360)*365.25/12),$D$93,InitialLoan,,0)*12,F96)</f>
        <v>352831.5</v>
      </c>
      <c r="G94" s="274">
        <f t="shared" ref="G94:AJ94" si="212">IF(G90&gt;$E$97,-PMT((($E$95/360)*365.25/12),$E$93,INDEX($F$91:$AH$91,1,$E$97+1),,0)*12,IF(G90&gt;$D$97,-PMT((($E$95/360)*365.25/12),$E$93,INDEX($F$91:$AH$91,1,$D$97+1),,0)*12,IF($D$100&gt;=G90,G96,-PMT((($D$95/360)*365.25/12),$D$93,InitialLoan,,0)*12)))</f>
        <v>352831.5</v>
      </c>
      <c r="H94" s="274">
        <f t="shared" si="212"/>
        <v>411026.53150842432</v>
      </c>
      <c r="I94" s="274">
        <f t="shared" si="212"/>
        <v>411026.53150842432</v>
      </c>
      <c r="J94" s="274">
        <f t="shared" ca="1" si="212"/>
        <v>766243.62333598279</v>
      </c>
      <c r="K94" s="274">
        <f t="shared" ca="1" si="212"/>
        <v>766243.62333598279</v>
      </c>
      <c r="L94" s="274">
        <f t="shared" ca="1" si="212"/>
        <v>766243.62333598279</v>
      </c>
      <c r="M94" s="274">
        <f t="shared" ca="1" si="212"/>
        <v>766243.62333598279</v>
      </c>
      <c r="N94" s="274">
        <f t="shared" ca="1" si="212"/>
        <v>766243.62333598279</v>
      </c>
      <c r="O94" s="274">
        <f t="shared" ca="1" si="212"/>
        <v>766243.62333598279</v>
      </c>
      <c r="P94" s="274">
        <f t="shared" ca="1" si="212"/>
        <v>766243.62333598279</v>
      </c>
      <c r="Q94" s="274">
        <f t="shared" ca="1" si="212"/>
        <v>766243.62333598279</v>
      </c>
      <c r="R94" s="274">
        <f t="shared" ca="1" si="212"/>
        <v>766243.62333598279</v>
      </c>
      <c r="S94" s="274">
        <f t="shared" ca="1" si="212"/>
        <v>766243.62333598279</v>
      </c>
      <c r="T94" s="274">
        <f t="shared" ca="1" si="212"/>
        <v>766243.62333598279</v>
      </c>
      <c r="U94" s="274">
        <f t="shared" ca="1" si="212"/>
        <v>766243.62333598279</v>
      </c>
      <c r="V94" s="274">
        <f t="shared" ca="1" si="212"/>
        <v>766243.62333598279</v>
      </c>
      <c r="W94" s="274">
        <f t="shared" ca="1" si="212"/>
        <v>766243.62333598279</v>
      </c>
      <c r="X94" s="274">
        <f t="shared" ca="1" si="212"/>
        <v>766243.62333598279</v>
      </c>
      <c r="Y94" s="274">
        <f t="shared" ca="1" si="212"/>
        <v>766243.62333598279</v>
      </c>
      <c r="Z94" s="274">
        <f t="shared" ca="1" si="212"/>
        <v>766243.62333598279</v>
      </c>
      <c r="AA94" s="274">
        <f t="shared" ca="1" si="212"/>
        <v>766243.62333598279</v>
      </c>
      <c r="AB94" s="274">
        <f t="shared" ca="1" si="212"/>
        <v>766243.62333598279</v>
      </c>
      <c r="AC94" s="274">
        <f t="shared" ca="1" si="212"/>
        <v>766243.62333598279</v>
      </c>
      <c r="AD94" s="274">
        <f t="shared" ca="1" si="212"/>
        <v>766243.62333598279</v>
      </c>
      <c r="AE94" s="274">
        <f t="shared" ca="1" si="212"/>
        <v>766243.62333598279</v>
      </c>
      <c r="AF94" s="274">
        <f t="shared" ca="1" si="212"/>
        <v>766243.62333598279</v>
      </c>
      <c r="AG94" s="274">
        <f t="shared" ca="1" si="212"/>
        <v>766243.62333598279</v>
      </c>
      <c r="AH94" s="274">
        <f t="shared" ca="1" si="212"/>
        <v>766243.62333598279</v>
      </c>
      <c r="AI94" s="274">
        <f t="shared" ca="1" si="212"/>
        <v>766243.62333598279</v>
      </c>
      <c r="AJ94" s="274">
        <f t="shared" ca="1" si="212"/>
        <v>766243.62333598279</v>
      </c>
      <c r="AK94" s="534"/>
      <c r="AL94" s="534"/>
      <c r="AM94" s="534"/>
      <c r="AN94" s="534"/>
      <c r="AO94" s="534"/>
      <c r="AP94" s="534"/>
      <c r="AQ94" s="534"/>
      <c r="AR94" s="534"/>
      <c r="AS94" s="534"/>
      <c r="AT94" s="534"/>
      <c r="AU94" s="534"/>
      <c r="AV94" s="534"/>
      <c r="AW94" s="534"/>
      <c r="AX94" s="534"/>
      <c r="AY94" s="534"/>
      <c r="AZ94" s="534"/>
      <c r="BA94" s="534"/>
      <c r="BB94" s="534"/>
      <c r="BC94" s="534"/>
      <c r="BD94" s="534"/>
      <c r="BE94" s="534"/>
      <c r="BF94" s="534"/>
      <c r="BG94" s="534"/>
      <c r="BH94" s="534"/>
      <c r="BI94" s="534"/>
      <c r="BJ94" s="534"/>
      <c r="BK94" s="534"/>
      <c r="BL94" s="534"/>
      <c r="BM94" s="534"/>
      <c r="BN94" s="534"/>
      <c r="BO94" s="534"/>
      <c r="BP94" s="534"/>
      <c r="BQ94" s="534"/>
      <c r="BR94" s="534"/>
      <c r="BS94" s="534"/>
      <c r="BT94" s="534"/>
      <c r="BU94" s="534"/>
      <c r="BV94" s="534"/>
      <c r="BW94" s="534"/>
      <c r="BX94" s="534"/>
      <c r="BY94" s="534"/>
      <c r="BZ94" s="534"/>
    </row>
    <row r="95" spans="2:78" x14ac:dyDescent="0.15">
      <c r="C95" s="32" t="s">
        <v>224</v>
      </c>
      <c r="D95" s="283">
        <v>6.4399999999999999E-2</v>
      </c>
      <c r="E95" s="284">
        <v>6.5000000000000002E-2</v>
      </c>
      <c r="F95" s="33">
        <f t="shared" ref="F95" si="213">F94-F96</f>
        <v>0</v>
      </c>
      <c r="G95" s="33">
        <f t="shared" ref="G95:AH95" si="214">G94-G96</f>
        <v>0</v>
      </c>
      <c r="H95" s="33">
        <f t="shared" si="214"/>
        <v>58195.031508424319</v>
      </c>
      <c r="I95" s="33">
        <f t="shared" si="214"/>
        <v>61997.446371325175</v>
      </c>
      <c r="J95" s="33">
        <f t="shared" ca="1" si="214"/>
        <v>106535.60397565446</v>
      </c>
      <c r="K95" s="33">
        <f t="shared" ca="1" si="214"/>
        <v>113561.40510867385</v>
      </c>
      <c r="L95" s="33">
        <f t="shared" ca="1" si="214"/>
        <v>121050.54318933026</v>
      </c>
      <c r="M95" s="33">
        <f t="shared" ca="1" si="214"/>
        <v>129033.57432403497</v>
      </c>
      <c r="N95" s="33">
        <f t="shared" ca="1" si="214"/>
        <v>137543.06973075843</v>
      </c>
      <c r="O95" s="33">
        <f t="shared" ca="1" si="214"/>
        <v>146613.7486314401</v>
      </c>
      <c r="P95" s="33">
        <f t="shared" ca="1" si="214"/>
        <v>156282.61990837392</v>
      </c>
      <c r="Q95" s="33">
        <f t="shared" ca="1" si="214"/>
        <v>166589.13310253969</v>
      </c>
      <c r="R95" s="33">
        <f t="shared" ca="1" si="214"/>
        <v>177575.33936995827</v>
      </c>
      <c r="S95" s="33">
        <f t="shared" ca="1" si="214"/>
        <v>189286.06305278325</v>
      </c>
      <c r="T95" s="33">
        <f t="shared" ca="1" si="214"/>
        <v>201769.08456514962</v>
      </c>
      <c r="U95" s="33">
        <f t="shared" ca="1" si="214"/>
        <v>215075.33533996169</v>
      </c>
      <c r="V95" s="33">
        <f t="shared" ca="1" si="214"/>
        <v>229259.1056320169</v>
      </c>
      <c r="W95" s="33">
        <f t="shared" ca="1" si="214"/>
        <v>244378.26602531166</v>
      </c>
      <c r="X95" s="33">
        <f t="shared" ca="1" si="214"/>
        <v>260494.50354829337</v>
      </c>
      <c r="Y95" s="33">
        <f t="shared" ca="1" si="214"/>
        <v>277673.57336042094</v>
      </c>
      <c r="Z95" s="33">
        <f t="shared" ca="1" si="214"/>
        <v>295985.56703692954</v>
      </c>
      <c r="AA95" s="33">
        <f t="shared" ca="1" si="214"/>
        <v>315505.198546417</v>
      </c>
      <c r="AB95" s="33">
        <f t="shared" ca="1" si="214"/>
        <v>336312.10908805626</v>
      </c>
      <c r="AC95" s="33">
        <f t="shared" ca="1" si="214"/>
        <v>358491.19203218631</v>
      </c>
      <c r="AD95" s="33">
        <f t="shared" ca="1" si="214"/>
        <v>382132.93929005897</v>
      </c>
      <c r="AE95" s="33">
        <f t="shared" ca="1" si="214"/>
        <v>407333.81052594818</v>
      </c>
      <c r="AF95" s="33">
        <f t="shared" ca="1" si="214"/>
        <v>434196.62671802921</v>
      </c>
      <c r="AG95" s="33">
        <f t="shared" ca="1" si="214"/>
        <v>462830.98967377754</v>
      </c>
      <c r="AH95" s="33">
        <f t="shared" ca="1" si="214"/>
        <v>493353.72921153472</v>
      </c>
      <c r="AI95" s="33">
        <f t="shared" ref="AI95:AJ95" ca="1" si="215">AI94-AI96</f>
        <v>525889.37983276625</v>
      </c>
      <c r="AJ95" s="33">
        <f t="shared" ca="1" si="215"/>
        <v>560570.68882986251</v>
      </c>
      <c r="AK95" s="534"/>
      <c r="AL95" s="534"/>
      <c r="AM95" s="534"/>
      <c r="AN95" s="534"/>
      <c r="AO95" s="534"/>
      <c r="AP95" s="534"/>
      <c r="AQ95" s="534"/>
      <c r="AR95" s="534"/>
      <c r="AS95" s="534"/>
      <c r="AT95" s="534"/>
      <c r="AU95" s="534"/>
      <c r="AV95" s="534"/>
      <c r="AW95" s="534"/>
      <c r="AX95" s="534"/>
      <c r="AY95" s="534"/>
      <c r="AZ95" s="534"/>
      <c r="BA95" s="534"/>
      <c r="BB95" s="534"/>
      <c r="BC95" s="534"/>
      <c r="BD95" s="534"/>
      <c r="BE95" s="534"/>
      <c r="BF95" s="534"/>
      <c r="BG95" s="534"/>
      <c r="BH95" s="534"/>
      <c r="BI95" s="534"/>
      <c r="BJ95" s="534"/>
      <c r="BK95" s="534"/>
      <c r="BL95" s="534"/>
      <c r="BM95" s="534"/>
      <c r="BN95" s="534"/>
      <c r="BO95" s="534"/>
      <c r="BP95" s="534"/>
      <c r="BQ95" s="534"/>
      <c r="BR95" s="534"/>
      <c r="BS95" s="534"/>
      <c r="BT95" s="534"/>
      <c r="BU95" s="534"/>
      <c r="BV95" s="534"/>
      <c r="BW95" s="534"/>
      <c r="BX95" s="534"/>
      <c r="BY95" s="534"/>
      <c r="BZ95" s="534"/>
    </row>
    <row r="96" spans="2:78" x14ac:dyDescent="0.15">
      <c r="C96" s="32" t="s">
        <v>225</v>
      </c>
      <c r="D96" s="716" t="s">
        <v>226</v>
      </c>
      <c r="E96" s="716" t="s">
        <v>227</v>
      </c>
      <c r="F96" s="33">
        <f>IF(F90&gt;=$D$97+1,(F92+F93)*(($E$95/360)*365.25),(F92+F93)*(($D$95/360)*365.25))</f>
        <v>352831.5</v>
      </c>
      <c r="G96" s="33">
        <f t="shared" ref="G96:AH96" si="216">IF(G90&gt;=$D$97+1,(G92+G93)*(($E$95/360)*365.25),(G92+G93)*(($D$95/360)*365.25))</f>
        <v>352831.5</v>
      </c>
      <c r="H96" s="33">
        <f t="shared" si="216"/>
        <v>352831.5</v>
      </c>
      <c r="I96" s="33">
        <f t="shared" si="216"/>
        <v>349029.08513709914</v>
      </c>
      <c r="J96" s="33">
        <f t="shared" ca="1" si="216"/>
        <v>659708.01936032833</v>
      </c>
      <c r="K96" s="33">
        <f t="shared" ca="1" si="216"/>
        <v>652682.21822730894</v>
      </c>
      <c r="L96" s="33">
        <f t="shared" ca="1" si="216"/>
        <v>645193.08014665253</v>
      </c>
      <c r="M96" s="33">
        <f t="shared" ca="1" si="216"/>
        <v>637210.04901194782</v>
      </c>
      <c r="N96" s="33">
        <f t="shared" ca="1" si="216"/>
        <v>628700.55360522436</v>
      </c>
      <c r="O96" s="33">
        <f t="shared" ca="1" si="216"/>
        <v>619629.87470454269</v>
      </c>
      <c r="P96" s="33">
        <f t="shared" ca="1" si="216"/>
        <v>609961.00342760887</v>
      </c>
      <c r="Q96" s="33">
        <f t="shared" ca="1" si="216"/>
        <v>599654.4902334431</v>
      </c>
      <c r="R96" s="33">
        <f t="shared" ca="1" si="216"/>
        <v>588668.28396602452</v>
      </c>
      <c r="S96" s="33">
        <f t="shared" ca="1" si="216"/>
        <v>576957.56028319953</v>
      </c>
      <c r="T96" s="33">
        <f t="shared" ca="1" si="216"/>
        <v>564474.53877083317</v>
      </c>
      <c r="U96" s="33">
        <f t="shared" ca="1" si="216"/>
        <v>551168.2879960211</v>
      </c>
      <c r="V96" s="33">
        <f t="shared" ca="1" si="216"/>
        <v>536984.51770396589</v>
      </c>
      <c r="W96" s="33">
        <f t="shared" ca="1" si="216"/>
        <v>521865.35731067113</v>
      </c>
      <c r="X96" s="33">
        <f t="shared" ca="1" si="216"/>
        <v>505749.11978768941</v>
      </c>
      <c r="Y96" s="33">
        <f t="shared" ca="1" si="216"/>
        <v>488570.04997556185</v>
      </c>
      <c r="Z96" s="33">
        <f t="shared" ca="1" si="216"/>
        <v>470258.05629905325</v>
      </c>
      <c r="AA96" s="33">
        <f t="shared" ca="1" si="216"/>
        <v>450738.42478956579</v>
      </c>
      <c r="AB96" s="33">
        <f t="shared" ca="1" si="216"/>
        <v>429931.51424792653</v>
      </c>
      <c r="AC96" s="33">
        <f t="shared" ca="1" si="216"/>
        <v>407752.43130379647</v>
      </c>
      <c r="AD96" s="33">
        <f t="shared" ca="1" si="216"/>
        <v>384110.68404592382</v>
      </c>
      <c r="AE96" s="33">
        <f t="shared" ca="1" si="216"/>
        <v>358909.81281003461</v>
      </c>
      <c r="AF96" s="33">
        <f t="shared" ca="1" si="216"/>
        <v>332046.99661795358</v>
      </c>
      <c r="AG96" s="33">
        <f t="shared" ca="1" si="216"/>
        <v>303412.63366220525</v>
      </c>
      <c r="AH96" s="33">
        <f t="shared" ca="1" si="216"/>
        <v>272889.89412444807</v>
      </c>
      <c r="AI96" s="33">
        <f t="shared" ref="AI96:AJ96" ca="1" si="217">IF(AI90&gt;=$D$97+1,(AI92+AI93)*(($E$95/360)*365.25),(AI92+AI93)*(($D$95/360)*365.25))</f>
        <v>240354.24350321654</v>
      </c>
      <c r="AJ96" s="33">
        <f t="shared" ca="1" si="217"/>
        <v>205672.93450612025</v>
      </c>
      <c r="AK96" s="534"/>
      <c r="AL96" s="534"/>
      <c r="AM96" s="534"/>
      <c r="AN96" s="534"/>
      <c r="AO96" s="534"/>
      <c r="AP96" s="534"/>
      <c r="AQ96" s="534"/>
      <c r="AR96" s="534"/>
      <c r="AS96" s="534"/>
      <c r="AT96" s="534"/>
      <c r="AU96" s="534"/>
      <c r="AV96" s="534"/>
      <c r="AW96" s="534"/>
      <c r="AX96" s="534"/>
      <c r="AY96" s="534"/>
      <c r="AZ96" s="534"/>
      <c r="BA96" s="534"/>
      <c r="BB96" s="534"/>
      <c r="BC96" s="534"/>
      <c r="BD96" s="534"/>
      <c r="BE96" s="534"/>
      <c r="BF96" s="534"/>
      <c r="BG96" s="534"/>
      <c r="BH96" s="534"/>
      <c r="BI96" s="534"/>
      <c r="BJ96" s="534"/>
      <c r="BK96" s="534"/>
      <c r="BL96" s="534"/>
      <c r="BM96" s="534"/>
      <c r="BN96" s="534"/>
      <c r="BO96" s="534"/>
      <c r="BP96" s="534"/>
      <c r="BQ96" s="534"/>
      <c r="BR96" s="534"/>
      <c r="BS96" s="534"/>
      <c r="BT96" s="534"/>
      <c r="BU96" s="534"/>
      <c r="BV96" s="534"/>
      <c r="BW96" s="534"/>
      <c r="BX96" s="534"/>
      <c r="BY96" s="534"/>
      <c r="BZ96" s="534"/>
    </row>
    <row r="97" spans="3:78" ht="14" thickBot="1" x14ac:dyDescent="0.2">
      <c r="C97" s="32" t="s">
        <v>228</v>
      </c>
      <c r="D97" s="282">
        <v>4</v>
      </c>
      <c r="E97" s="281">
        <v>31</v>
      </c>
      <c r="F97" s="598">
        <f t="shared" ref="F97:AH97" si="218">F92-F95+F93</f>
        <v>5400000</v>
      </c>
      <c r="G97" s="599">
        <f t="shared" si="218"/>
        <v>5400000</v>
      </c>
      <c r="H97" s="599">
        <f t="shared" si="218"/>
        <v>5341804.9684915757</v>
      </c>
      <c r="I97" s="599">
        <f t="shared" si="218"/>
        <v>5279807.5221202504</v>
      </c>
      <c r="J97" s="599">
        <f t="shared" ca="1" si="218"/>
        <v>9896934.5995611511</v>
      </c>
      <c r="K97" s="600">
        <f t="shared" ca="1" si="218"/>
        <v>9783373.1944524776</v>
      </c>
      <c r="L97" s="600">
        <f t="shared" ca="1" si="218"/>
        <v>9662322.6512631476</v>
      </c>
      <c r="M97" s="600">
        <f t="shared" ca="1" si="218"/>
        <v>9533289.0769391134</v>
      </c>
      <c r="N97" s="600">
        <f t="shared" ca="1" si="218"/>
        <v>9395746.0072083548</v>
      </c>
      <c r="O97" s="600">
        <f t="shared" ca="1" si="218"/>
        <v>9249132.2585769147</v>
      </c>
      <c r="P97" s="600">
        <f t="shared" ca="1" si="218"/>
        <v>9092849.6386685409</v>
      </c>
      <c r="Q97" s="600">
        <f t="shared" ca="1" si="218"/>
        <v>8926260.5055660009</v>
      </c>
      <c r="R97" s="600">
        <f t="shared" ca="1" si="218"/>
        <v>8748685.1661960427</v>
      </c>
      <c r="S97" s="600">
        <f t="shared" ca="1" si="218"/>
        <v>8559399.1031432599</v>
      </c>
      <c r="T97" s="600">
        <f t="shared" ca="1" si="218"/>
        <v>8357630.0185781103</v>
      </c>
      <c r="U97" s="600">
        <f t="shared" ca="1" si="218"/>
        <v>8142554.6832381487</v>
      </c>
      <c r="V97" s="600">
        <f t="shared" ca="1" si="218"/>
        <v>7913295.5776061323</v>
      </c>
      <c r="W97" s="600">
        <f t="shared" ca="1" si="218"/>
        <v>7668917.3115808209</v>
      </c>
      <c r="X97" s="600">
        <f t="shared" ca="1" si="218"/>
        <v>7408422.8080325276</v>
      </c>
      <c r="Y97" s="600">
        <f t="shared" ca="1" si="218"/>
        <v>7130749.2346721068</v>
      </c>
      <c r="Z97" s="600">
        <f t="shared" ca="1" si="218"/>
        <v>6834763.6676351773</v>
      </c>
      <c r="AA97" s="600">
        <f t="shared" ca="1" si="218"/>
        <v>6519258.4690887602</v>
      </c>
      <c r="AB97" s="600">
        <f t="shared" ca="1" si="218"/>
        <v>6182946.3600007035</v>
      </c>
      <c r="AC97" s="600">
        <f t="shared" ca="1" si="218"/>
        <v>5824455.1679685172</v>
      </c>
      <c r="AD97" s="600">
        <f t="shared" ca="1" si="218"/>
        <v>5442322.2286784584</v>
      </c>
      <c r="AE97" s="600">
        <f t="shared" ca="1" si="218"/>
        <v>5034988.4181525102</v>
      </c>
      <c r="AF97" s="600">
        <f t="shared" ca="1" si="218"/>
        <v>4600791.7914344808</v>
      </c>
      <c r="AG97" s="600">
        <f t="shared" ca="1" si="218"/>
        <v>4137960.8017607033</v>
      </c>
      <c r="AH97" s="600">
        <f t="shared" ca="1" si="218"/>
        <v>3644607.0725491685</v>
      </c>
      <c r="AI97" s="600">
        <f t="shared" ref="AI97:AJ97" ca="1" si="219">AI92-AI95+AI93</f>
        <v>3118717.692716402</v>
      </c>
      <c r="AJ97" s="600">
        <f t="shared" ca="1" si="219"/>
        <v>2558147.0038865395</v>
      </c>
      <c r="AK97" s="534"/>
      <c r="AL97" s="534"/>
      <c r="AM97" s="534"/>
      <c r="AN97" s="534"/>
      <c r="AO97" s="534"/>
      <c r="AP97" s="534"/>
      <c r="AQ97" s="534"/>
      <c r="AR97" s="534"/>
      <c r="AS97" s="534"/>
      <c r="AT97" s="534"/>
      <c r="AU97" s="534"/>
      <c r="AV97" s="534"/>
      <c r="AW97" s="534"/>
      <c r="AX97" s="534"/>
      <c r="AY97" s="534"/>
      <c r="AZ97" s="534"/>
      <c r="BA97" s="534"/>
      <c r="BB97" s="534"/>
      <c r="BC97" s="534"/>
      <c r="BD97" s="534"/>
      <c r="BE97" s="534"/>
      <c r="BF97" s="534"/>
      <c r="BG97" s="534"/>
      <c r="BH97" s="534"/>
      <c r="BI97" s="534"/>
      <c r="BJ97" s="534"/>
      <c r="BK97" s="534"/>
      <c r="BL97" s="534"/>
      <c r="BM97" s="534"/>
      <c r="BN97" s="534"/>
      <c r="BO97" s="534"/>
      <c r="BP97" s="534"/>
      <c r="BQ97" s="534"/>
      <c r="BR97" s="534"/>
      <c r="BS97" s="534"/>
      <c r="BT97" s="534"/>
      <c r="BU97" s="534"/>
      <c r="BV97" s="534"/>
      <c r="BW97" s="534"/>
      <c r="BX97" s="534"/>
      <c r="BY97" s="534"/>
      <c r="BZ97" s="534"/>
    </row>
    <row r="98" spans="3:78" ht="14" thickTop="1" x14ac:dyDescent="0.15">
      <c r="C98" s="504"/>
      <c r="D98" s="716" t="s">
        <v>229</v>
      </c>
      <c r="E98" s="222" t="s">
        <v>230</v>
      </c>
      <c r="F98" s="223">
        <f t="shared" ref="F98:L98" ca="1" si="220">F83/(F94/12)</f>
        <v>0.68685111731804005</v>
      </c>
      <c r="G98" s="223">
        <f t="shared" ca="1" si="220"/>
        <v>1.6002935231123074</v>
      </c>
      <c r="H98" s="223">
        <f t="shared" ca="1" si="220"/>
        <v>2.1572866360473046</v>
      </c>
      <c r="I98" s="223">
        <f t="shared" ca="1" si="220"/>
        <v>2.4337772471341736</v>
      </c>
      <c r="J98" s="223">
        <f t="shared" ca="1" si="220"/>
        <v>1.3704596442955357</v>
      </c>
      <c r="K98" s="223">
        <f ca="1">J83/(K94/12)</f>
        <v>1.3704596442955357</v>
      </c>
      <c r="L98" s="223">
        <f t="shared" ca="1" si="220"/>
        <v>1.5091796096177699</v>
      </c>
      <c r="M98" s="223">
        <f ca="1">L83/(M94/12)</f>
        <v>1.5091796096177699</v>
      </c>
      <c r="N98" s="223">
        <f t="shared" ref="N98:AH98" ca="1" si="221">N83/(N94/12)</f>
        <v>1.660531015203405</v>
      </c>
      <c r="O98" s="223">
        <f t="shared" ca="1" si="221"/>
        <v>1.7412787191744556</v>
      </c>
      <c r="P98" s="223">
        <f t="shared" ca="1" si="221"/>
        <v>1.8255975869780949</v>
      </c>
      <c r="Q98" s="223">
        <f t="shared" ca="1" si="221"/>
        <v>1.9136372902811019</v>
      </c>
      <c r="R98" s="223">
        <f t="shared" ca="1" si="221"/>
        <v>2.0055536241191954</v>
      </c>
      <c r="S98" s="223">
        <f t="shared" ca="1" si="221"/>
        <v>2.1015087545618378</v>
      </c>
      <c r="T98" s="223">
        <f t="shared" ca="1" si="221"/>
        <v>2.201671476338233</v>
      </c>
      <c r="U98" s="223">
        <f t="shared" ca="1" si="221"/>
        <v>2.3062174808240505</v>
      </c>
      <c r="V98" s="223">
        <f t="shared" ca="1" si="221"/>
        <v>2.4153296348044346</v>
      </c>
      <c r="W98" s="223">
        <f t="shared" ca="1" si="221"/>
        <v>2.5291982704454723</v>
      </c>
      <c r="X98" s="223">
        <f t="shared" ca="1" si="221"/>
        <v>2.6480214869236161</v>
      </c>
      <c r="Y98" s="223">
        <f t="shared" ca="1" si="221"/>
        <v>2.772005464180582</v>
      </c>
      <c r="Z98" s="223">
        <f t="shared" ca="1" si="221"/>
        <v>2.9013647892899148</v>
      </c>
      <c r="AA98" s="223">
        <f t="shared" ca="1" si="221"/>
        <v>3.0363227959409524</v>
      </c>
      <c r="AB98" s="223">
        <f t="shared" ca="1" si="221"/>
        <v>3.1771119175661084</v>
      </c>
      <c r="AC98" s="223">
        <f t="shared" ca="1" si="221"/>
        <v>3.323974054658509</v>
      </c>
      <c r="AD98" s="223">
        <f t="shared" ca="1" si="221"/>
        <v>3.4771609568488895</v>
      </c>
      <c r="AE98" s="223">
        <f t="shared" ca="1" si="221"/>
        <v>3.6369346203334558</v>
      </c>
      <c r="AF98" s="223">
        <f t="shared" ca="1" si="221"/>
        <v>3.8035677012681046</v>
      </c>
      <c r="AG98" s="223">
        <f t="shared" ca="1" si="221"/>
        <v>3.9773439457690554</v>
      </c>
      <c r="AH98" s="223">
        <f t="shared" ca="1" si="221"/>
        <v>4.1585586371855348</v>
      </c>
      <c r="AI98" s="223">
        <f t="shared" ref="AI98:AJ98" ca="1" si="222">AI83/(AI94/12)</f>
        <v>4.3475190613368788</v>
      </c>
      <c r="AJ98" s="223">
        <f t="shared" ca="1" si="222"/>
        <v>4.5445449904340425</v>
      </c>
      <c r="AK98" s="534"/>
      <c r="AL98" s="534"/>
      <c r="AM98" s="534"/>
      <c r="AN98" s="534"/>
      <c r="AO98" s="534"/>
      <c r="AP98" s="534"/>
      <c r="AQ98" s="534"/>
      <c r="AR98" s="534"/>
      <c r="AS98" s="534"/>
      <c r="AT98" s="534"/>
      <c r="AU98" s="534"/>
      <c r="AV98" s="534"/>
      <c r="AW98" s="534"/>
      <c r="AX98" s="534"/>
      <c r="AY98" s="534"/>
      <c r="AZ98" s="534"/>
      <c r="BA98" s="534"/>
      <c r="BB98" s="534"/>
      <c r="BC98" s="534"/>
      <c r="BD98" s="534"/>
      <c r="BE98" s="534"/>
      <c r="BF98" s="534"/>
      <c r="BG98" s="534"/>
      <c r="BH98" s="534"/>
      <c r="BI98" s="534"/>
      <c r="BJ98" s="534"/>
      <c r="BK98" s="534"/>
      <c r="BL98" s="534"/>
      <c r="BM98" s="534"/>
      <c r="BN98" s="534"/>
      <c r="BO98" s="534"/>
      <c r="BP98" s="534"/>
      <c r="BQ98" s="534"/>
      <c r="BR98" s="534"/>
      <c r="BS98" s="534"/>
      <c r="BT98" s="534"/>
      <c r="BU98" s="534"/>
      <c r="BV98" s="534"/>
      <c r="BW98" s="534"/>
      <c r="BX98" s="534"/>
      <c r="BY98" s="534"/>
      <c r="BZ98" s="534"/>
    </row>
    <row r="99" spans="3:78" hidden="1" x14ac:dyDescent="0.15">
      <c r="C99" s="269" t="s">
        <v>231</v>
      </c>
      <c r="D99" s="332"/>
      <c r="E99" s="222" t="s">
        <v>232</v>
      </c>
      <c r="F99" s="223">
        <f t="shared" ref="F99:AH99" ca="1" si="223">(F83+((F106+F107)/12))/(F94/12)</f>
        <v>1.7208064189280154</v>
      </c>
      <c r="G99" s="223" t="e">
        <f ca="1">(G83+((G106+#REF!)/12))/(G94/12)</f>
        <v>#REF!</v>
      </c>
      <c r="H99" s="223" t="e">
        <f ca="1">(H83+((H106+#REF!)/12))/(H94/12)</f>
        <v>#REF!</v>
      </c>
      <c r="I99" s="223" t="e">
        <f ca="1">(I83+((I106+#REF!)/12))/(I94/12)</f>
        <v>#REF!</v>
      </c>
      <c r="J99" s="223" t="e">
        <f ca="1">(J83+((J106+#REF!)/12))/(J94/12)</f>
        <v>#REF!</v>
      </c>
      <c r="K99" s="223" t="e">
        <f ca="1">(K83+((K106+#REF!)/12))/(K94/12)</f>
        <v>#REF!</v>
      </c>
      <c r="L99" s="223" t="e">
        <f ca="1">(L83+((L106+#REF!)/12))/(L94/12)</f>
        <v>#REF!</v>
      </c>
      <c r="M99" s="223">
        <f t="shared" ca="1" si="223"/>
        <v>2.3174836834097636</v>
      </c>
      <c r="N99" s="223">
        <f t="shared" ca="1" si="223"/>
        <v>2.394804009933825</v>
      </c>
      <c r="O99" s="223">
        <f t="shared" ca="1" si="223"/>
        <v>2.4755517139048755</v>
      </c>
      <c r="P99" s="223">
        <f t="shared" ca="1" si="223"/>
        <v>1.8255975869780949</v>
      </c>
      <c r="Q99" s="223">
        <f t="shared" ca="1" si="223"/>
        <v>1.9136372902811019</v>
      </c>
      <c r="R99" s="223">
        <f t="shared" ca="1" si="223"/>
        <v>2.0055536241191954</v>
      </c>
      <c r="S99" s="223">
        <f t="shared" ca="1" si="223"/>
        <v>2.1015087545618378</v>
      </c>
      <c r="T99" s="223">
        <f t="shared" ca="1" si="223"/>
        <v>2.201671476338233</v>
      </c>
      <c r="U99" s="223">
        <f t="shared" ca="1" si="223"/>
        <v>2.3062174808240505</v>
      </c>
      <c r="V99" s="223">
        <f t="shared" ca="1" si="223"/>
        <v>2.4153296348044346</v>
      </c>
      <c r="W99" s="223">
        <f t="shared" ca="1" si="223"/>
        <v>2.5291982704454723</v>
      </c>
      <c r="X99" s="223">
        <f t="shared" ca="1" si="223"/>
        <v>2.6480214869236161</v>
      </c>
      <c r="Y99" s="223">
        <f t="shared" ca="1" si="223"/>
        <v>2.772005464180582</v>
      </c>
      <c r="Z99" s="223">
        <f t="shared" ca="1" si="223"/>
        <v>2.9013647892899148</v>
      </c>
      <c r="AA99" s="223">
        <f t="shared" ca="1" si="223"/>
        <v>3.0363227959409524</v>
      </c>
      <c r="AB99" s="223">
        <f t="shared" ca="1" si="223"/>
        <v>3.1771119175661084</v>
      </c>
      <c r="AC99" s="223">
        <f t="shared" ca="1" si="223"/>
        <v>3.323974054658509</v>
      </c>
      <c r="AD99" s="223">
        <f t="shared" ca="1" si="223"/>
        <v>3.4771609568488895</v>
      </c>
      <c r="AE99" s="223">
        <f t="shared" ca="1" si="223"/>
        <v>3.6369346203334558</v>
      </c>
      <c r="AF99" s="223">
        <f t="shared" ca="1" si="223"/>
        <v>3.8035677012681046</v>
      </c>
      <c r="AG99" s="223">
        <f t="shared" ca="1" si="223"/>
        <v>3.9773439457690554</v>
      </c>
      <c r="AH99" s="223">
        <f t="shared" ca="1" si="223"/>
        <v>4.1585586371855348</v>
      </c>
      <c r="AI99" s="223">
        <f t="shared" ref="AI99:AJ99" ca="1" si="224">(AI83+((AI106+AI107)/12))/(AI94/12)</f>
        <v>4.3475190613368788</v>
      </c>
      <c r="AJ99" s="223">
        <f t="shared" ca="1" si="224"/>
        <v>4.5445449904340425</v>
      </c>
      <c r="AK99" s="534"/>
      <c r="AL99" s="534"/>
      <c r="AM99" s="534"/>
      <c r="AN99" s="534"/>
      <c r="AO99" s="534"/>
      <c r="AP99" s="534"/>
      <c r="AQ99" s="534"/>
      <c r="AR99" s="534"/>
      <c r="AS99" s="534"/>
      <c r="AT99" s="534"/>
      <c r="AU99" s="534"/>
      <c r="AV99" s="534"/>
      <c r="AW99" s="534"/>
      <c r="AX99" s="534"/>
      <c r="AY99" s="534"/>
      <c r="AZ99" s="534"/>
      <c r="BA99" s="534"/>
      <c r="BB99" s="534"/>
      <c r="BC99" s="534"/>
      <c r="BD99" s="534"/>
      <c r="BE99" s="534"/>
      <c r="BF99" s="534"/>
      <c r="BG99" s="534"/>
      <c r="BH99" s="534"/>
      <c r="BI99" s="534"/>
      <c r="BJ99" s="534"/>
      <c r="BK99" s="534"/>
      <c r="BL99" s="534"/>
      <c r="BM99" s="534"/>
      <c r="BN99" s="534"/>
      <c r="BO99" s="534"/>
      <c r="BP99" s="534"/>
      <c r="BQ99" s="534"/>
      <c r="BR99" s="534"/>
      <c r="BS99" s="534"/>
      <c r="BT99" s="534"/>
      <c r="BU99" s="534"/>
      <c r="BV99" s="534"/>
      <c r="BW99" s="534"/>
      <c r="BX99" s="534"/>
      <c r="BY99" s="534"/>
      <c r="BZ99" s="534"/>
    </row>
    <row r="100" spans="3:78" x14ac:dyDescent="0.15">
      <c r="C100" s="333" t="str">
        <f>IF(D100&gt;D97,"IO Years cannont be greater than 1st Refi Year","")</f>
        <v/>
      </c>
      <c r="D100" s="281">
        <v>2</v>
      </c>
      <c r="E100" s="222"/>
      <c r="F100" s="223"/>
      <c r="G100" s="223"/>
      <c r="H100" s="223"/>
      <c r="I100" s="223"/>
      <c r="J100" s="223"/>
      <c r="K100" s="223"/>
      <c r="L100" s="223"/>
      <c r="M100" s="223"/>
      <c r="N100" s="223"/>
      <c r="O100" s="223"/>
      <c r="P100" s="223"/>
      <c r="Q100" s="223"/>
      <c r="R100" s="223"/>
      <c r="S100" s="223"/>
      <c r="T100" s="223"/>
      <c r="U100" s="223"/>
      <c r="V100" s="223"/>
      <c r="W100" s="223"/>
      <c r="X100" s="223"/>
      <c r="Y100" s="223"/>
      <c r="Z100" s="223"/>
      <c r="AA100" s="223"/>
      <c r="AB100" s="223"/>
      <c r="AC100" s="223"/>
      <c r="AD100" s="223"/>
      <c r="AE100" s="223"/>
      <c r="AF100" s="223"/>
      <c r="AG100" s="223"/>
      <c r="AH100" s="223"/>
      <c r="AI100" s="223"/>
      <c r="AJ100" s="223"/>
      <c r="AK100" s="534"/>
      <c r="AL100" s="534"/>
      <c r="AM100" s="534"/>
      <c r="AN100" s="534"/>
      <c r="AO100" s="534"/>
      <c r="AP100" s="534"/>
      <c r="AQ100" s="534"/>
      <c r="AR100" s="534"/>
      <c r="AS100" s="534"/>
      <c r="AT100" s="534"/>
      <c r="AU100" s="534"/>
      <c r="AV100" s="534"/>
      <c r="AW100" s="534"/>
      <c r="AX100" s="534"/>
      <c r="AY100" s="534"/>
      <c r="AZ100" s="534"/>
      <c r="BA100" s="534"/>
      <c r="BB100" s="534"/>
      <c r="BC100" s="534"/>
      <c r="BD100" s="534"/>
      <c r="BE100" s="534"/>
      <c r="BF100" s="534"/>
      <c r="BG100" s="534"/>
      <c r="BH100" s="534"/>
      <c r="BI100" s="534"/>
      <c r="BJ100" s="534"/>
      <c r="BK100" s="534"/>
      <c r="BL100" s="534"/>
      <c r="BM100" s="534"/>
      <c r="BN100" s="534"/>
      <c r="BO100" s="534"/>
      <c r="BP100" s="534"/>
      <c r="BQ100" s="534"/>
      <c r="BR100" s="534"/>
      <c r="BS100" s="534"/>
      <c r="BT100" s="534"/>
      <c r="BU100" s="534"/>
      <c r="BV100" s="534"/>
      <c r="BW100" s="534"/>
      <c r="BX100" s="534"/>
      <c r="BY100" s="534"/>
      <c r="BZ100" s="534"/>
    </row>
    <row r="101" spans="3:78" x14ac:dyDescent="0.15">
      <c r="C101" s="504"/>
      <c r="D101" s="28"/>
      <c r="E101" s="14"/>
      <c r="F101" s="34"/>
      <c r="G101" s="34"/>
      <c r="H101" s="34"/>
      <c r="I101" s="34"/>
      <c r="J101" s="34"/>
      <c r="K101" s="34"/>
      <c r="L101" s="34"/>
      <c r="M101" s="34"/>
      <c r="N101" s="34"/>
      <c r="O101" s="34"/>
      <c r="P101" s="34"/>
      <c r="Q101" s="34"/>
      <c r="R101" s="34"/>
      <c r="S101" s="34"/>
      <c r="T101" s="34"/>
      <c r="U101" s="34"/>
      <c r="V101" s="34"/>
      <c r="W101" s="34"/>
      <c r="X101" s="34"/>
      <c r="Y101" s="34"/>
      <c r="Z101" s="34"/>
      <c r="AA101" s="34"/>
      <c r="AB101" s="34"/>
      <c r="AC101" s="34"/>
      <c r="AD101" s="34"/>
      <c r="AE101" s="34"/>
      <c r="AF101" s="34"/>
      <c r="AG101" s="34"/>
      <c r="AH101" s="34"/>
      <c r="AI101" s="34"/>
      <c r="AJ101" s="34"/>
      <c r="AK101" s="534"/>
      <c r="AL101" s="534"/>
      <c r="AM101" s="534"/>
      <c r="AN101" s="534"/>
      <c r="AO101" s="534"/>
      <c r="AP101" s="534"/>
      <c r="AQ101" s="534"/>
      <c r="AR101" s="534"/>
      <c r="AS101" s="534"/>
      <c r="AT101" s="534"/>
      <c r="AU101" s="534"/>
      <c r="AV101" s="534"/>
      <c r="AW101" s="534"/>
      <c r="AX101" s="534"/>
      <c r="AY101" s="534"/>
      <c r="AZ101" s="534"/>
      <c r="BA101" s="534"/>
      <c r="BB101" s="534"/>
      <c r="BC101" s="534"/>
      <c r="BD101" s="534"/>
      <c r="BE101" s="534"/>
      <c r="BF101" s="534"/>
      <c r="BG101" s="534"/>
      <c r="BH101" s="534"/>
      <c r="BI101" s="534"/>
      <c r="BJ101" s="534"/>
      <c r="BK101" s="534"/>
      <c r="BL101" s="534"/>
      <c r="BM101" s="534"/>
      <c r="BN101" s="534"/>
      <c r="BO101" s="534"/>
      <c r="BP101" s="534"/>
      <c r="BQ101" s="534"/>
      <c r="BR101" s="534"/>
      <c r="BS101" s="534"/>
      <c r="BT101" s="534"/>
      <c r="BU101" s="534"/>
      <c r="BV101" s="534"/>
      <c r="BW101" s="534"/>
      <c r="BX101" s="534"/>
      <c r="BY101" s="534"/>
      <c r="BZ101" s="534"/>
    </row>
    <row r="102" spans="3:78" x14ac:dyDescent="0.15">
      <c r="C102" s="36" t="s">
        <v>233</v>
      </c>
      <c r="D102" s="601" t="s">
        <v>234</v>
      </c>
      <c r="E102" s="602">
        <v>6.5000000000000002E-2</v>
      </c>
      <c r="F102" s="140">
        <f t="shared" ref="F102:AH102" ca="1" si="225">(F85/$E$102)</f>
        <v>3728349.3846153854</v>
      </c>
      <c r="G102" s="140">
        <f t="shared" ca="1" si="225"/>
        <v>8686676.3723076936</v>
      </c>
      <c r="H102" s="140">
        <f t="shared" ca="1" si="225"/>
        <v>13641569.899753846</v>
      </c>
      <c r="I102" s="140">
        <f t="shared" ca="1" si="225"/>
        <v>15389954.159287391</v>
      </c>
      <c r="J102" s="140">
        <f t="shared" ca="1" si="225"/>
        <v>16155476.36124236</v>
      </c>
      <c r="K102" s="140">
        <f t="shared" ca="1" si="225"/>
        <v>16955263.066756438</v>
      </c>
      <c r="L102" s="140">
        <f t="shared" ca="1" si="225"/>
        <v>17790757.728281602</v>
      </c>
      <c r="M102" s="140">
        <f t="shared" ca="1" si="225"/>
        <v>18663462.9938141</v>
      </c>
      <c r="N102" s="140">
        <f t="shared" ca="1" si="225"/>
        <v>19574943.103865154</v>
      </c>
      <c r="O102" s="140">
        <f t="shared" ca="1" si="225"/>
        <v>20526826.384893451</v>
      </c>
      <c r="P102" s="140">
        <f t="shared" ca="1" si="225"/>
        <v>21520807.843069572</v>
      </c>
      <c r="Q102" s="140">
        <f t="shared" ca="1" si="225"/>
        <v>22558651.862397593</v>
      </c>
      <c r="R102" s="140">
        <f t="shared" ca="1" si="225"/>
        <v>23642195.011380062</v>
      </c>
      <c r="S102" s="140">
        <f t="shared" ca="1" si="225"/>
        <v>24773348.962580789</v>
      </c>
      <c r="T102" s="140">
        <f t="shared" ca="1" si="225"/>
        <v>25954103.529613692</v>
      </c>
      <c r="U102" s="140">
        <f t="shared" ca="1" si="225"/>
        <v>27186529.826267738</v>
      </c>
      <c r="V102" s="140">
        <f t="shared" ca="1" si="225"/>
        <v>28472783.552666556</v>
      </c>
      <c r="W102" s="140">
        <f t="shared" ca="1" si="225"/>
        <v>29815108.413557533</v>
      </c>
      <c r="X102" s="140">
        <f t="shared" ca="1" si="225"/>
        <v>31215839.674029052</v>
      </c>
      <c r="Y102" s="140">
        <f t="shared" ca="1" si="225"/>
        <v>32677407.858167257</v>
      </c>
      <c r="Z102" s="140">
        <f t="shared" ca="1" si="225"/>
        <v>34202342.596383765</v>
      </c>
      <c r="AA102" s="140">
        <f t="shared" ca="1" si="225"/>
        <v>35793276.62737596</v>
      </c>
      <c r="AB102" s="140">
        <f t="shared" ca="1" si="225"/>
        <v>37452949.960919797</v>
      </c>
      <c r="AC102" s="140">
        <f t="shared" ca="1" si="225"/>
        <v>39184214.207943596</v>
      </c>
      <c r="AD102" s="140">
        <f t="shared" ca="1" si="225"/>
        <v>40990037.084589325</v>
      </c>
      <c r="AE102" s="140">
        <f t="shared" ca="1" si="225"/>
        <v>42873507.097236678</v>
      </c>
      <c r="AF102" s="140">
        <f t="shared" ca="1" si="225"/>
        <v>44837838.415744416</v>
      </c>
      <c r="AG102" s="140">
        <f t="shared" ca="1" si="225"/>
        <v>46886375.942454085</v>
      </c>
      <c r="AH102" s="140">
        <f t="shared" ca="1" si="225"/>
        <v>49022600.58480294</v>
      </c>
      <c r="AI102" s="140">
        <f t="shared" ref="AI102:AJ102" ca="1" si="226">(AI85/$E$102)</f>
        <v>51250134.739708014</v>
      </c>
      <c r="AJ102" s="140">
        <f t="shared" ca="1" si="226"/>
        <v>53572747.998208776</v>
      </c>
      <c r="AK102" s="534"/>
      <c r="AL102" s="534"/>
      <c r="AM102" s="534"/>
      <c r="AN102" s="534"/>
      <c r="AO102" s="534"/>
      <c r="AP102" s="534"/>
      <c r="AQ102" s="534"/>
      <c r="AR102" s="534"/>
      <c r="AS102" s="534"/>
      <c r="AT102" s="534"/>
      <c r="AU102" s="534"/>
      <c r="AV102" s="534"/>
      <c r="AW102" s="534"/>
      <c r="AX102" s="534"/>
      <c r="AY102" s="534"/>
      <c r="AZ102" s="534"/>
      <c r="BA102" s="534"/>
      <c r="BB102" s="534"/>
      <c r="BC102" s="534"/>
      <c r="BD102" s="534"/>
      <c r="BE102" s="534"/>
      <c r="BF102" s="534"/>
      <c r="BG102" s="534"/>
      <c r="BH102" s="534"/>
      <c r="BI102" s="534"/>
      <c r="BJ102" s="534"/>
      <c r="BK102" s="534"/>
      <c r="BL102" s="534"/>
      <c r="BM102" s="534"/>
      <c r="BN102" s="534"/>
      <c r="BO102" s="534"/>
      <c r="BP102" s="534"/>
      <c r="BQ102" s="534"/>
      <c r="BR102" s="534"/>
      <c r="BS102" s="534"/>
      <c r="BT102" s="534"/>
      <c r="BU102" s="534"/>
      <c r="BV102" s="534"/>
      <c r="BW102" s="534"/>
      <c r="BX102" s="534"/>
      <c r="BY102" s="534"/>
      <c r="BZ102" s="534"/>
    </row>
    <row r="103" spans="3:78" x14ac:dyDescent="0.15">
      <c r="C103" s="708"/>
      <c r="D103" s="28"/>
      <c r="E103" s="504"/>
      <c r="F103" s="314" t="str">
        <f t="shared" ref="F103:AH103" ca="1" si="227">"$/Sp="&amp;TEXT(ROUND((F102/NoOfSpaces),-2),"$0,0")</f>
        <v>$/Sp=$15,400</v>
      </c>
      <c r="G103" s="314" t="str">
        <f t="shared" ca="1" si="227"/>
        <v>$/Sp=$35,900</v>
      </c>
      <c r="H103" s="314" t="str">
        <f t="shared" ca="1" si="227"/>
        <v>$/Sp=$56,400</v>
      </c>
      <c r="I103" s="314" t="str">
        <f t="shared" ca="1" si="227"/>
        <v>$/Sp=$63,600</v>
      </c>
      <c r="J103" s="314" t="str">
        <f t="shared" ca="1" si="227"/>
        <v>$/Sp=$66,800</v>
      </c>
      <c r="K103" s="314" t="str">
        <f t="shared" ca="1" si="227"/>
        <v>$/Sp=$70,100</v>
      </c>
      <c r="L103" s="314" t="str">
        <f t="shared" ca="1" si="227"/>
        <v>$/Sp=$73,500</v>
      </c>
      <c r="M103" s="314" t="str">
        <f t="shared" ca="1" si="227"/>
        <v>$/Sp=$77,100</v>
      </c>
      <c r="N103" s="314" t="str">
        <f t="shared" ca="1" si="227"/>
        <v>$/Sp=$80,900</v>
      </c>
      <c r="O103" s="314" t="str">
        <f t="shared" ca="1" si="227"/>
        <v>$/Sp=$84,800</v>
      </c>
      <c r="P103" s="314" t="str">
        <f t="shared" ca="1" si="227"/>
        <v>$/Sp=$88,900</v>
      </c>
      <c r="Q103" s="314" t="str">
        <f t="shared" ca="1" si="227"/>
        <v>$/Sp=$93,200</v>
      </c>
      <c r="R103" s="314" t="str">
        <f t="shared" ca="1" si="227"/>
        <v>$/Sp=$97,700</v>
      </c>
      <c r="S103" s="314" t="str">
        <f t="shared" ca="1" si="227"/>
        <v>$/Sp=$102,400</v>
      </c>
      <c r="T103" s="314" t="str">
        <f t="shared" ca="1" si="227"/>
        <v>$/Sp=$107,200</v>
      </c>
      <c r="U103" s="314" t="str">
        <f t="shared" ca="1" si="227"/>
        <v>$/Sp=$112,300</v>
      </c>
      <c r="V103" s="314" t="str">
        <f t="shared" ca="1" si="227"/>
        <v>$/Sp=$117,700</v>
      </c>
      <c r="W103" s="314" t="str">
        <f t="shared" ca="1" si="227"/>
        <v>$/Sp=$123,200</v>
      </c>
      <c r="X103" s="314" t="str">
        <f t="shared" ca="1" si="227"/>
        <v>$/Sp=$129,000</v>
      </c>
      <c r="Y103" s="314" t="str">
        <f t="shared" ca="1" si="227"/>
        <v>$/Sp=$135,000</v>
      </c>
      <c r="Z103" s="314" t="str">
        <f t="shared" ca="1" si="227"/>
        <v>$/Sp=$141,300</v>
      </c>
      <c r="AA103" s="314" t="str">
        <f t="shared" ca="1" si="227"/>
        <v>$/Sp=$147,900</v>
      </c>
      <c r="AB103" s="314" t="str">
        <f t="shared" ca="1" si="227"/>
        <v>$/Sp=$154,800</v>
      </c>
      <c r="AC103" s="314" t="str">
        <f t="shared" ca="1" si="227"/>
        <v>$/Sp=$161,900</v>
      </c>
      <c r="AD103" s="314" t="str">
        <f t="shared" ca="1" si="227"/>
        <v>$/Sp=$169,400</v>
      </c>
      <c r="AE103" s="314" t="str">
        <f t="shared" ca="1" si="227"/>
        <v>$/Sp=$177,200</v>
      </c>
      <c r="AF103" s="314" t="str">
        <f t="shared" ca="1" si="227"/>
        <v>$/Sp=$185,300</v>
      </c>
      <c r="AG103" s="314" t="str">
        <f t="shared" ca="1" si="227"/>
        <v>$/Sp=$193,700</v>
      </c>
      <c r="AH103" s="314" t="str">
        <f t="shared" ca="1" si="227"/>
        <v>$/Sp=$202,600</v>
      </c>
      <c r="AI103" s="314" t="str">
        <f t="shared" ref="AI103:AJ103" ca="1" si="228">"$/Sp="&amp;TEXT(ROUND((AI102/NoOfSpaces),-2),"$0,0")</f>
        <v>$/Sp=$211,800</v>
      </c>
      <c r="AJ103" s="314" t="str">
        <f t="shared" ca="1" si="228"/>
        <v>$/Sp=$221,400</v>
      </c>
      <c r="AK103" s="534"/>
      <c r="AL103" s="534"/>
      <c r="AM103" s="534"/>
      <c r="AN103" s="534"/>
      <c r="AO103" s="534"/>
      <c r="AP103" s="534"/>
      <c r="AQ103" s="534"/>
      <c r="AR103" s="534"/>
      <c r="AS103" s="534"/>
      <c r="AT103" s="534"/>
      <c r="AU103" s="534"/>
      <c r="AV103" s="534"/>
      <c r="AW103" s="534"/>
      <c r="AX103" s="534"/>
      <c r="AY103" s="534"/>
      <c r="AZ103" s="534"/>
      <c r="BA103" s="534"/>
      <c r="BB103" s="534"/>
      <c r="BC103" s="534"/>
      <c r="BD103" s="534"/>
      <c r="BE103" s="534"/>
      <c r="BF103" s="534"/>
      <c r="BG103" s="534"/>
      <c r="BH103" s="534"/>
      <c r="BI103" s="534"/>
      <c r="BJ103" s="534"/>
      <c r="BK103" s="534"/>
      <c r="BL103" s="534"/>
      <c r="BM103" s="534"/>
      <c r="BN103" s="534"/>
      <c r="BO103" s="534"/>
      <c r="BP103" s="534"/>
      <c r="BQ103" s="534"/>
      <c r="BR103" s="534"/>
      <c r="BS103" s="534"/>
      <c r="BT103" s="534"/>
      <c r="BU103" s="534"/>
      <c r="BV103" s="534"/>
      <c r="BW103" s="534"/>
      <c r="BX103" s="534"/>
      <c r="BY103" s="534"/>
      <c r="BZ103" s="534"/>
    </row>
    <row r="104" spans="3:78" x14ac:dyDescent="0.15">
      <c r="C104" s="507" t="s">
        <v>53</v>
      </c>
      <c r="D104" s="28"/>
      <c r="E104" s="504"/>
      <c r="F104" s="12">
        <f t="shared" ref="F104:AH104" ca="1" si="229">F85-F94</f>
        <v>-110488.78999999995</v>
      </c>
      <c r="G104" s="12">
        <f t="shared" ca="1" si="229"/>
        <v>211802.46420000016</v>
      </c>
      <c r="H104" s="12">
        <f t="shared" ca="1" si="229"/>
        <v>475675.5119755757</v>
      </c>
      <c r="I104" s="12">
        <f t="shared" ca="1" si="229"/>
        <v>589320.48884525616</v>
      </c>
      <c r="J104" s="12">
        <f t="shared" ca="1" si="229"/>
        <v>283862.34014477057</v>
      </c>
      <c r="K104" s="12">
        <f t="shared" ca="1" si="229"/>
        <v>335848.47600318573</v>
      </c>
      <c r="L104" s="12">
        <f t="shared" ca="1" si="229"/>
        <v>390155.6290023214</v>
      </c>
      <c r="M104" s="12">
        <f t="shared" ca="1" si="229"/>
        <v>446881.4712619338</v>
      </c>
      <c r="N104" s="12">
        <f t="shared" ca="1" si="229"/>
        <v>506127.67841525225</v>
      </c>
      <c r="O104" s="12">
        <f t="shared" ca="1" si="229"/>
        <v>568000.09168209147</v>
      </c>
      <c r="P104" s="12">
        <f t="shared" ca="1" si="229"/>
        <v>632608.88646353956</v>
      </c>
      <c r="Q104" s="12">
        <f t="shared" ca="1" si="229"/>
        <v>700068.74771986075</v>
      </c>
      <c r="R104" s="12">
        <f t="shared" ca="1" si="229"/>
        <v>770499.05240372114</v>
      </c>
      <c r="S104" s="12">
        <f t="shared" ca="1" si="229"/>
        <v>844024.05923176848</v>
      </c>
      <c r="T104" s="12">
        <f t="shared" ca="1" si="229"/>
        <v>920773.10608890734</v>
      </c>
      <c r="U104" s="12">
        <f t="shared" ca="1" si="229"/>
        <v>1000880.8153714201</v>
      </c>
      <c r="V104" s="12">
        <f t="shared" ca="1" si="229"/>
        <v>1084487.3075873433</v>
      </c>
      <c r="W104" s="12">
        <f t="shared" ca="1" si="229"/>
        <v>1171738.4235452567</v>
      </c>
      <c r="X104" s="12">
        <f t="shared" ca="1" si="229"/>
        <v>1262785.9554759054</v>
      </c>
      <c r="Y104" s="12">
        <f t="shared" ca="1" si="229"/>
        <v>1357787.8874448892</v>
      </c>
      <c r="Z104" s="12">
        <f t="shared" ca="1" si="229"/>
        <v>1456908.6454289621</v>
      </c>
      <c r="AA104" s="12">
        <f t="shared" ca="1" si="229"/>
        <v>1560319.3574434547</v>
      </c>
      <c r="AB104" s="12">
        <f t="shared" ca="1" si="229"/>
        <v>1668198.1241238043</v>
      </c>
      <c r="AC104" s="12">
        <f t="shared" ca="1" si="229"/>
        <v>1780730.3001803514</v>
      </c>
      <c r="AD104" s="12">
        <f t="shared" ca="1" si="229"/>
        <v>1898108.7871623235</v>
      </c>
      <c r="AE104" s="12">
        <f t="shared" ca="1" si="229"/>
        <v>2020534.3379844017</v>
      </c>
      <c r="AF104" s="12">
        <f t="shared" ca="1" si="229"/>
        <v>2148215.8736874047</v>
      </c>
      <c r="AG104" s="12">
        <f t="shared" ca="1" si="229"/>
        <v>2281370.8129235329</v>
      </c>
      <c r="AH104" s="12">
        <f t="shared" ca="1" si="229"/>
        <v>2420225.4146762085</v>
      </c>
      <c r="AI104" s="12">
        <f t="shared" ref="AI104:AJ104" ca="1" si="230">AI85-AI94</f>
        <v>2565015.1347450386</v>
      </c>
      <c r="AJ104" s="12">
        <f t="shared" ca="1" si="230"/>
        <v>2715984.9965475877</v>
      </c>
      <c r="AK104" s="534"/>
      <c r="AL104" s="534"/>
      <c r="AM104" s="534"/>
      <c r="AN104" s="534"/>
      <c r="AO104" s="534"/>
      <c r="AP104" s="534"/>
      <c r="AQ104" s="534"/>
      <c r="AR104" s="534"/>
      <c r="AS104" s="534"/>
      <c r="AT104" s="534"/>
      <c r="AU104" s="534"/>
      <c r="AV104" s="534"/>
      <c r="AW104" s="534"/>
      <c r="AX104" s="534"/>
      <c r="AY104" s="534"/>
      <c r="AZ104" s="534"/>
      <c r="BA104" s="534"/>
      <c r="BB104" s="534"/>
      <c r="BC104" s="534"/>
      <c r="BD104" s="534"/>
      <c r="BE104" s="534"/>
      <c r="BF104" s="534"/>
      <c r="BG104" s="534"/>
      <c r="BH104" s="534"/>
      <c r="BI104" s="534"/>
      <c r="BJ104" s="534"/>
      <c r="BK104" s="534"/>
      <c r="BL104" s="534"/>
      <c r="BM104" s="534"/>
      <c r="BN104" s="534"/>
      <c r="BO104" s="534"/>
      <c r="BP104" s="534"/>
      <c r="BQ104" s="534"/>
      <c r="BR104" s="534"/>
      <c r="BS104" s="534"/>
      <c r="BT104" s="534"/>
      <c r="BU104" s="534"/>
      <c r="BV104" s="534"/>
      <c r="BW104" s="534"/>
      <c r="BX104" s="534"/>
      <c r="BY104" s="534"/>
      <c r="BZ104" s="534"/>
    </row>
    <row r="105" spans="3:78" x14ac:dyDescent="0.15">
      <c r="C105" s="507" t="s">
        <v>54</v>
      </c>
      <c r="D105" s="603" t="s">
        <v>235</v>
      </c>
      <c r="E105" s="604"/>
      <c r="F105" s="141">
        <v>0</v>
      </c>
      <c r="G105" s="141">
        <v>0</v>
      </c>
      <c r="H105" s="141">
        <v>0</v>
      </c>
      <c r="I105" s="141">
        <v>0</v>
      </c>
      <c r="J105" s="141">
        <v>0</v>
      </c>
      <c r="K105" s="141">
        <v>0</v>
      </c>
      <c r="L105" s="141">
        <v>0</v>
      </c>
      <c r="M105" s="141">
        <v>0</v>
      </c>
      <c r="N105" s="141">
        <v>0</v>
      </c>
      <c r="O105" s="141">
        <v>0</v>
      </c>
      <c r="P105" s="141">
        <v>0</v>
      </c>
      <c r="Q105" s="141">
        <v>0</v>
      </c>
      <c r="R105" s="141">
        <v>0</v>
      </c>
      <c r="S105" s="141">
        <v>0</v>
      </c>
      <c r="T105" s="141">
        <v>0</v>
      </c>
      <c r="U105" s="141">
        <v>0</v>
      </c>
      <c r="V105" s="141">
        <v>0</v>
      </c>
      <c r="W105" s="141">
        <v>0</v>
      </c>
      <c r="X105" s="141">
        <v>0</v>
      </c>
      <c r="Y105" s="141">
        <v>0</v>
      </c>
      <c r="Z105" s="141">
        <v>0</v>
      </c>
      <c r="AA105" s="141">
        <v>0</v>
      </c>
      <c r="AB105" s="141">
        <v>0</v>
      </c>
      <c r="AC105" s="141">
        <v>0</v>
      </c>
      <c r="AD105" s="141">
        <v>0</v>
      </c>
      <c r="AE105" s="141">
        <v>0</v>
      </c>
      <c r="AF105" s="141">
        <v>0</v>
      </c>
      <c r="AG105" s="141">
        <v>0</v>
      </c>
      <c r="AH105" s="141">
        <v>0</v>
      </c>
      <c r="AI105" s="141">
        <v>0</v>
      </c>
      <c r="AJ105" s="141">
        <v>0</v>
      </c>
      <c r="AK105" s="534"/>
      <c r="AL105" s="534"/>
      <c r="AM105" s="534"/>
      <c r="AN105" s="534"/>
      <c r="AO105" s="534"/>
      <c r="AP105" s="534"/>
      <c r="AQ105" s="534"/>
      <c r="AR105" s="534"/>
      <c r="AS105" s="534"/>
      <c r="AT105" s="534"/>
      <c r="AU105" s="534"/>
      <c r="AV105" s="534"/>
      <c r="AW105" s="534"/>
      <c r="AX105" s="534"/>
      <c r="AY105" s="534"/>
      <c r="AZ105" s="534"/>
      <c r="BA105" s="534"/>
      <c r="BB105" s="534"/>
      <c r="BC105" s="534"/>
      <c r="BD105" s="534"/>
      <c r="BE105" s="534"/>
      <c r="BF105" s="534"/>
      <c r="BG105" s="534"/>
      <c r="BH105" s="534"/>
      <c r="BI105" s="534"/>
      <c r="BJ105" s="534"/>
      <c r="BK105" s="534"/>
      <c r="BL105" s="534"/>
      <c r="BM105" s="534"/>
      <c r="BN105" s="534"/>
      <c r="BO105" s="534"/>
      <c r="BP105" s="534"/>
      <c r="BQ105" s="534"/>
      <c r="BR105" s="534"/>
      <c r="BS105" s="534"/>
      <c r="BT105" s="534"/>
      <c r="BU105" s="534"/>
      <c r="BV105" s="534"/>
      <c r="BW105" s="534"/>
      <c r="BX105" s="534"/>
      <c r="BY105" s="534"/>
      <c r="BZ105" s="534"/>
    </row>
    <row r="106" spans="3:78" x14ac:dyDescent="0.15">
      <c r="C106" s="507" t="s">
        <v>236</v>
      </c>
      <c r="D106" s="28"/>
      <c r="E106" s="504"/>
      <c r="F106" s="141">
        <f>O23</f>
        <v>364812</v>
      </c>
      <c r="G106" s="141">
        <f>F106+(F37-G37)*150*12</f>
        <v>454812</v>
      </c>
      <c r="H106" s="141">
        <f t="shared" ref="H106:O106" si="231">G106+(G37-H37)*150*12</f>
        <v>544812</v>
      </c>
      <c r="I106" s="141">
        <f t="shared" si="231"/>
        <v>562632</v>
      </c>
      <c r="J106" s="141">
        <f t="shared" si="231"/>
        <v>562632</v>
      </c>
      <c r="K106" s="141">
        <f t="shared" si="231"/>
        <v>562632</v>
      </c>
      <c r="L106" s="141">
        <f t="shared" si="231"/>
        <v>562632</v>
      </c>
      <c r="M106" s="141">
        <f t="shared" si="231"/>
        <v>562632</v>
      </c>
      <c r="N106" s="141">
        <f t="shared" si="231"/>
        <v>562632</v>
      </c>
      <c r="O106" s="141">
        <f t="shared" si="231"/>
        <v>562632</v>
      </c>
      <c r="P106" s="141">
        <v>0</v>
      </c>
      <c r="Q106" s="141">
        <v>0</v>
      </c>
      <c r="R106" s="141">
        <v>0</v>
      </c>
      <c r="S106" s="141">
        <v>0</v>
      </c>
      <c r="T106" s="141">
        <v>0</v>
      </c>
      <c r="U106" s="141">
        <v>0</v>
      </c>
      <c r="V106" s="141">
        <v>0</v>
      </c>
      <c r="W106" s="141">
        <v>0</v>
      </c>
      <c r="X106" s="141">
        <v>0</v>
      </c>
      <c r="Y106" s="141">
        <v>0</v>
      </c>
      <c r="Z106" s="141">
        <v>0</v>
      </c>
      <c r="AA106" s="141">
        <v>0</v>
      </c>
      <c r="AB106" s="141">
        <v>0</v>
      </c>
      <c r="AC106" s="141">
        <v>0</v>
      </c>
      <c r="AD106" s="141">
        <v>0</v>
      </c>
      <c r="AE106" s="141">
        <v>0</v>
      </c>
      <c r="AF106" s="141">
        <v>0</v>
      </c>
      <c r="AG106" s="141">
        <v>0</v>
      </c>
      <c r="AH106" s="141">
        <v>0</v>
      </c>
      <c r="AI106" s="141">
        <v>0</v>
      </c>
      <c r="AJ106" s="141">
        <v>0</v>
      </c>
      <c r="AK106" s="534"/>
      <c r="AL106" s="534"/>
      <c r="AM106" s="534"/>
      <c r="AN106" s="534"/>
      <c r="AO106" s="534"/>
      <c r="AP106" s="534"/>
      <c r="AQ106" s="534"/>
      <c r="AR106" s="534"/>
      <c r="AS106" s="534"/>
      <c r="AT106" s="534"/>
      <c r="AU106" s="534"/>
      <c r="AV106" s="534"/>
      <c r="AW106" s="534"/>
      <c r="AX106" s="534"/>
      <c r="AY106" s="534"/>
      <c r="AZ106" s="534"/>
      <c r="BA106" s="534"/>
      <c r="BB106" s="534"/>
      <c r="BC106" s="534"/>
      <c r="BD106" s="534"/>
      <c r="BE106" s="534"/>
      <c r="BF106" s="534"/>
      <c r="BG106" s="534"/>
      <c r="BH106" s="534"/>
      <c r="BI106" s="534"/>
      <c r="BJ106" s="534"/>
      <c r="BK106" s="534"/>
      <c r="BL106" s="534"/>
      <c r="BM106" s="534"/>
      <c r="BN106" s="534"/>
      <c r="BO106" s="534"/>
      <c r="BP106" s="534"/>
      <c r="BQ106" s="534"/>
      <c r="BR106" s="534"/>
      <c r="BS106" s="534"/>
      <c r="BT106" s="534"/>
      <c r="BU106" s="534"/>
      <c r="BV106" s="534"/>
      <c r="BW106" s="534"/>
      <c r="BX106" s="534"/>
      <c r="BY106" s="534"/>
      <c r="BZ106" s="534"/>
    </row>
    <row r="107" spans="3:78" x14ac:dyDescent="0.15">
      <c r="C107" s="507" t="s">
        <v>237</v>
      </c>
      <c r="D107" s="28"/>
      <c r="E107" s="504"/>
      <c r="F107" s="141">
        <v>0</v>
      </c>
      <c r="G107" s="141"/>
      <c r="H107" s="141"/>
      <c r="I107" s="141"/>
      <c r="J107" s="141"/>
      <c r="K107" s="141"/>
      <c r="L107" s="141"/>
      <c r="M107" s="141">
        <v>0</v>
      </c>
      <c r="N107" s="141">
        <v>0</v>
      </c>
      <c r="O107" s="141">
        <v>0</v>
      </c>
      <c r="P107" s="141">
        <v>0</v>
      </c>
      <c r="Q107" s="141">
        <v>0</v>
      </c>
      <c r="R107" s="141">
        <v>0</v>
      </c>
      <c r="S107" s="141">
        <v>0</v>
      </c>
      <c r="T107" s="141">
        <v>0</v>
      </c>
      <c r="U107" s="141">
        <v>0</v>
      </c>
      <c r="V107" s="141">
        <v>0</v>
      </c>
      <c r="W107" s="141">
        <v>0</v>
      </c>
      <c r="X107" s="141">
        <v>0</v>
      </c>
      <c r="Y107" s="141">
        <v>0</v>
      </c>
      <c r="Z107" s="141">
        <v>0</v>
      </c>
      <c r="AA107" s="141">
        <v>0</v>
      </c>
      <c r="AB107" s="141">
        <v>0</v>
      </c>
      <c r="AC107" s="141">
        <v>0</v>
      </c>
      <c r="AD107" s="141">
        <v>0</v>
      </c>
      <c r="AE107" s="141">
        <v>0</v>
      </c>
      <c r="AF107" s="141">
        <v>0</v>
      </c>
      <c r="AG107" s="141">
        <v>0</v>
      </c>
      <c r="AH107" s="141">
        <v>0</v>
      </c>
      <c r="AI107" s="141">
        <v>0</v>
      </c>
      <c r="AJ107" s="141">
        <v>0</v>
      </c>
      <c r="AK107" s="534"/>
      <c r="AL107" s="534"/>
      <c r="AM107" s="534"/>
      <c r="AN107" s="534"/>
      <c r="AO107" s="534"/>
      <c r="AP107" s="534"/>
      <c r="AQ107" s="534"/>
      <c r="AR107" s="534"/>
      <c r="AS107" s="534"/>
      <c r="AT107" s="534"/>
      <c r="AU107" s="534"/>
      <c r="AV107" s="534"/>
      <c r="AW107" s="534"/>
      <c r="AX107" s="534"/>
      <c r="AY107" s="534"/>
      <c r="AZ107" s="534"/>
      <c r="BA107" s="534"/>
      <c r="BB107" s="534"/>
      <c r="BC107" s="534"/>
      <c r="BD107" s="534"/>
      <c r="BE107" s="534"/>
      <c r="BF107" s="534"/>
      <c r="BG107" s="534"/>
      <c r="BH107" s="534"/>
      <c r="BI107" s="534"/>
      <c r="BJ107" s="534"/>
      <c r="BK107" s="534"/>
      <c r="BL107" s="534"/>
      <c r="BM107" s="534"/>
      <c r="BN107" s="534"/>
      <c r="BO107" s="534"/>
      <c r="BP107" s="534"/>
      <c r="BQ107" s="534"/>
      <c r="BR107" s="534"/>
      <c r="BS107" s="534"/>
      <c r="BT107" s="534"/>
      <c r="BU107" s="534"/>
      <c r="BV107" s="534"/>
      <c r="BW107" s="534"/>
      <c r="BX107" s="534"/>
      <c r="BY107" s="534"/>
      <c r="BZ107" s="534"/>
    </row>
    <row r="108" spans="3:78" x14ac:dyDescent="0.15">
      <c r="C108" s="507" t="s">
        <v>238</v>
      </c>
      <c r="D108" s="28"/>
      <c r="E108" s="504"/>
      <c r="F108" s="141">
        <v>0</v>
      </c>
      <c r="G108" s="141">
        <v>0</v>
      </c>
      <c r="H108" s="141">
        <v>0</v>
      </c>
      <c r="I108" s="141">
        <v>0</v>
      </c>
      <c r="J108" s="141">
        <v>0</v>
      </c>
      <c r="K108" s="141">
        <v>0</v>
      </c>
      <c r="L108" s="141">
        <v>0</v>
      </c>
      <c r="M108" s="141">
        <v>0</v>
      </c>
      <c r="N108" s="141">
        <v>0</v>
      </c>
      <c r="O108" s="141">
        <v>0</v>
      </c>
      <c r="P108" s="141">
        <v>0</v>
      </c>
      <c r="Q108" s="141">
        <v>0</v>
      </c>
      <c r="R108" s="141">
        <v>0</v>
      </c>
      <c r="S108" s="141">
        <v>0</v>
      </c>
      <c r="T108" s="141">
        <v>0</v>
      </c>
      <c r="U108" s="141">
        <v>0</v>
      </c>
      <c r="V108" s="141">
        <v>0</v>
      </c>
      <c r="W108" s="141">
        <v>0</v>
      </c>
      <c r="X108" s="141">
        <v>0</v>
      </c>
      <c r="Y108" s="141">
        <v>0</v>
      </c>
      <c r="Z108" s="141">
        <v>0</v>
      </c>
      <c r="AA108" s="141">
        <v>0</v>
      </c>
      <c r="AB108" s="141">
        <v>0</v>
      </c>
      <c r="AC108" s="141">
        <v>0</v>
      </c>
      <c r="AD108" s="141">
        <v>0</v>
      </c>
      <c r="AE108" s="141">
        <v>0</v>
      </c>
      <c r="AF108" s="141">
        <v>0</v>
      </c>
      <c r="AG108" s="141">
        <v>0</v>
      </c>
      <c r="AH108" s="141">
        <v>0</v>
      </c>
      <c r="AI108" s="141">
        <v>0</v>
      </c>
      <c r="AJ108" s="141">
        <v>0</v>
      </c>
      <c r="AK108" s="534"/>
      <c r="AL108" s="534"/>
      <c r="AM108" s="534"/>
      <c r="AN108" s="534"/>
      <c r="AO108" s="534"/>
      <c r="AP108" s="534"/>
      <c r="AQ108" s="534"/>
      <c r="AR108" s="534"/>
      <c r="AS108" s="534"/>
      <c r="AT108" s="534"/>
      <c r="AU108" s="534"/>
      <c r="AV108" s="534"/>
      <c r="AW108" s="534"/>
      <c r="AX108" s="534"/>
      <c r="AY108" s="534"/>
      <c r="AZ108" s="534"/>
      <c r="BA108" s="534"/>
      <c r="BB108" s="534"/>
      <c r="BC108" s="534"/>
      <c r="BD108" s="534"/>
      <c r="BE108" s="534"/>
      <c r="BF108" s="534"/>
      <c r="BG108" s="534"/>
      <c r="BH108" s="534"/>
      <c r="BI108" s="534"/>
      <c r="BJ108" s="534"/>
      <c r="BK108" s="534"/>
      <c r="BL108" s="534"/>
      <c r="BM108" s="534"/>
      <c r="BN108" s="534"/>
      <c r="BO108" s="534"/>
      <c r="BP108" s="534"/>
      <c r="BQ108" s="534"/>
      <c r="BR108" s="534"/>
      <c r="BS108" s="534"/>
      <c r="BT108" s="534"/>
      <c r="BU108" s="534"/>
      <c r="BV108" s="534"/>
      <c r="BW108" s="534"/>
      <c r="BX108" s="534"/>
      <c r="BY108" s="534"/>
      <c r="BZ108" s="534"/>
    </row>
    <row r="109" spans="3:78" x14ac:dyDescent="0.15">
      <c r="C109" s="507" t="s">
        <v>81</v>
      </c>
      <c r="D109" s="28"/>
      <c r="E109" s="141">
        <f>-AcquisitionFee*Purchase_Price</f>
        <v>0</v>
      </c>
      <c r="F109" s="141">
        <v>0</v>
      </c>
      <c r="G109" s="141">
        <v>0</v>
      </c>
      <c r="H109" s="141">
        <v>0</v>
      </c>
      <c r="I109" s="141">
        <v>0</v>
      </c>
      <c r="J109" s="141">
        <v>0</v>
      </c>
      <c r="K109" s="141">
        <v>0</v>
      </c>
      <c r="L109" s="141">
        <v>0</v>
      </c>
      <c r="M109" s="141">
        <v>0</v>
      </c>
      <c r="N109" s="141">
        <v>0</v>
      </c>
      <c r="O109" s="141">
        <v>0</v>
      </c>
      <c r="P109" s="141">
        <v>0</v>
      </c>
      <c r="Q109" s="141">
        <v>0</v>
      </c>
      <c r="R109" s="141">
        <v>0</v>
      </c>
      <c r="S109" s="141">
        <v>0</v>
      </c>
      <c r="T109" s="141">
        <v>0</v>
      </c>
      <c r="U109" s="141">
        <v>0</v>
      </c>
      <c r="V109" s="141">
        <v>0</v>
      </c>
      <c r="W109" s="141">
        <v>0</v>
      </c>
      <c r="X109" s="141">
        <v>0</v>
      </c>
      <c r="Y109" s="141">
        <v>0</v>
      </c>
      <c r="Z109" s="141">
        <v>0</v>
      </c>
      <c r="AA109" s="141">
        <v>0</v>
      </c>
      <c r="AB109" s="141">
        <v>0</v>
      </c>
      <c r="AC109" s="141">
        <v>0</v>
      </c>
      <c r="AD109" s="141">
        <v>0</v>
      </c>
      <c r="AE109" s="141">
        <v>0</v>
      </c>
      <c r="AF109" s="141">
        <v>0</v>
      </c>
      <c r="AG109" s="141">
        <v>0</v>
      </c>
      <c r="AH109" s="141">
        <v>0</v>
      </c>
      <c r="AI109" s="141">
        <v>0</v>
      </c>
      <c r="AJ109" s="141">
        <v>0</v>
      </c>
      <c r="AK109" s="534"/>
      <c r="AL109" s="534"/>
      <c r="AM109" s="534"/>
      <c r="AN109" s="534"/>
      <c r="AO109" s="534"/>
      <c r="AP109" s="534"/>
      <c r="AQ109" s="534"/>
      <c r="AR109" s="534"/>
      <c r="AS109" s="534"/>
      <c r="AT109" s="534"/>
      <c r="AU109" s="534"/>
      <c r="AV109" s="534"/>
      <c r="AW109" s="534"/>
      <c r="AX109" s="534"/>
      <c r="AY109" s="534"/>
      <c r="AZ109" s="534"/>
      <c r="BA109" s="534"/>
      <c r="BB109" s="534"/>
      <c r="BC109" s="534"/>
      <c r="BD109" s="534"/>
      <c r="BE109" s="534"/>
      <c r="BF109" s="534"/>
      <c r="BG109" s="534"/>
      <c r="BH109" s="534"/>
      <c r="BI109" s="534"/>
      <c r="BJ109" s="534"/>
      <c r="BK109" s="534"/>
      <c r="BL109" s="534"/>
      <c r="BM109" s="534"/>
      <c r="BN109" s="534"/>
      <c r="BO109" s="534"/>
      <c r="BP109" s="534"/>
      <c r="BQ109" s="534"/>
      <c r="BR109" s="534"/>
      <c r="BS109" s="534"/>
      <c r="BT109" s="534"/>
      <c r="BU109" s="534"/>
      <c r="BV109" s="534"/>
      <c r="BW109" s="534"/>
      <c r="BX109" s="534"/>
      <c r="BY109" s="534"/>
      <c r="BZ109" s="534"/>
    </row>
    <row r="110" spans="3:78" x14ac:dyDescent="0.15">
      <c r="C110" s="507" t="s">
        <v>85</v>
      </c>
      <c r="D110" s="28"/>
      <c r="E110" s="504"/>
      <c r="F110" s="141">
        <f t="shared" ref="F110:AJ110" si="232">$E$115*AssetMgmtFee</f>
        <v>0</v>
      </c>
      <c r="G110" s="141">
        <f t="shared" si="232"/>
        <v>0</v>
      </c>
      <c r="H110" s="141">
        <f t="shared" si="232"/>
        <v>0</v>
      </c>
      <c r="I110" s="141">
        <f t="shared" si="232"/>
        <v>0</v>
      </c>
      <c r="J110" s="141">
        <f t="shared" si="232"/>
        <v>0</v>
      </c>
      <c r="K110" s="141">
        <f t="shared" si="232"/>
        <v>0</v>
      </c>
      <c r="L110" s="141">
        <f t="shared" si="232"/>
        <v>0</v>
      </c>
      <c r="M110" s="141">
        <f t="shared" si="232"/>
        <v>0</v>
      </c>
      <c r="N110" s="141">
        <f t="shared" si="232"/>
        <v>0</v>
      </c>
      <c r="O110" s="141">
        <f t="shared" si="232"/>
        <v>0</v>
      </c>
      <c r="P110" s="141">
        <f t="shared" si="232"/>
        <v>0</v>
      </c>
      <c r="Q110" s="141">
        <f t="shared" si="232"/>
        <v>0</v>
      </c>
      <c r="R110" s="141">
        <f t="shared" si="232"/>
        <v>0</v>
      </c>
      <c r="S110" s="141">
        <f t="shared" si="232"/>
        <v>0</v>
      </c>
      <c r="T110" s="141">
        <f t="shared" si="232"/>
        <v>0</v>
      </c>
      <c r="U110" s="141">
        <f t="shared" si="232"/>
        <v>0</v>
      </c>
      <c r="V110" s="141">
        <f t="shared" si="232"/>
        <v>0</v>
      </c>
      <c r="W110" s="141">
        <f t="shared" si="232"/>
        <v>0</v>
      </c>
      <c r="X110" s="141">
        <f t="shared" si="232"/>
        <v>0</v>
      </c>
      <c r="Y110" s="141">
        <f t="shared" si="232"/>
        <v>0</v>
      </c>
      <c r="Z110" s="141">
        <f t="shared" si="232"/>
        <v>0</v>
      </c>
      <c r="AA110" s="141">
        <f t="shared" si="232"/>
        <v>0</v>
      </c>
      <c r="AB110" s="141">
        <f t="shared" si="232"/>
        <v>0</v>
      </c>
      <c r="AC110" s="141">
        <f t="shared" si="232"/>
        <v>0</v>
      </c>
      <c r="AD110" s="141">
        <f t="shared" si="232"/>
        <v>0</v>
      </c>
      <c r="AE110" s="141">
        <f t="shared" si="232"/>
        <v>0</v>
      </c>
      <c r="AF110" s="141">
        <f t="shared" si="232"/>
        <v>0</v>
      </c>
      <c r="AG110" s="141">
        <f t="shared" si="232"/>
        <v>0</v>
      </c>
      <c r="AH110" s="141">
        <f t="shared" si="232"/>
        <v>0</v>
      </c>
      <c r="AI110" s="141">
        <f t="shared" si="232"/>
        <v>0</v>
      </c>
      <c r="AJ110" s="141">
        <f t="shared" si="232"/>
        <v>0</v>
      </c>
      <c r="AK110" s="534"/>
      <c r="AL110" s="534"/>
      <c r="AM110" s="534"/>
      <c r="AN110" s="534"/>
      <c r="AO110" s="534"/>
      <c r="AP110" s="534"/>
      <c r="AQ110" s="534"/>
      <c r="AR110" s="534"/>
      <c r="AS110" s="534"/>
      <c r="AT110" s="534"/>
      <c r="AU110" s="534"/>
      <c r="AV110" s="534"/>
      <c r="AW110" s="534"/>
      <c r="AX110" s="534"/>
      <c r="AY110" s="534"/>
      <c r="AZ110" s="534"/>
      <c r="BA110" s="534"/>
      <c r="BB110" s="534"/>
      <c r="BC110" s="534"/>
      <c r="BD110" s="534"/>
      <c r="BE110" s="534"/>
      <c r="BF110" s="534"/>
      <c r="BG110" s="534"/>
      <c r="BH110" s="534"/>
      <c r="BI110" s="534"/>
      <c r="BJ110" s="534"/>
      <c r="BK110" s="534"/>
      <c r="BL110" s="534"/>
      <c r="BM110" s="534"/>
      <c r="BN110" s="534"/>
      <c r="BO110" s="534"/>
      <c r="BP110" s="534"/>
      <c r="BQ110" s="534"/>
      <c r="BR110" s="534"/>
      <c r="BS110" s="534"/>
      <c r="BT110" s="534"/>
      <c r="BU110" s="534"/>
      <c r="BV110" s="534"/>
      <c r="BW110" s="534"/>
      <c r="BX110" s="534"/>
      <c r="BY110" s="534"/>
      <c r="BZ110" s="534"/>
    </row>
    <row r="111" spans="3:78" x14ac:dyDescent="0.15">
      <c r="C111" s="507" t="s">
        <v>90</v>
      </c>
      <c r="D111" s="28"/>
      <c r="E111" s="504"/>
      <c r="F111" s="141">
        <f t="shared" ref="F111:AJ111" si="233">IF(F91="Refinance",-G91*RefinanceFee,0)</f>
        <v>0</v>
      </c>
      <c r="G111" s="141">
        <f t="shared" si="233"/>
        <v>0</v>
      </c>
      <c r="H111" s="141">
        <f t="shared" si="233"/>
        <v>0</v>
      </c>
      <c r="I111" s="141">
        <f t="shared" ca="1" si="233"/>
        <v>0</v>
      </c>
      <c r="J111" s="141">
        <f t="shared" ca="1" si="233"/>
        <v>0</v>
      </c>
      <c r="K111" s="141">
        <f t="shared" si="233"/>
        <v>0</v>
      </c>
      <c r="L111" s="141">
        <f t="shared" si="233"/>
        <v>0</v>
      </c>
      <c r="M111" s="141">
        <f t="shared" si="233"/>
        <v>0</v>
      </c>
      <c r="N111" s="141">
        <f t="shared" si="233"/>
        <v>0</v>
      </c>
      <c r="O111" s="141">
        <f t="shared" si="233"/>
        <v>0</v>
      </c>
      <c r="P111" s="141">
        <f t="shared" si="233"/>
        <v>0</v>
      </c>
      <c r="Q111" s="141">
        <f t="shared" si="233"/>
        <v>0</v>
      </c>
      <c r="R111" s="141">
        <f t="shared" si="233"/>
        <v>0</v>
      </c>
      <c r="S111" s="141">
        <f t="shared" si="233"/>
        <v>0</v>
      </c>
      <c r="T111" s="141">
        <f t="shared" si="233"/>
        <v>0</v>
      </c>
      <c r="U111" s="141">
        <f t="shared" si="233"/>
        <v>0</v>
      </c>
      <c r="V111" s="141">
        <f t="shared" si="233"/>
        <v>0</v>
      </c>
      <c r="W111" s="141">
        <f t="shared" si="233"/>
        <v>0</v>
      </c>
      <c r="X111" s="141">
        <f t="shared" si="233"/>
        <v>0</v>
      </c>
      <c r="Y111" s="141">
        <f t="shared" si="233"/>
        <v>0</v>
      </c>
      <c r="Z111" s="141">
        <f t="shared" si="233"/>
        <v>0</v>
      </c>
      <c r="AA111" s="141">
        <f t="shared" si="233"/>
        <v>0</v>
      </c>
      <c r="AB111" s="141">
        <f t="shared" si="233"/>
        <v>0</v>
      </c>
      <c r="AC111" s="141">
        <f t="shared" si="233"/>
        <v>0</v>
      </c>
      <c r="AD111" s="141">
        <f t="shared" si="233"/>
        <v>0</v>
      </c>
      <c r="AE111" s="141">
        <f t="shared" si="233"/>
        <v>0</v>
      </c>
      <c r="AF111" s="141">
        <f t="shared" si="233"/>
        <v>0</v>
      </c>
      <c r="AG111" s="141">
        <f t="shared" si="233"/>
        <v>0</v>
      </c>
      <c r="AH111" s="141">
        <f t="shared" si="233"/>
        <v>0</v>
      </c>
      <c r="AI111" s="141">
        <f t="shared" si="233"/>
        <v>0</v>
      </c>
      <c r="AJ111" s="141">
        <f t="shared" si="233"/>
        <v>0</v>
      </c>
      <c r="AK111" s="534"/>
      <c r="AL111" s="534"/>
      <c r="AM111" s="534"/>
      <c r="AN111" s="534"/>
      <c r="AO111" s="534"/>
      <c r="AP111" s="534"/>
      <c r="AQ111" s="534"/>
      <c r="AR111" s="534"/>
      <c r="AS111" s="534"/>
      <c r="AT111" s="534"/>
      <c r="AU111" s="534"/>
      <c r="AV111" s="534"/>
      <c r="AW111" s="534"/>
      <c r="AX111" s="534"/>
      <c r="AY111" s="534"/>
      <c r="AZ111" s="534"/>
      <c r="BA111" s="534"/>
      <c r="BB111" s="534"/>
      <c r="BC111" s="534"/>
      <c r="BD111" s="534"/>
      <c r="BE111" s="534"/>
      <c r="BF111" s="534"/>
      <c r="BG111" s="534"/>
      <c r="BH111" s="534"/>
      <c r="BI111" s="534"/>
      <c r="BJ111" s="534"/>
      <c r="BK111" s="534"/>
      <c r="BL111" s="534"/>
      <c r="BM111" s="534"/>
      <c r="BN111" s="534"/>
      <c r="BO111" s="534"/>
      <c r="BP111" s="534"/>
      <c r="BQ111" s="534"/>
      <c r="BR111" s="534"/>
      <c r="BS111" s="534"/>
      <c r="BT111" s="534"/>
      <c r="BU111" s="534"/>
      <c r="BV111" s="534"/>
      <c r="BW111" s="534"/>
      <c r="BX111" s="534"/>
      <c r="BY111" s="534"/>
      <c r="BZ111" s="534"/>
    </row>
    <row r="112" spans="3:78" x14ac:dyDescent="0.15">
      <c r="C112" s="507" t="s">
        <v>93</v>
      </c>
      <c r="D112" s="28"/>
      <c r="E112" s="504"/>
      <c r="F112" s="141">
        <v>0</v>
      </c>
      <c r="G112" s="141">
        <v>0</v>
      </c>
      <c r="H112" s="141">
        <v>0</v>
      </c>
      <c r="I112" s="141">
        <v>0</v>
      </c>
      <c r="J112" s="141">
        <v>0</v>
      </c>
      <c r="K112" s="141">
        <v>0</v>
      </c>
      <c r="L112" s="141">
        <v>0</v>
      </c>
      <c r="M112" s="141">
        <v>0</v>
      </c>
      <c r="N112" s="141">
        <v>0</v>
      </c>
      <c r="O112" s="141">
        <v>0</v>
      </c>
      <c r="P112" s="141">
        <v>0</v>
      </c>
      <c r="Q112" s="141">
        <v>0</v>
      </c>
      <c r="R112" s="141">
        <v>0</v>
      </c>
      <c r="S112" s="141">
        <v>0</v>
      </c>
      <c r="T112" s="141">
        <v>0</v>
      </c>
      <c r="U112" s="141">
        <v>0</v>
      </c>
      <c r="V112" s="141">
        <v>0</v>
      </c>
      <c r="W112" s="141">
        <v>0</v>
      </c>
      <c r="X112" s="141">
        <v>0</v>
      </c>
      <c r="Y112" s="141">
        <v>0</v>
      </c>
      <c r="Z112" s="141">
        <v>0</v>
      </c>
      <c r="AA112" s="141">
        <v>0</v>
      </c>
      <c r="AB112" s="141">
        <v>0</v>
      </c>
      <c r="AC112" s="141">
        <v>0</v>
      </c>
      <c r="AD112" s="141">
        <v>0</v>
      </c>
      <c r="AE112" s="141">
        <v>0</v>
      </c>
      <c r="AF112" s="141">
        <v>0</v>
      </c>
      <c r="AG112" s="141">
        <v>0</v>
      </c>
      <c r="AH112" s="141">
        <v>0</v>
      </c>
      <c r="AI112" s="141">
        <v>0</v>
      </c>
      <c r="AJ112" s="141">
        <f ca="1">-DispositionFee*AJ102</f>
        <v>0</v>
      </c>
      <c r="AK112" s="534"/>
      <c r="AL112" s="534"/>
      <c r="AM112" s="534"/>
      <c r="AN112" s="534"/>
      <c r="AO112" s="534"/>
      <c r="AP112" s="534"/>
      <c r="AQ112" s="534"/>
      <c r="AR112" s="534"/>
      <c r="AS112" s="534"/>
      <c r="AT112" s="534"/>
      <c r="AU112" s="534"/>
      <c r="AV112" s="534"/>
      <c r="AW112" s="534"/>
      <c r="AX112" s="534"/>
      <c r="AY112" s="534"/>
      <c r="AZ112" s="534"/>
      <c r="BA112" s="534"/>
      <c r="BB112" s="534"/>
      <c r="BC112" s="534"/>
      <c r="BD112" s="534"/>
      <c r="BE112" s="534"/>
      <c r="BF112" s="534"/>
      <c r="BG112" s="534"/>
      <c r="BH112" s="534"/>
      <c r="BI112" s="534"/>
      <c r="BJ112" s="534"/>
      <c r="BK112" s="534"/>
      <c r="BL112" s="534"/>
      <c r="BM112" s="534"/>
      <c r="BN112" s="534"/>
      <c r="BO112" s="534"/>
      <c r="BP112" s="534"/>
      <c r="BQ112" s="534"/>
      <c r="BR112" s="534"/>
      <c r="BS112" s="534"/>
      <c r="BT112" s="534"/>
      <c r="BU112" s="534"/>
      <c r="BV112" s="534"/>
      <c r="BW112" s="534"/>
      <c r="BX112" s="534"/>
      <c r="BY112" s="534"/>
      <c r="BZ112" s="534"/>
    </row>
    <row r="113" spans="2:78" x14ac:dyDescent="0.15">
      <c r="C113" s="507" t="s">
        <v>239</v>
      </c>
      <c r="D113" s="28"/>
      <c r="E113" s="504"/>
      <c r="F113" s="141">
        <f>+G93</f>
        <v>0</v>
      </c>
      <c r="G113" s="141">
        <f>+H93</f>
        <v>0</v>
      </c>
      <c r="H113" s="141">
        <f>+I93</f>
        <v>0</v>
      </c>
      <c r="I113" s="141">
        <f ca="1">J93</f>
        <v>4723662.6814165544</v>
      </c>
      <c r="J113" s="141">
        <f>K93</f>
        <v>0</v>
      </c>
      <c r="K113" s="141">
        <f t="shared" ref="K113:AG113" si="234">L93</f>
        <v>0</v>
      </c>
      <c r="L113" s="141">
        <f t="shared" si="234"/>
        <v>0</v>
      </c>
      <c r="M113" s="141">
        <f t="shared" si="234"/>
        <v>0</v>
      </c>
      <c r="N113" s="141">
        <f t="shared" si="234"/>
        <v>0</v>
      </c>
      <c r="O113" s="141">
        <f t="shared" si="234"/>
        <v>0</v>
      </c>
      <c r="P113" s="141">
        <f t="shared" si="234"/>
        <v>0</v>
      </c>
      <c r="Q113" s="141">
        <f t="shared" si="234"/>
        <v>0</v>
      </c>
      <c r="R113" s="141">
        <f t="shared" si="234"/>
        <v>0</v>
      </c>
      <c r="S113" s="141">
        <f t="shared" si="234"/>
        <v>0</v>
      </c>
      <c r="T113" s="141">
        <f t="shared" si="234"/>
        <v>0</v>
      </c>
      <c r="U113" s="141">
        <f t="shared" si="234"/>
        <v>0</v>
      </c>
      <c r="V113" s="141">
        <f t="shared" si="234"/>
        <v>0</v>
      </c>
      <c r="W113" s="141">
        <f t="shared" si="234"/>
        <v>0</v>
      </c>
      <c r="X113" s="141">
        <f t="shared" si="234"/>
        <v>0</v>
      </c>
      <c r="Y113" s="141">
        <f t="shared" si="234"/>
        <v>0</v>
      </c>
      <c r="Z113" s="141">
        <f t="shared" si="234"/>
        <v>0</v>
      </c>
      <c r="AA113" s="141">
        <f t="shared" si="234"/>
        <v>0</v>
      </c>
      <c r="AB113" s="141">
        <f t="shared" si="234"/>
        <v>0</v>
      </c>
      <c r="AC113" s="141">
        <f t="shared" si="234"/>
        <v>0</v>
      </c>
      <c r="AD113" s="141">
        <f t="shared" si="234"/>
        <v>0</v>
      </c>
      <c r="AE113" s="141">
        <f t="shared" si="234"/>
        <v>0</v>
      </c>
      <c r="AF113" s="141">
        <f t="shared" si="234"/>
        <v>0</v>
      </c>
      <c r="AG113" s="141">
        <f t="shared" si="234"/>
        <v>0</v>
      </c>
      <c r="AH113" s="141">
        <f>AJ93</f>
        <v>0</v>
      </c>
      <c r="AI113" s="141">
        <f t="shared" ref="AI113:AJ113" si="235">AK93</f>
        <v>0</v>
      </c>
      <c r="AJ113" s="141">
        <f t="shared" si="235"/>
        <v>0</v>
      </c>
      <c r="AK113" s="534"/>
      <c r="AL113" s="534"/>
      <c r="AM113" s="534"/>
      <c r="AN113" s="534"/>
      <c r="AO113" s="534"/>
      <c r="AP113" s="534"/>
      <c r="AQ113" s="534"/>
      <c r="AR113" s="534"/>
      <c r="AS113" s="534"/>
      <c r="AT113" s="534"/>
      <c r="AU113" s="534"/>
      <c r="AV113" s="534"/>
      <c r="AW113" s="534"/>
      <c r="AX113" s="534"/>
      <c r="AY113" s="534"/>
      <c r="AZ113" s="534"/>
      <c r="BA113" s="534"/>
      <c r="BB113" s="534"/>
      <c r="BC113" s="534"/>
      <c r="BD113" s="534"/>
      <c r="BE113" s="534"/>
      <c r="BF113" s="534"/>
      <c r="BG113" s="534"/>
      <c r="BH113" s="534"/>
      <c r="BI113" s="534"/>
      <c r="BJ113" s="534"/>
      <c r="BK113" s="534"/>
      <c r="BL113" s="534"/>
      <c r="BM113" s="534"/>
      <c r="BN113" s="534"/>
      <c r="BO113" s="534"/>
      <c r="BP113" s="534"/>
      <c r="BQ113" s="534"/>
      <c r="BR113" s="534"/>
      <c r="BS113" s="534"/>
      <c r="BT113" s="534"/>
      <c r="BU113" s="534"/>
      <c r="BV113" s="534"/>
      <c r="BW113" s="534"/>
      <c r="BX113" s="534"/>
      <c r="BY113" s="534"/>
      <c r="BZ113" s="534"/>
    </row>
    <row r="114" spans="2:78" x14ac:dyDescent="0.15">
      <c r="C114" s="507" t="s">
        <v>240</v>
      </c>
      <c r="D114" s="28"/>
      <c r="E114" s="95"/>
      <c r="F114" s="141">
        <v>0</v>
      </c>
      <c r="G114" s="141">
        <v>0</v>
      </c>
      <c r="H114" s="141">
        <v>0</v>
      </c>
      <c r="I114" s="141">
        <v>0</v>
      </c>
      <c r="J114" s="141">
        <v>0</v>
      </c>
      <c r="K114" s="141">
        <v>0</v>
      </c>
      <c r="L114" s="141">
        <v>0</v>
      </c>
      <c r="M114" s="141">
        <v>0</v>
      </c>
      <c r="N114" s="141">
        <v>0</v>
      </c>
      <c r="O114" s="141">
        <v>0</v>
      </c>
      <c r="P114" s="141">
        <v>0</v>
      </c>
      <c r="Q114" s="141">
        <v>0</v>
      </c>
      <c r="R114" s="141">
        <v>0</v>
      </c>
      <c r="S114" s="141">
        <v>0</v>
      </c>
      <c r="T114" s="141">
        <v>0</v>
      </c>
      <c r="U114" s="141">
        <v>0</v>
      </c>
      <c r="V114" s="141">
        <v>0</v>
      </c>
      <c r="W114" s="141">
        <v>0</v>
      </c>
      <c r="X114" s="141">
        <v>0</v>
      </c>
      <c r="Y114" s="141">
        <v>0</v>
      </c>
      <c r="Z114" s="141">
        <v>0</v>
      </c>
      <c r="AA114" s="141">
        <v>0</v>
      </c>
      <c r="AB114" s="141">
        <v>0</v>
      </c>
      <c r="AC114" s="141">
        <v>0</v>
      </c>
      <c r="AD114" s="141">
        <v>0</v>
      </c>
      <c r="AE114" s="141">
        <v>0</v>
      </c>
      <c r="AF114" s="141">
        <v>0</v>
      </c>
      <c r="AG114" s="141">
        <v>0</v>
      </c>
      <c r="AH114" s="141">
        <v>0</v>
      </c>
      <c r="AI114" s="141">
        <v>0</v>
      </c>
      <c r="AJ114" s="141">
        <f ca="1">AJ102-AJ97</f>
        <v>51014600.99432224</v>
      </c>
      <c r="AK114" s="534"/>
      <c r="AL114" s="534"/>
      <c r="AM114" s="534"/>
      <c r="AN114" s="534"/>
      <c r="AO114" s="534"/>
      <c r="AP114" s="534"/>
      <c r="AQ114" s="534"/>
      <c r="AR114" s="534"/>
      <c r="AS114" s="534"/>
      <c r="AT114" s="534"/>
      <c r="AU114" s="534"/>
      <c r="AV114" s="534"/>
      <c r="AW114" s="534"/>
      <c r="AX114" s="534"/>
      <c r="AY114" s="534"/>
      <c r="AZ114" s="534"/>
      <c r="BA114" s="534"/>
      <c r="BB114" s="534"/>
      <c r="BC114" s="534"/>
      <c r="BD114" s="534"/>
      <c r="BE114" s="534"/>
      <c r="BF114" s="534"/>
      <c r="BG114" s="534"/>
      <c r="BH114" s="534"/>
      <c r="BI114" s="534"/>
      <c r="BJ114" s="534"/>
      <c r="BK114" s="534"/>
      <c r="BL114" s="534"/>
      <c r="BM114" s="534"/>
      <c r="BN114" s="534"/>
      <c r="BO114" s="534"/>
      <c r="BP114" s="534"/>
      <c r="BQ114" s="534"/>
      <c r="BR114" s="534"/>
      <c r="BS114" s="534"/>
      <c r="BT114" s="534"/>
      <c r="BU114" s="534"/>
      <c r="BV114" s="534"/>
      <c r="BW114" s="534"/>
      <c r="BX114" s="534"/>
      <c r="BY114" s="534"/>
      <c r="BZ114" s="534"/>
    </row>
    <row r="115" spans="2:78" ht="14" thickBot="1" x14ac:dyDescent="0.2">
      <c r="C115" s="579" t="s">
        <v>241</v>
      </c>
      <c r="D115" s="605"/>
      <c r="E115" s="606">
        <f>-(D6-F92)+E109</f>
        <v>-5050000</v>
      </c>
      <c r="F115" s="606">
        <f t="shared" ref="F115:AH115" ca="1" si="236">SUM(F104:F114)</f>
        <v>254323.21000000005</v>
      </c>
      <c r="G115" s="606">
        <f t="shared" ca="1" si="236"/>
        <v>666614.46420000016</v>
      </c>
      <c r="H115" s="606">
        <f t="shared" ca="1" si="236"/>
        <v>1020487.5119755757</v>
      </c>
      <c r="I115" s="606">
        <f t="shared" ca="1" si="236"/>
        <v>5875615.1702618105</v>
      </c>
      <c r="J115" s="606">
        <f t="shared" ca="1" si="236"/>
        <v>846494.34014477057</v>
      </c>
      <c r="K115" s="606">
        <f t="shared" ca="1" si="236"/>
        <v>898480.47600318573</v>
      </c>
      <c r="L115" s="606">
        <f t="shared" ca="1" si="236"/>
        <v>952787.6290023214</v>
      </c>
      <c r="M115" s="606">
        <f t="shared" ca="1" si="236"/>
        <v>1009513.4712619338</v>
      </c>
      <c r="N115" s="606">
        <f t="shared" ca="1" si="236"/>
        <v>1068759.6784152524</v>
      </c>
      <c r="O115" s="606">
        <f t="shared" ca="1" si="236"/>
        <v>1130632.0916820914</v>
      </c>
      <c r="P115" s="606">
        <f t="shared" ca="1" si="236"/>
        <v>632608.88646353956</v>
      </c>
      <c r="Q115" s="606">
        <f t="shared" ca="1" si="236"/>
        <v>700068.74771986075</v>
      </c>
      <c r="R115" s="606">
        <f t="shared" ca="1" si="236"/>
        <v>770499.05240372114</v>
      </c>
      <c r="S115" s="606">
        <f t="shared" ca="1" si="236"/>
        <v>844024.05923176848</v>
      </c>
      <c r="T115" s="606">
        <f t="shared" ca="1" si="236"/>
        <v>920773.10608890734</v>
      </c>
      <c r="U115" s="606">
        <f t="shared" ca="1" si="236"/>
        <v>1000880.8153714201</v>
      </c>
      <c r="V115" s="606">
        <f t="shared" ca="1" si="236"/>
        <v>1084487.3075873433</v>
      </c>
      <c r="W115" s="606">
        <f t="shared" ca="1" si="236"/>
        <v>1171738.4235452567</v>
      </c>
      <c r="X115" s="606">
        <f t="shared" ca="1" si="236"/>
        <v>1262785.9554759054</v>
      </c>
      <c r="Y115" s="606">
        <f t="shared" ca="1" si="236"/>
        <v>1357787.8874448892</v>
      </c>
      <c r="Z115" s="606">
        <f t="shared" ca="1" si="236"/>
        <v>1456908.6454289621</v>
      </c>
      <c r="AA115" s="606">
        <f t="shared" ca="1" si="236"/>
        <v>1560319.3574434547</v>
      </c>
      <c r="AB115" s="606">
        <f t="shared" ca="1" si="236"/>
        <v>1668198.1241238043</v>
      </c>
      <c r="AC115" s="606">
        <f t="shared" ca="1" si="236"/>
        <v>1780730.3001803514</v>
      </c>
      <c r="AD115" s="606">
        <f t="shared" ca="1" si="236"/>
        <v>1898108.7871623235</v>
      </c>
      <c r="AE115" s="606">
        <f t="shared" ca="1" si="236"/>
        <v>2020534.3379844017</v>
      </c>
      <c r="AF115" s="606">
        <f t="shared" ca="1" si="236"/>
        <v>2148215.8736874047</v>
      </c>
      <c r="AG115" s="606">
        <f t="shared" ca="1" si="236"/>
        <v>2281370.8129235329</v>
      </c>
      <c r="AH115" s="606">
        <f t="shared" ca="1" si="236"/>
        <v>2420225.4146762085</v>
      </c>
      <c r="AI115" s="606">
        <f t="shared" ref="AI115:AJ115" ca="1" si="237">SUM(AI104:AI114)</f>
        <v>2565015.1347450386</v>
      </c>
      <c r="AJ115" s="606">
        <f t="shared" ca="1" si="237"/>
        <v>53730585.990869828</v>
      </c>
      <c r="AK115" s="534"/>
      <c r="AL115" s="534"/>
      <c r="AM115" s="534"/>
      <c r="AN115" s="534"/>
      <c r="AO115" s="534"/>
      <c r="AP115" s="534"/>
      <c r="AQ115" s="534"/>
      <c r="AR115" s="534"/>
      <c r="AS115" s="534"/>
      <c r="AT115" s="534"/>
      <c r="AU115" s="534"/>
      <c r="AV115" s="534"/>
      <c r="AW115" s="534"/>
      <c r="AX115" s="534"/>
      <c r="AY115" s="534"/>
      <c r="AZ115" s="534"/>
      <c r="BA115" s="534"/>
      <c r="BB115" s="534"/>
      <c r="BC115" s="534"/>
      <c r="BD115" s="534"/>
      <c r="BE115" s="534"/>
      <c r="BF115" s="534"/>
      <c r="BG115" s="534"/>
      <c r="BH115" s="534"/>
      <c r="BI115" s="534"/>
      <c r="BJ115" s="534"/>
      <c r="BK115" s="534"/>
      <c r="BL115" s="534"/>
      <c r="BM115" s="534"/>
      <c r="BN115" s="534"/>
      <c r="BO115" s="534"/>
      <c r="BP115" s="534"/>
      <c r="BQ115" s="534"/>
      <c r="BR115" s="534"/>
      <c r="BS115" s="534"/>
      <c r="BT115" s="534"/>
      <c r="BU115" s="534"/>
      <c r="BV115" s="534"/>
      <c r="BW115" s="534"/>
      <c r="BX115" s="534"/>
      <c r="BY115" s="534"/>
      <c r="BZ115" s="534"/>
    </row>
    <row r="116" spans="2:78" ht="14" thickTop="1" x14ac:dyDescent="0.15">
      <c r="B116" s="707">
        <f>+B115+E115</f>
        <v>-5050000</v>
      </c>
      <c r="C116" s="14"/>
      <c r="D116" s="14"/>
      <c r="E116" s="291" t="s">
        <v>242</v>
      </c>
      <c r="F116" s="271">
        <f t="shared" ref="F116:AH116" ca="1" si="238">F115/-$E$115</f>
        <v>5.0361031683168328E-2</v>
      </c>
      <c r="G116" s="271">
        <f t="shared" ca="1" si="238"/>
        <v>0.13200286419801982</v>
      </c>
      <c r="H116" s="271">
        <f t="shared" ca="1" si="238"/>
        <v>0.20207673504466844</v>
      </c>
      <c r="I116" s="271">
        <f t="shared" ca="1" si="238"/>
        <v>1.1634881525270913</v>
      </c>
      <c r="J116" s="271">
        <f t="shared" ca="1" si="238"/>
        <v>0.16762264161282586</v>
      </c>
      <c r="K116" s="271">
        <f t="shared" ca="1" si="238"/>
        <v>0.17791692594122491</v>
      </c>
      <c r="L116" s="271">
        <f t="shared" ca="1" si="238"/>
        <v>0.18867081762422205</v>
      </c>
      <c r="M116" s="271">
        <f t="shared" ca="1" si="238"/>
        <v>0.19990365767563045</v>
      </c>
      <c r="N116" s="271">
        <f t="shared" ca="1" si="238"/>
        <v>0.21163557988420839</v>
      </c>
      <c r="O116" s="271">
        <f t="shared" ca="1" si="238"/>
        <v>0.22388754290734483</v>
      </c>
      <c r="P116" s="271">
        <f t="shared" ca="1" si="238"/>
        <v>0.12526908642842369</v>
      </c>
      <c r="Q116" s="271">
        <f t="shared" ca="1" si="238"/>
        <v>0.13862747479601203</v>
      </c>
      <c r="R116" s="271">
        <f t="shared" ca="1" si="238"/>
        <v>0.15257406978291507</v>
      </c>
      <c r="S116" s="271">
        <f t="shared" ca="1" si="238"/>
        <v>0.16713347707559773</v>
      </c>
      <c r="T116" s="271">
        <f t="shared" ca="1" si="238"/>
        <v>0.18233130813641729</v>
      </c>
      <c r="U116" s="271">
        <f t="shared" ca="1" si="238"/>
        <v>0.19819422086562774</v>
      </c>
      <c r="V116" s="271">
        <f t="shared" ca="1" si="238"/>
        <v>0.2147499618984838</v>
      </c>
      <c r="W116" s="271">
        <f t="shared" ca="1" si="238"/>
        <v>0.23202741060302112</v>
      </c>
      <c r="X116" s="271">
        <f t="shared" ca="1" si="238"/>
        <v>0.25005662484671393</v>
      </c>
      <c r="Y116" s="271">
        <f t="shared" ca="1" si="238"/>
        <v>0.26886888860294833</v>
      </c>
      <c r="Z116" s="271">
        <f t="shared" ca="1" si="238"/>
        <v>0.28849676147108161</v>
      </c>
      <c r="AA116" s="271">
        <f t="shared" ca="1" si="238"/>
        <v>0.30897413018682268</v>
      </c>
      <c r="AB116" s="271">
        <f t="shared" ca="1" si="238"/>
        <v>0.33033626220273354</v>
      </c>
      <c r="AC116" s="271">
        <f t="shared" ca="1" si="238"/>
        <v>0.35261986142185175</v>
      </c>
      <c r="AD116" s="271">
        <f t="shared" ca="1" si="238"/>
        <v>0.37586312617075712</v>
      </c>
      <c r="AE116" s="271">
        <f t="shared" ca="1" si="238"/>
        <v>0.40010580950186175</v>
      </c>
      <c r="AF116" s="271">
        <f t="shared" ca="1" si="238"/>
        <v>0.42538928191829795</v>
      </c>
      <c r="AG116" s="271">
        <f t="shared" ca="1" si="238"/>
        <v>0.45175659661852136</v>
      </c>
      <c r="AH116" s="271">
        <f t="shared" ca="1" si="238"/>
        <v>0.47925255736162548</v>
      </c>
      <c r="AI116" s="271">
        <f t="shared" ref="AI116:AJ116" ca="1" si="239">AI115/-$E$115</f>
        <v>0.5079237890584235</v>
      </c>
      <c r="AJ116" s="271">
        <f t="shared" ca="1" si="239"/>
        <v>10.639719998192046</v>
      </c>
      <c r="AK116" s="534"/>
      <c r="AL116" s="534"/>
      <c r="AM116" s="534"/>
      <c r="AN116" s="534"/>
      <c r="AO116" s="534"/>
      <c r="AP116" s="534"/>
      <c r="AQ116" s="534"/>
      <c r="AR116" s="534"/>
      <c r="AS116" s="534"/>
      <c r="AT116" s="534"/>
      <c r="AU116" s="534"/>
      <c r="AV116" s="534"/>
      <c r="AW116" s="534"/>
      <c r="AX116" s="534"/>
      <c r="AY116" s="534"/>
      <c r="AZ116" s="534"/>
      <c r="BA116" s="534"/>
      <c r="BB116" s="534"/>
      <c r="BC116" s="534"/>
      <c r="BD116" s="534"/>
      <c r="BE116" s="534"/>
      <c r="BF116" s="534"/>
      <c r="BG116" s="534"/>
      <c r="BH116" s="534"/>
      <c r="BI116" s="534"/>
      <c r="BJ116" s="534"/>
      <c r="BK116" s="534"/>
      <c r="BL116" s="534"/>
      <c r="BM116" s="534"/>
      <c r="BN116" s="534"/>
      <c r="BO116" s="534"/>
      <c r="BP116" s="534"/>
      <c r="BQ116" s="534"/>
      <c r="BR116" s="534"/>
      <c r="BS116" s="534"/>
      <c r="BT116" s="534"/>
      <c r="BU116" s="534"/>
      <c r="BV116" s="534"/>
      <c r="BW116" s="534"/>
      <c r="BX116" s="534"/>
      <c r="BY116" s="534"/>
      <c r="BZ116" s="534"/>
    </row>
    <row r="117" spans="2:78" x14ac:dyDescent="0.15">
      <c r="C117" s="11" t="s">
        <v>243</v>
      </c>
      <c r="D117" s="37">
        <f ca="1">IRR(E115:AJ115)</f>
        <v>0.25468532135425193</v>
      </c>
      <c r="E117" s="504"/>
      <c r="F117" s="534"/>
      <c r="G117" s="272" t="str">
        <f ca="1">"Cumm.= "&amp;TEXT((SUM($F116:G116)),"0.0%")</f>
        <v>Cumm.= 18.2%</v>
      </c>
      <c r="H117" s="272" t="str">
        <f ca="1">"Cumm.= "&amp;TEXT((SUM($F116:H116)),"0.0%")</f>
        <v>Cumm.= 38.4%</v>
      </c>
      <c r="I117" s="272" t="str">
        <f ca="1">"Cumm.= "&amp;TEXT((SUM($F116:I116)),"0.0%")</f>
        <v>Cumm.= 154.8%</v>
      </c>
      <c r="J117" s="272" t="str">
        <f ca="1">"Cumm.= "&amp;TEXT((SUM($F116:J116)),"0.0%")</f>
        <v>Cumm.= 171.6%</v>
      </c>
      <c r="K117" s="272" t="str">
        <f ca="1">"Cumm.= "&amp;TEXT((SUM($F116:K116)),"0.0%")</f>
        <v>Cumm.= 189.3%</v>
      </c>
      <c r="L117" s="272" t="str">
        <f ca="1">"Cumm.= "&amp;TEXT((SUM($F116:L116)),"0.0%")</f>
        <v>Cumm.= 208.2%</v>
      </c>
      <c r="M117" s="272" t="str">
        <f ca="1">"Cumm.= "&amp;TEXT((SUM($F116:M116)),"0.0%")</f>
        <v>Cumm.= 228.2%</v>
      </c>
      <c r="N117" s="272" t="str">
        <f ca="1">"Cumm.= "&amp;TEXT((SUM($F116:N116)),"0.0%")</f>
        <v>Cumm.= 249.4%</v>
      </c>
      <c r="O117" s="272" t="str">
        <f ca="1">"Cumm.= "&amp;TEXT((SUM($F116:O116)),"0.0%")</f>
        <v>Cumm.= 271.8%</v>
      </c>
      <c r="P117" s="272" t="str">
        <f ca="1">"Cumm.= "&amp;TEXT((SUM($F116:P116)),"0.0%")</f>
        <v>Cumm.= 284.3%</v>
      </c>
      <c r="Q117" s="272" t="str">
        <f ca="1">"Cumm.= "&amp;TEXT((SUM($F116:Q116)),"0.0%")</f>
        <v>Cumm.= 298.1%</v>
      </c>
      <c r="R117" s="272" t="str">
        <f ca="1">"Cumm.= "&amp;TEXT((SUM($F116:R116)),"0.0%")</f>
        <v>Cumm.= 313.4%</v>
      </c>
      <c r="S117" s="272" t="str">
        <f ca="1">"Cumm.= "&amp;TEXT((SUM($F116:S116)),"0.0%")</f>
        <v>Cumm.= 330.1%</v>
      </c>
      <c r="T117" s="272" t="str">
        <f ca="1">"Cumm.= "&amp;TEXT((SUM($F116:T116)),"0.0%")</f>
        <v>Cumm.= 348.4%</v>
      </c>
      <c r="U117" s="272" t="str">
        <f ca="1">"Cumm.= "&amp;TEXT((SUM($F116:U116)),"0.0%")</f>
        <v>Cumm.= 368.2%</v>
      </c>
      <c r="V117" s="272" t="str">
        <f ca="1">"Cumm.= "&amp;TEXT((SUM($F116:V116)),"0.0%")</f>
        <v>Cumm.= 389.6%</v>
      </c>
      <c r="W117" s="272" t="str">
        <f ca="1">"Cumm.= "&amp;TEXT((SUM($F116:W116)),"0.0%")</f>
        <v>Cumm.= 412.8%</v>
      </c>
      <c r="X117" s="272" t="str">
        <f ca="1">"Cumm.= "&amp;TEXT((SUM($F116:X116)),"0.0%")</f>
        <v>Cumm.= 437.9%</v>
      </c>
      <c r="Y117" s="272" t="str">
        <f ca="1">"Cumm.= "&amp;TEXT((SUM($F116:Y116)),"0.0%")</f>
        <v>Cumm.= 464.7%</v>
      </c>
      <c r="Z117" s="272" t="str">
        <f ca="1">"Cumm.= "&amp;TEXT((SUM($F116:Z116)),"0.0%")</f>
        <v>Cumm.= 493.6%</v>
      </c>
      <c r="AA117" s="272" t="str">
        <f ca="1">"Cumm.= "&amp;TEXT((SUM($F116:AA116)),"0.0%")</f>
        <v>Cumm.= 524.5%</v>
      </c>
      <c r="AB117" s="272" t="str">
        <f ca="1">"Cumm.= "&amp;TEXT((SUM($F116:AB116)),"0.0%")</f>
        <v>Cumm.= 557.5%</v>
      </c>
      <c r="AC117" s="272" t="str">
        <f ca="1">"Cumm.= "&amp;TEXT((SUM($F116:AC116)),"0.0%")</f>
        <v>Cumm.= 592.8%</v>
      </c>
      <c r="AD117" s="272" t="str">
        <f ca="1">"Cumm.= "&amp;TEXT((SUM($F116:AD116)),"0.0%")</f>
        <v>Cumm.= 630.4%</v>
      </c>
      <c r="AE117" s="272" t="str">
        <f ca="1">"Cumm.= "&amp;TEXT((SUM($F116:AE116)),"0.0%")</f>
        <v>Cumm.= 670.4%</v>
      </c>
      <c r="AF117" s="272" t="str">
        <f ca="1">"Cumm.= "&amp;TEXT((SUM($F116:AF116)),"0.0%")</f>
        <v>Cumm.= 712.9%</v>
      </c>
      <c r="AG117" s="272" t="str">
        <f ca="1">"Cumm.= "&amp;TEXT((SUM($F116:AG116)),"0.0%")</f>
        <v>Cumm.= 758.1%</v>
      </c>
      <c r="AH117" s="272" t="str">
        <f ca="1">"Cumm.= "&amp;TEXT((SUM($F116:AH116)),"0.0%")</f>
        <v>Cumm.= 806.0%</v>
      </c>
      <c r="AI117" s="272" t="str">
        <f ca="1">"Cumm.= "&amp;TEXT((SUM($F116:AI116)),"0.0%")</f>
        <v>Cumm.= 856.8%</v>
      </c>
      <c r="AJ117" s="272" t="str">
        <f ca="1">"Cumm.= "&amp;TEXT((SUM($F116:AJ116)),"0.0%")</f>
        <v>Cumm.= 1920.8%</v>
      </c>
      <c r="AK117" s="534"/>
      <c r="AL117" s="534"/>
      <c r="AM117" s="534"/>
      <c r="AN117" s="534"/>
      <c r="AO117" s="534"/>
      <c r="AP117" s="534"/>
      <c r="AQ117" s="534"/>
      <c r="AR117" s="534"/>
      <c r="AS117" s="534"/>
      <c r="AT117" s="534"/>
      <c r="AU117" s="534"/>
      <c r="AV117" s="534"/>
      <c r="AW117" s="534"/>
      <c r="AX117" s="534"/>
      <c r="AY117" s="534"/>
      <c r="AZ117" s="534"/>
      <c r="BA117" s="534"/>
      <c r="BB117" s="534"/>
      <c r="BC117" s="534"/>
      <c r="BD117" s="534"/>
      <c r="BE117" s="534"/>
      <c r="BF117" s="534"/>
      <c r="BG117" s="534"/>
      <c r="BH117" s="534"/>
      <c r="BI117" s="534"/>
      <c r="BJ117" s="534"/>
      <c r="BK117" s="534"/>
      <c r="BL117" s="534"/>
      <c r="BM117" s="534"/>
      <c r="BN117" s="534"/>
      <c r="BO117" s="534"/>
      <c r="BP117" s="534"/>
      <c r="BQ117" s="534"/>
      <c r="BR117" s="534"/>
      <c r="BS117" s="534"/>
      <c r="BT117" s="534"/>
      <c r="BU117" s="534"/>
      <c r="BV117" s="534"/>
      <c r="BW117" s="534"/>
      <c r="BX117" s="534"/>
      <c r="BY117" s="534"/>
      <c r="BZ117" s="534"/>
    </row>
    <row r="118" spans="2:78" x14ac:dyDescent="0.15">
      <c r="C118" s="11"/>
      <c r="D118" s="28"/>
      <c r="E118" s="37"/>
      <c r="F118" s="534"/>
      <c r="G118" s="534"/>
      <c r="H118" s="534"/>
      <c r="I118" s="534"/>
      <c r="J118" s="534"/>
      <c r="K118" s="534"/>
      <c r="L118" s="534"/>
      <c r="M118" s="534"/>
      <c r="N118" s="534"/>
      <c r="O118" s="534"/>
      <c r="P118" s="273"/>
      <c r="Q118" s="534"/>
      <c r="R118" s="534"/>
      <c r="S118" s="534"/>
      <c r="T118" s="534"/>
      <c r="U118" s="534"/>
      <c r="V118" s="534"/>
      <c r="W118" s="534"/>
      <c r="X118" s="534"/>
      <c r="Y118" s="534"/>
      <c r="Z118" s="534"/>
      <c r="AA118" s="534"/>
      <c r="AB118" s="534"/>
      <c r="AC118" s="534"/>
      <c r="AD118" s="534"/>
      <c r="AE118" s="534"/>
      <c r="AF118" s="534"/>
      <c r="AG118" s="534"/>
      <c r="AH118" s="534"/>
      <c r="AI118" s="534"/>
      <c r="AJ118" s="534"/>
      <c r="AK118" s="534"/>
      <c r="AL118" s="534"/>
      <c r="AM118" s="534"/>
      <c r="AN118" s="534"/>
      <c r="AO118" s="534"/>
      <c r="AP118" s="534"/>
      <c r="AQ118" s="534"/>
      <c r="AR118" s="534"/>
      <c r="AS118" s="534"/>
      <c r="AT118" s="534"/>
      <c r="AU118" s="534"/>
      <c r="AV118" s="534"/>
      <c r="AW118" s="534"/>
      <c r="AX118" s="534"/>
      <c r="AY118" s="534"/>
      <c r="AZ118" s="534"/>
      <c r="BA118" s="534"/>
      <c r="BB118" s="534"/>
      <c r="BC118" s="534"/>
      <c r="BD118" s="534"/>
      <c r="BE118" s="534"/>
      <c r="BF118" s="534"/>
      <c r="BG118" s="534"/>
      <c r="BH118" s="534"/>
      <c r="BI118" s="534"/>
      <c r="BJ118" s="534"/>
      <c r="BK118" s="534"/>
      <c r="BL118" s="534"/>
      <c r="BM118" s="534"/>
      <c r="BN118" s="534"/>
      <c r="BO118" s="534"/>
      <c r="BP118" s="534"/>
      <c r="BQ118" s="534"/>
      <c r="BR118" s="534"/>
      <c r="BS118" s="534"/>
      <c r="BT118" s="534"/>
      <c r="BU118" s="534"/>
      <c r="BV118" s="534"/>
      <c r="BW118" s="534"/>
      <c r="BX118" s="534"/>
      <c r="BY118" s="534"/>
      <c r="BZ118" s="534"/>
    </row>
    <row r="119" spans="2:78" x14ac:dyDescent="0.15">
      <c r="C119" s="11" t="s">
        <v>244</v>
      </c>
      <c r="D119"/>
      <c r="E119" s="33"/>
      <c r="F119" s="33"/>
      <c r="G119" s="33"/>
      <c r="H119" s="33"/>
      <c r="I119" s="33"/>
      <c r="J119" s="33"/>
      <c r="K119" s="534"/>
      <c r="L119" s="534"/>
      <c r="M119" s="534"/>
      <c r="N119" s="534"/>
      <c r="O119" s="534"/>
      <c r="P119" s="534"/>
      <c r="Q119" s="534"/>
      <c r="R119" s="534"/>
      <c r="S119" s="534"/>
      <c r="T119" s="534"/>
      <c r="U119" s="534"/>
      <c r="V119" s="534"/>
      <c r="W119" s="534"/>
      <c r="X119" s="534"/>
      <c r="Y119" s="534"/>
      <c r="Z119" s="534"/>
      <c r="AA119" s="534"/>
      <c r="AB119" s="534"/>
      <c r="AC119" s="534"/>
      <c r="AD119" s="534"/>
      <c r="AE119" s="534"/>
      <c r="AF119" s="534"/>
      <c r="AG119" s="534"/>
      <c r="AH119" s="534"/>
      <c r="AI119" s="534"/>
      <c r="AJ119" s="534"/>
      <c r="AK119" s="534"/>
      <c r="AL119" s="534"/>
      <c r="AM119" s="534"/>
      <c r="AN119" s="534"/>
      <c r="AO119" s="534"/>
      <c r="AP119" s="534"/>
      <c r="AQ119" s="534"/>
      <c r="AR119" s="534"/>
      <c r="AS119" s="534"/>
      <c r="AT119" s="534"/>
      <c r="AU119" s="534"/>
      <c r="AV119" s="534"/>
      <c r="AW119" s="534"/>
      <c r="AX119" s="534"/>
      <c r="AY119" s="534"/>
      <c r="AZ119" s="534"/>
      <c r="BA119" s="534"/>
      <c r="BB119" s="534"/>
      <c r="BC119" s="534"/>
      <c r="BD119" s="534"/>
      <c r="BE119" s="534"/>
      <c r="BF119" s="534"/>
      <c r="BG119" s="534"/>
      <c r="BH119" s="534"/>
      <c r="BI119" s="534"/>
      <c r="BJ119" s="534"/>
      <c r="BK119" s="534"/>
      <c r="BL119" s="534"/>
      <c r="BM119" s="534"/>
      <c r="BN119" s="534"/>
      <c r="BO119" s="534"/>
      <c r="BP119" s="534"/>
      <c r="BQ119" s="534"/>
      <c r="BR119" s="534"/>
      <c r="BS119" s="534"/>
      <c r="BT119" s="534"/>
      <c r="BU119" s="534"/>
      <c r="BV119" s="534"/>
      <c r="BW119" s="534"/>
      <c r="BX119" s="534"/>
      <c r="BY119" s="534"/>
      <c r="BZ119" s="534"/>
    </row>
    <row r="120" spans="2:78" x14ac:dyDescent="0.15">
      <c r="C120" s="507" t="s">
        <v>245</v>
      </c>
      <c r="D120" s="33"/>
      <c r="E120" s="33"/>
      <c r="F120" s="33"/>
      <c r="G120" s="33"/>
      <c r="H120" s="33"/>
      <c r="I120" s="33"/>
      <c r="J120" s="33"/>
      <c r="K120" s="534"/>
      <c r="L120" s="534"/>
      <c r="M120" s="534"/>
      <c r="N120" s="534"/>
      <c r="O120" s="534"/>
      <c r="P120" s="534"/>
      <c r="Q120" s="534"/>
      <c r="R120" s="534"/>
      <c r="S120" s="534"/>
      <c r="T120" s="534"/>
      <c r="U120" s="534"/>
      <c r="V120" s="534"/>
      <c r="W120" s="534"/>
      <c r="X120" s="534"/>
      <c r="Y120" s="534"/>
      <c r="Z120" s="534"/>
      <c r="AA120" s="534"/>
      <c r="AB120" s="534"/>
      <c r="AC120" s="534"/>
      <c r="AD120" s="534"/>
      <c r="AE120" s="534"/>
      <c r="AF120" s="534"/>
      <c r="AG120" s="534"/>
      <c r="AH120" s="534"/>
      <c r="AI120" s="534"/>
      <c r="AJ120" s="534"/>
      <c r="AK120" s="534"/>
      <c r="AL120" s="534"/>
      <c r="AM120" s="534"/>
      <c r="AN120" s="534"/>
      <c r="AO120" s="534"/>
      <c r="AP120" s="534"/>
      <c r="AQ120" s="534"/>
      <c r="AR120" s="534"/>
      <c r="AS120" s="534"/>
      <c r="AT120" s="534"/>
      <c r="AU120" s="534"/>
      <c r="AV120" s="534"/>
      <c r="AW120" s="534"/>
      <c r="AX120" s="534"/>
      <c r="AY120" s="534"/>
      <c r="AZ120" s="534"/>
      <c r="BA120" s="534"/>
      <c r="BB120" s="534"/>
      <c r="BC120" s="534"/>
      <c r="BD120" s="534"/>
      <c r="BE120" s="534"/>
      <c r="BF120" s="534"/>
      <c r="BG120" s="534"/>
      <c r="BH120" s="534"/>
      <c r="BI120" s="534"/>
      <c r="BJ120" s="534"/>
      <c r="BK120" s="534"/>
      <c r="BL120" s="534"/>
      <c r="BM120" s="534"/>
      <c r="BN120" s="534"/>
      <c r="BO120" s="534"/>
      <c r="BP120" s="534"/>
      <c r="BQ120" s="534"/>
      <c r="BR120" s="534"/>
      <c r="BS120" s="534"/>
      <c r="BT120" s="534"/>
      <c r="BU120" s="534"/>
      <c r="BV120" s="534"/>
      <c r="BW120" s="534"/>
      <c r="BX120" s="534"/>
      <c r="BY120" s="534"/>
      <c r="BZ120" s="534"/>
    </row>
    <row r="121" spans="2:78" x14ac:dyDescent="0.15">
      <c r="C121" s="23" t="s">
        <v>246</v>
      </c>
      <c r="D121" s="504"/>
      <c r="E121" s="33"/>
      <c r="F121" s="33">
        <f>D4*(1-D91)+D5</f>
        <v>5050000</v>
      </c>
      <c r="G121" s="33">
        <f t="shared" ref="G121:AH121" ca="1" si="240">F124</f>
        <v>5048176.79</v>
      </c>
      <c r="H121" s="33">
        <f t="shared" ca="1" si="240"/>
        <v>4633971.1652999995</v>
      </c>
      <c r="I121" s="33">
        <f t="shared" ca="1" si="240"/>
        <v>3845182.2115894235</v>
      </c>
      <c r="J121" s="33">
        <f t="shared" ca="1" si="240"/>
        <v>0</v>
      </c>
      <c r="K121" s="33">
        <f t="shared" ca="1" si="240"/>
        <v>0</v>
      </c>
      <c r="L121" s="33">
        <f t="shared" ca="1" si="240"/>
        <v>0</v>
      </c>
      <c r="M121" s="33">
        <f t="shared" ca="1" si="240"/>
        <v>0</v>
      </c>
      <c r="N121" s="33">
        <f t="shared" ca="1" si="240"/>
        <v>0</v>
      </c>
      <c r="O121" s="33">
        <f t="shared" ca="1" si="240"/>
        <v>0</v>
      </c>
      <c r="P121" s="33">
        <f t="shared" ca="1" si="240"/>
        <v>0</v>
      </c>
      <c r="Q121" s="33">
        <f t="shared" ca="1" si="240"/>
        <v>0</v>
      </c>
      <c r="R121" s="33">
        <f t="shared" ca="1" si="240"/>
        <v>0</v>
      </c>
      <c r="S121" s="33">
        <f t="shared" ca="1" si="240"/>
        <v>0</v>
      </c>
      <c r="T121" s="33">
        <f t="shared" ca="1" si="240"/>
        <v>0</v>
      </c>
      <c r="U121" s="33">
        <f t="shared" ca="1" si="240"/>
        <v>0</v>
      </c>
      <c r="V121" s="33">
        <f t="shared" ca="1" si="240"/>
        <v>0</v>
      </c>
      <c r="W121" s="33">
        <f t="shared" ca="1" si="240"/>
        <v>0</v>
      </c>
      <c r="X121" s="33">
        <f t="shared" ca="1" si="240"/>
        <v>0</v>
      </c>
      <c r="Y121" s="33">
        <f t="shared" ca="1" si="240"/>
        <v>0</v>
      </c>
      <c r="Z121" s="33">
        <f t="shared" ca="1" si="240"/>
        <v>0</v>
      </c>
      <c r="AA121" s="33">
        <f t="shared" ca="1" si="240"/>
        <v>0</v>
      </c>
      <c r="AB121" s="33">
        <f t="shared" ca="1" si="240"/>
        <v>0</v>
      </c>
      <c r="AC121" s="33">
        <f t="shared" ca="1" si="240"/>
        <v>0</v>
      </c>
      <c r="AD121" s="33">
        <f t="shared" ca="1" si="240"/>
        <v>0</v>
      </c>
      <c r="AE121" s="33">
        <f t="shared" ca="1" si="240"/>
        <v>0</v>
      </c>
      <c r="AF121" s="33">
        <f t="shared" ca="1" si="240"/>
        <v>0</v>
      </c>
      <c r="AG121" s="33">
        <f t="shared" ca="1" si="240"/>
        <v>0</v>
      </c>
      <c r="AH121" s="33">
        <f t="shared" ca="1" si="240"/>
        <v>0</v>
      </c>
      <c r="AI121" s="33">
        <f t="shared" ref="AI121" ca="1" si="241">AH124</f>
        <v>0</v>
      </c>
      <c r="AJ121" s="33">
        <f t="shared" ref="AJ121" ca="1" si="242">AI124</f>
        <v>0</v>
      </c>
      <c r="AK121" s="534"/>
      <c r="AL121" s="534"/>
      <c r="AM121" s="534"/>
      <c r="AN121" s="534"/>
      <c r="AO121" s="534"/>
      <c r="AP121" s="534"/>
      <c r="AQ121" s="534"/>
      <c r="AR121" s="534"/>
      <c r="AS121" s="534"/>
      <c r="AT121" s="534"/>
      <c r="AU121" s="534"/>
      <c r="AV121" s="534"/>
      <c r="AW121" s="534"/>
      <c r="AX121" s="534"/>
      <c r="AY121" s="534"/>
      <c r="AZ121" s="534"/>
      <c r="BA121" s="534"/>
      <c r="BB121" s="534"/>
      <c r="BC121" s="534"/>
      <c r="BD121" s="534"/>
      <c r="BE121" s="534"/>
      <c r="BF121" s="534"/>
      <c r="BG121" s="534"/>
      <c r="BH121" s="534"/>
      <c r="BI121" s="534"/>
      <c r="BJ121" s="534"/>
      <c r="BK121" s="534"/>
      <c r="BL121" s="534"/>
      <c r="BM121" s="534"/>
      <c r="BN121" s="534"/>
      <c r="BO121" s="534"/>
      <c r="BP121" s="534"/>
      <c r="BQ121" s="534"/>
      <c r="BR121" s="534"/>
      <c r="BS121" s="534"/>
      <c r="BT121" s="534"/>
      <c r="BU121" s="534"/>
      <c r="BV121" s="534"/>
      <c r="BW121" s="534"/>
      <c r="BX121" s="534"/>
      <c r="BY121" s="534"/>
      <c r="BZ121" s="534"/>
    </row>
    <row r="122" spans="2:78" x14ac:dyDescent="0.15">
      <c r="C122" s="23" t="s">
        <v>247</v>
      </c>
      <c r="D122" s="504"/>
      <c r="E122" s="33"/>
      <c r="F122" s="33">
        <f>F121*$K$22</f>
        <v>252500</v>
      </c>
      <c r="G122" s="33">
        <f t="shared" ref="G122:AH122" ca="1" si="243">G121*$K$23</f>
        <v>252408.8395</v>
      </c>
      <c r="H122" s="33">
        <f t="shared" ca="1" si="243"/>
        <v>231698.558265</v>
      </c>
      <c r="I122" s="33">
        <f t="shared" ca="1" si="243"/>
        <v>192259.11057947119</v>
      </c>
      <c r="J122" s="33">
        <f t="shared" ca="1" si="243"/>
        <v>0</v>
      </c>
      <c r="K122" s="33">
        <f t="shared" ca="1" si="243"/>
        <v>0</v>
      </c>
      <c r="L122" s="33">
        <f t="shared" ca="1" si="243"/>
        <v>0</v>
      </c>
      <c r="M122" s="33">
        <f t="shared" ca="1" si="243"/>
        <v>0</v>
      </c>
      <c r="N122" s="33">
        <f t="shared" ca="1" si="243"/>
        <v>0</v>
      </c>
      <c r="O122" s="33">
        <f t="shared" ca="1" si="243"/>
        <v>0</v>
      </c>
      <c r="P122" s="33">
        <f t="shared" ca="1" si="243"/>
        <v>0</v>
      </c>
      <c r="Q122" s="33">
        <f t="shared" ca="1" si="243"/>
        <v>0</v>
      </c>
      <c r="R122" s="33">
        <f t="shared" ca="1" si="243"/>
        <v>0</v>
      </c>
      <c r="S122" s="33">
        <f t="shared" ca="1" si="243"/>
        <v>0</v>
      </c>
      <c r="T122" s="33">
        <f t="shared" ca="1" si="243"/>
        <v>0</v>
      </c>
      <c r="U122" s="33">
        <f t="shared" ca="1" si="243"/>
        <v>0</v>
      </c>
      <c r="V122" s="33">
        <f t="shared" ca="1" si="243"/>
        <v>0</v>
      </c>
      <c r="W122" s="33">
        <f t="shared" ca="1" si="243"/>
        <v>0</v>
      </c>
      <c r="X122" s="33">
        <f t="shared" ca="1" si="243"/>
        <v>0</v>
      </c>
      <c r="Y122" s="33">
        <f t="shared" ca="1" si="243"/>
        <v>0</v>
      </c>
      <c r="Z122" s="33">
        <f t="shared" ca="1" si="243"/>
        <v>0</v>
      </c>
      <c r="AA122" s="33">
        <f t="shared" ca="1" si="243"/>
        <v>0</v>
      </c>
      <c r="AB122" s="33">
        <f t="shared" ca="1" si="243"/>
        <v>0</v>
      </c>
      <c r="AC122" s="33">
        <f t="shared" ca="1" si="243"/>
        <v>0</v>
      </c>
      <c r="AD122" s="33">
        <f t="shared" ca="1" si="243"/>
        <v>0</v>
      </c>
      <c r="AE122" s="33">
        <f t="shared" ca="1" si="243"/>
        <v>0</v>
      </c>
      <c r="AF122" s="33">
        <f t="shared" ca="1" si="243"/>
        <v>0</v>
      </c>
      <c r="AG122" s="33">
        <f t="shared" ca="1" si="243"/>
        <v>0</v>
      </c>
      <c r="AH122" s="33">
        <f t="shared" ca="1" si="243"/>
        <v>0</v>
      </c>
      <c r="AI122" s="33">
        <f t="shared" ref="AI122:AJ122" ca="1" si="244">AI121*$K$23</f>
        <v>0</v>
      </c>
      <c r="AJ122" s="33">
        <f t="shared" ca="1" si="244"/>
        <v>0</v>
      </c>
      <c r="AK122" s="534"/>
      <c r="AL122" s="534"/>
      <c r="AM122" s="534"/>
      <c r="AN122" s="534"/>
      <c r="AO122" s="534"/>
      <c r="AP122" s="534"/>
      <c r="AQ122" s="534"/>
      <c r="AR122" s="534"/>
      <c r="AS122" s="534"/>
      <c r="AT122" s="534"/>
      <c r="AU122" s="534"/>
      <c r="AV122" s="534"/>
      <c r="AW122" s="534"/>
      <c r="AX122" s="534"/>
      <c r="AY122" s="534"/>
      <c r="AZ122" s="534"/>
      <c r="BA122" s="534"/>
      <c r="BB122" s="534"/>
      <c r="BC122" s="534"/>
      <c r="BD122" s="534"/>
      <c r="BE122" s="534"/>
      <c r="BF122" s="534"/>
      <c r="BG122" s="534"/>
      <c r="BH122" s="534"/>
      <c r="BI122" s="534"/>
      <c r="BJ122" s="534"/>
      <c r="BK122" s="534"/>
      <c r="BL122" s="534"/>
      <c r="BM122" s="534"/>
      <c r="BN122" s="534"/>
      <c r="BO122" s="534"/>
      <c r="BP122" s="534"/>
      <c r="BQ122" s="534"/>
      <c r="BR122" s="534"/>
      <c r="BS122" s="534"/>
      <c r="BT122" s="534"/>
      <c r="BU122" s="534"/>
      <c r="BV122" s="534"/>
      <c r="BW122" s="534"/>
      <c r="BX122" s="534"/>
      <c r="BY122" s="534"/>
      <c r="BZ122" s="534"/>
    </row>
    <row r="123" spans="2:78" x14ac:dyDescent="0.15">
      <c r="C123" s="23" t="s">
        <v>222</v>
      </c>
      <c r="D123" s="504"/>
      <c r="E123" s="33"/>
      <c r="F123" s="33">
        <f t="shared" ref="F123:O123" ca="1" si="245">MAX(-F121-F122,-F115)</f>
        <v>-254323.21000000005</v>
      </c>
      <c r="G123" s="33">
        <f t="shared" ca="1" si="245"/>
        <v>-666614.46420000016</v>
      </c>
      <c r="H123" s="33">
        <f t="shared" ca="1" si="245"/>
        <v>-1020487.5119755757</v>
      </c>
      <c r="I123" s="33">
        <f t="shared" ca="1" si="245"/>
        <v>-4037441.3221688946</v>
      </c>
      <c r="J123" s="33">
        <f t="shared" ca="1" si="245"/>
        <v>0</v>
      </c>
      <c r="K123" s="33">
        <f t="shared" ca="1" si="245"/>
        <v>0</v>
      </c>
      <c r="L123" s="33">
        <f t="shared" ca="1" si="245"/>
        <v>0</v>
      </c>
      <c r="M123" s="33">
        <f t="shared" ca="1" si="245"/>
        <v>0</v>
      </c>
      <c r="N123" s="33">
        <f t="shared" ca="1" si="245"/>
        <v>0</v>
      </c>
      <c r="O123" s="33">
        <f t="shared" ca="1" si="245"/>
        <v>0</v>
      </c>
      <c r="P123" s="33">
        <f t="shared" ref="P123:AH123" ca="1" si="246">MAX(-P121-P122,-P115-P93)</f>
        <v>0</v>
      </c>
      <c r="Q123" s="33">
        <f t="shared" ca="1" si="246"/>
        <v>0</v>
      </c>
      <c r="R123" s="33">
        <f t="shared" ca="1" si="246"/>
        <v>0</v>
      </c>
      <c r="S123" s="33">
        <f t="shared" ca="1" si="246"/>
        <v>0</v>
      </c>
      <c r="T123" s="33">
        <f t="shared" ca="1" si="246"/>
        <v>0</v>
      </c>
      <c r="U123" s="33">
        <f t="shared" ca="1" si="246"/>
        <v>0</v>
      </c>
      <c r="V123" s="33">
        <f t="shared" ca="1" si="246"/>
        <v>0</v>
      </c>
      <c r="W123" s="33">
        <f t="shared" ca="1" si="246"/>
        <v>0</v>
      </c>
      <c r="X123" s="33">
        <f t="shared" ca="1" si="246"/>
        <v>0</v>
      </c>
      <c r="Y123" s="33">
        <f t="shared" ca="1" si="246"/>
        <v>0</v>
      </c>
      <c r="Z123" s="33">
        <f t="shared" ca="1" si="246"/>
        <v>0</v>
      </c>
      <c r="AA123" s="33">
        <f t="shared" ca="1" si="246"/>
        <v>0</v>
      </c>
      <c r="AB123" s="33">
        <f t="shared" ca="1" si="246"/>
        <v>0</v>
      </c>
      <c r="AC123" s="33">
        <f t="shared" ca="1" si="246"/>
        <v>0</v>
      </c>
      <c r="AD123" s="33">
        <f t="shared" ca="1" si="246"/>
        <v>0</v>
      </c>
      <c r="AE123" s="33">
        <f t="shared" ca="1" si="246"/>
        <v>0</v>
      </c>
      <c r="AF123" s="33">
        <f t="shared" ca="1" si="246"/>
        <v>0</v>
      </c>
      <c r="AG123" s="33">
        <f t="shared" ca="1" si="246"/>
        <v>0</v>
      </c>
      <c r="AH123" s="33">
        <f t="shared" ca="1" si="246"/>
        <v>0</v>
      </c>
      <c r="AI123" s="33">
        <f t="shared" ref="AI123:AJ123" ca="1" si="247">MAX(-AI121-AI122,-AI115-AI93)</f>
        <v>0</v>
      </c>
      <c r="AJ123" s="33">
        <f t="shared" ca="1" si="247"/>
        <v>0</v>
      </c>
      <c r="AK123" s="534"/>
      <c r="AL123" s="534"/>
      <c r="AM123" s="534"/>
      <c r="AN123" s="534"/>
      <c r="AO123" s="534"/>
      <c r="AP123" s="534"/>
      <c r="AQ123" s="534"/>
      <c r="AR123" s="534"/>
      <c r="AS123" s="534"/>
      <c r="AT123" s="534"/>
      <c r="AU123" s="534"/>
      <c r="AV123" s="534"/>
      <c r="AW123" s="534"/>
      <c r="AX123" s="534"/>
      <c r="AY123" s="534"/>
      <c r="AZ123" s="534"/>
      <c r="BA123" s="534"/>
      <c r="BB123" s="534"/>
      <c r="BC123" s="534"/>
      <c r="BD123" s="534"/>
      <c r="BE123" s="534"/>
      <c r="BF123" s="534"/>
      <c r="BG123" s="534"/>
      <c r="BH123" s="534"/>
      <c r="BI123" s="534"/>
      <c r="BJ123" s="534"/>
      <c r="BK123" s="534"/>
      <c r="BL123" s="534"/>
      <c r="BM123" s="534"/>
      <c r="BN123" s="534"/>
      <c r="BO123" s="534"/>
      <c r="BP123" s="534"/>
      <c r="BQ123" s="534"/>
      <c r="BR123" s="534"/>
      <c r="BS123" s="534"/>
      <c r="BT123" s="534"/>
      <c r="BU123" s="534"/>
      <c r="BV123" s="534"/>
      <c r="BW123" s="534"/>
      <c r="BX123" s="534"/>
      <c r="BY123" s="534"/>
      <c r="BZ123" s="534"/>
    </row>
    <row r="124" spans="2:78" x14ac:dyDescent="0.15">
      <c r="C124" s="23" t="s">
        <v>228</v>
      </c>
      <c r="D124" s="504"/>
      <c r="E124" s="33"/>
      <c r="F124" s="718">
        <f t="shared" ref="F124:AH124" ca="1" si="248">F121+F122+F123</f>
        <v>5048176.79</v>
      </c>
      <c r="G124" s="718">
        <f t="shared" ca="1" si="248"/>
        <v>4633971.1652999995</v>
      </c>
      <c r="H124" s="718">
        <f t="shared" ca="1" si="248"/>
        <v>3845182.2115894235</v>
      </c>
      <c r="I124" s="718">
        <f t="shared" ca="1" si="248"/>
        <v>0</v>
      </c>
      <c r="J124" s="718">
        <f t="shared" ca="1" si="248"/>
        <v>0</v>
      </c>
      <c r="K124" s="718">
        <f t="shared" ca="1" si="248"/>
        <v>0</v>
      </c>
      <c r="L124" s="718">
        <f t="shared" ca="1" si="248"/>
        <v>0</v>
      </c>
      <c r="M124" s="718">
        <f t="shared" ca="1" si="248"/>
        <v>0</v>
      </c>
      <c r="N124" s="718">
        <f t="shared" ca="1" si="248"/>
        <v>0</v>
      </c>
      <c r="O124" s="718">
        <f t="shared" ca="1" si="248"/>
        <v>0</v>
      </c>
      <c r="P124" s="718">
        <f t="shared" ca="1" si="248"/>
        <v>0</v>
      </c>
      <c r="Q124" s="718">
        <f t="shared" ca="1" si="248"/>
        <v>0</v>
      </c>
      <c r="R124" s="718">
        <f t="shared" ca="1" si="248"/>
        <v>0</v>
      </c>
      <c r="S124" s="718">
        <f t="shared" ca="1" si="248"/>
        <v>0</v>
      </c>
      <c r="T124" s="718">
        <f t="shared" ca="1" si="248"/>
        <v>0</v>
      </c>
      <c r="U124" s="718">
        <f t="shared" ca="1" si="248"/>
        <v>0</v>
      </c>
      <c r="V124" s="718">
        <f t="shared" ca="1" si="248"/>
        <v>0</v>
      </c>
      <c r="W124" s="718">
        <f t="shared" ca="1" si="248"/>
        <v>0</v>
      </c>
      <c r="X124" s="718">
        <f t="shared" ca="1" si="248"/>
        <v>0</v>
      </c>
      <c r="Y124" s="718">
        <f t="shared" ca="1" si="248"/>
        <v>0</v>
      </c>
      <c r="Z124" s="718">
        <f t="shared" ca="1" si="248"/>
        <v>0</v>
      </c>
      <c r="AA124" s="718">
        <f t="shared" ca="1" si="248"/>
        <v>0</v>
      </c>
      <c r="AB124" s="718">
        <f t="shared" ca="1" si="248"/>
        <v>0</v>
      </c>
      <c r="AC124" s="718">
        <f t="shared" ca="1" si="248"/>
        <v>0</v>
      </c>
      <c r="AD124" s="718">
        <f t="shared" ca="1" si="248"/>
        <v>0</v>
      </c>
      <c r="AE124" s="718">
        <f t="shared" ca="1" si="248"/>
        <v>0</v>
      </c>
      <c r="AF124" s="718">
        <f t="shared" ca="1" si="248"/>
        <v>0</v>
      </c>
      <c r="AG124" s="718">
        <f t="shared" ca="1" si="248"/>
        <v>0</v>
      </c>
      <c r="AH124" s="718">
        <f t="shared" ca="1" si="248"/>
        <v>0</v>
      </c>
      <c r="AI124" s="718">
        <f t="shared" ref="AI124:AJ124" ca="1" si="249">AI121+AI122+AI123</f>
        <v>0</v>
      </c>
      <c r="AJ124" s="718">
        <f t="shared" ca="1" si="249"/>
        <v>0</v>
      </c>
      <c r="AK124" s="534"/>
      <c r="AL124" s="534"/>
      <c r="AM124" s="534"/>
      <c r="AN124" s="534"/>
      <c r="AO124" s="534"/>
      <c r="AP124" s="534"/>
      <c r="AQ124" s="534"/>
      <c r="AR124" s="534"/>
      <c r="AS124" s="534"/>
      <c r="AT124" s="534"/>
      <c r="AU124" s="534"/>
      <c r="AV124" s="534"/>
      <c r="AW124" s="534"/>
      <c r="AX124" s="534"/>
      <c r="AY124" s="534"/>
      <c r="AZ124" s="534"/>
      <c r="BA124" s="534"/>
      <c r="BB124" s="534"/>
      <c r="BC124" s="534"/>
      <c r="BD124" s="534"/>
      <c r="BE124" s="534"/>
      <c r="BF124" s="534"/>
      <c r="BG124" s="534"/>
      <c r="BH124" s="534"/>
      <c r="BI124" s="534"/>
      <c r="BJ124" s="534"/>
      <c r="BK124" s="534"/>
      <c r="BL124" s="534"/>
      <c r="BM124" s="534"/>
      <c r="BN124" s="534"/>
      <c r="BO124" s="534"/>
      <c r="BP124" s="534"/>
      <c r="BQ124" s="534"/>
      <c r="BR124" s="534"/>
      <c r="BS124" s="534"/>
      <c r="BT124" s="534"/>
      <c r="BU124" s="534"/>
      <c r="BV124" s="534"/>
      <c r="BW124" s="534"/>
      <c r="BX124" s="534"/>
      <c r="BY124" s="534"/>
      <c r="BZ124" s="534"/>
    </row>
    <row r="125" spans="2:78" x14ac:dyDescent="0.15">
      <c r="C125" s="32" t="s">
        <v>248</v>
      </c>
      <c r="D125" s="504"/>
      <c r="E125" s="31"/>
      <c r="F125" s="33">
        <f t="shared" ref="F125:AH125" ca="1" si="250">F115+F123</f>
        <v>0</v>
      </c>
      <c r="G125" s="33">
        <f t="shared" ca="1" si="250"/>
        <v>0</v>
      </c>
      <c r="H125" s="33">
        <f t="shared" ca="1" si="250"/>
        <v>0</v>
      </c>
      <c r="I125" s="33">
        <f t="shared" ca="1" si="250"/>
        <v>1838173.848092916</v>
      </c>
      <c r="J125" s="33">
        <f t="shared" ca="1" si="250"/>
        <v>846494.34014477057</v>
      </c>
      <c r="K125" s="33">
        <f t="shared" ca="1" si="250"/>
        <v>898480.47600318573</v>
      </c>
      <c r="L125" s="33">
        <f t="shared" ca="1" si="250"/>
        <v>952787.6290023214</v>
      </c>
      <c r="M125" s="33">
        <f t="shared" ca="1" si="250"/>
        <v>1009513.4712619338</v>
      </c>
      <c r="N125" s="33">
        <f t="shared" ca="1" si="250"/>
        <v>1068759.6784152524</v>
      </c>
      <c r="O125" s="33">
        <f t="shared" ca="1" si="250"/>
        <v>1130632.0916820914</v>
      </c>
      <c r="P125" s="33">
        <f t="shared" ca="1" si="250"/>
        <v>632608.88646353956</v>
      </c>
      <c r="Q125" s="33">
        <f t="shared" ca="1" si="250"/>
        <v>700068.74771986075</v>
      </c>
      <c r="R125" s="33">
        <f t="shared" ca="1" si="250"/>
        <v>770499.05240372114</v>
      </c>
      <c r="S125" s="33">
        <f t="shared" ca="1" si="250"/>
        <v>844024.05923176848</v>
      </c>
      <c r="T125" s="33">
        <f t="shared" ca="1" si="250"/>
        <v>920773.10608890734</v>
      </c>
      <c r="U125" s="33">
        <f t="shared" ca="1" si="250"/>
        <v>1000880.8153714201</v>
      </c>
      <c r="V125" s="33">
        <f t="shared" ca="1" si="250"/>
        <v>1084487.3075873433</v>
      </c>
      <c r="W125" s="33">
        <f t="shared" ca="1" si="250"/>
        <v>1171738.4235452567</v>
      </c>
      <c r="X125" s="33">
        <f t="shared" ca="1" si="250"/>
        <v>1262785.9554759054</v>
      </c>
      <c r="Y125" s="33">
        <f t="shared" ca="1" si="250"/>
        <v>1357787.8874448892</v>
      </c>
      <c r="Z125" s="33">
        <f t="shared" ca="1" si="250"/>
        <v>1456908.6454289621</v>
      </c>
      <c r="AA125" s="33">
        <f t="shared" ca="1" si="250"/>
        <v>1560319.3574434547</v>
      </c>
      <c r="AB125" s="33">
        <f t="shared" ca="1" si="250"/>
        <v>1668198.1241238043</v>
      </c>
      <c r="AC125" s="33">
        <f t="shared" ca="1" si="250"/>
        <v>1780730.3001803514</v>
      </c>
      <c r="AD125" s="33">
        <f t="shared" ca="1" si="250"/>
        <v>1898108.7871623235</v>
      </c>
      <c r="AE125" s="33">
        <f t="shared" ca="1" si="250"/>
        <v>2020534.3379844017</v>
      </c>
      <c r="AF125" s="33">
        <f t="shared" ca="1" si="250"/>
        <v>2148215.8736874047</v>
      </c>
      <c r="AG125" s="33">
        <f t="shared" ca="1" si="250"/>
        <v>2281370.8129235329</v>
      </c>
      <c r="AH125" s="33">
        <f t="shared" ca="1" si="250"/>
        <v>2420225.4146762085</v>
      </c>
      <c r="AI125" s="33">
        <f t="shared" ref="AI125:AJ125" ca="1" si="251">AI115+AI123</f>
        <v>2565015.1347450386</v>
      </c>
      <c r="AJ125" s="33">
        <f t="shared" ca="1" si="251"/>
        <v>53730585.990869828</v>
      </c>
      <c r="AK125" s="534"/>
      <c r="AL125" s="534"/>
      <c r="AM125" s="534"/>
      <c r="AN125" s="534"/>
      <c r="AO125" s="534"/>
      <c r="AP125" s="534"/>
      <c r="AQ125" s="534"/>
      <c r="AR125" s="534"/>
      <c r="AS125" s="534"/>
      <c r="AT125" s="534"/>
      <c r="AU125" s="534"/>
      <c r="AV125" s="534"/>
      <c r="AW125" s="534"/>
      <c r="AX125" s="534"/>
      <c r="AY125" s="534"/>
      <c r="AZ125" s="534"/>
      <c r="BA125" s="534"/>
      <c r="BB125" s="534"/>
      <c r="BC125" s="534"/>
      <c r="BD125" s="534"/>
      <c r="BE125" s="534"/>
      <c r="BF125" s="534"/>
      <c r="BG125" s="534"/>
      <c r="BH125" s="534"/>
      <c r="BI125" s="534"/>
      <c r="BJ125" s="534"/>
      <c r="BK125" s="534"/>
      <c r="BL125" s="534"/>
      <c r="BM125" s="534"/>
      <c r="BN125" s="534"/>
      <c r="BO125" s="534"/>
      <c r="BP125" s="534"/>
      <c r="BQ125" s="534"/>
      <c r="BR125" s="534"/>
      <c r="BS125" s="534"/>
      <c r="BT125" s="534"/>
      <c r="BU125" s="534"/>
      <c r="BV125" s="534"/>
      <c r="BW125" s="534"/>
      <c r="BX125" s="534"/>
      <c r="BY125" s="534"/>
      <c r="BZ125" s="534"/>
    </row>
    <row r="126" spans="2:78" x14ac:dyDescent="0.15">
      <c r="C126" s="41" t="s">
        <v>249</v>
      </c>
      <c r="D126" s="504"/>
      <c r="E126" s="33"/>
      <c r="F126" s="33"/>
      <c r="G126" s="33"/>
      <c r="H126" s="33"/>
      <c r="I126" s="33"/>
      <c r="J126" s="33"/>
      <c r="K126" s="33"/>
      <c r="L126" s="33"/>
      <c r="M126" s="33"/>
      <c r="N126" s="33"/>
      <c r="O126" s="33"/>
      <c r="P126" s="33"/>
      <c r="Q126" s="33"/>
      <c r="R126" s="33"/>
      <c r="S126" s="33"/>
      <c r="T126" s="33"/>
      <c r="U126" s="33"/>
      <c r="V126" s="33"/>
      <c r="W126" s="33"/>
      <c r="X126" s="33"/>
      <c r="Y126" s="33"/>
      <c r="Z126" s="33"/>
      <c r="AA126" s="33"/>
      <c r="AB126" s="33"/>
      <c r="AC126" s="33"/>
      <c r="AD126" s="33"/>
      <c r="AE126" s="33"/>
      <c r="AF126" s="33"/>
      <c r="AG126" s="33"/>
      <c r="AH126" s="33"/>
      <c r="AI126" s="33"/>
      <c r="AJ126" s="33"/>
      <c r="AK126" s="534"/>
      <c r="AL126" s="534"/>
      <c r="AM126" s="534"/>
      <c r="AN126" s="534"/>
      <c r="AO126" s="534"/>
      <c r="AP126" s="534"/>
      <c r="AQ126" s="534"/>
      <c r="AR126" s="534"/>
      <c r="AS126" s="534"/>
      <c r="AT126" s="534"/>
      <c r="AU126" s="534"/>
      <c r="AV126" s="534"/>
      <c r="AW126" s="534"/>
      <c r="AX126" s="534"/>
      <c r="AY126" s="534"/>
      <c r="AZ126" s="534"/>
      <c r="BA126" s="534"/>
      <c r="BB126" s="534"/>
      <c r="BC126" s="534"/>
      <c r="BD126" s="534"/>
      <c r="BE126" s="534"/>
      <c r="BF126" s="534"/>
      <c r="BG126" s="534"/>
      <c r="BH126" s="534"/>
      <c r="BI126" s="534"/>
      <c r="BJ126" s="534"/>
      <c r="BK126" s="534"/>
      <c r="BL126" s="534"/>
      <c r="BM126" s="534"/>
      <c r="BN126" s="534"/>
      <c r="BO126" s="534"/>
      <c r="BP126" s="534"/>
      <c r="BQ126" s="534"/>
      <c r="BR126" s="534"/>
      <c r="BS126" s="534"/>
      <c r="BT126" s="534"/>
      <c r="BU126" s="534"/>
      <c r="BV126" s="534"/>
      <c r="BW126" s="534"/>
      <c r="BX126" s="534"/>
      <c r="BY126" s="534"/>
      <c r="BZ126" s="534"/>
    </row>
    <row r="127" spans="2:78" x14ac:dyDescent="0.15">
      <c r="C127" s="541" t="s">
        <v>250</v>
      </c>
      <c r="D127" s="504"/>
      <c r="E127" s="33"/>
      <c r="F127" s="33">
        <f t="shared" ref="F127:AH127" ca="1" si="252">F125*$K$20</f>
        <v>0</v>
      </c>
      <c r="G127" s="33">
        <f t="shared" ca="1" si="252"/>
        <v>0</v>
      </c>
      <c r="H127" s="33">
        <f t="shared" ca="1" si="252"/>
        <v>0</v>
      </c>
      <c r="I127" s="33">
        <f t="shared" ca="1" si="252"/>
        <v>919086.92404645798</v>
      </c>
      <c r="J127" s="33">
        <f t="shared" ca="1" si="252"/>
        <v>423247.17007238528</v>
      </c>
      <c r="K127" s="33">
        <f t="shared" ca="1" si="252"/>
        <v>449240.23800159286</v>
      </c>
      <c r="L127" s="33">
        <f t="shared" ca="1" si="252"/>
        <v>476393.8145011607</v>
      </c>
      <c r="M127" s="33">
        <f t="shared" ca="1" si="252"/>
        <v>504756.7356309669</v>
      </c>
      <c r="N127" s="33">
        <f t="shared" ca="1" si="252"/>
        <v>534379.83920762618</v>
      </c>
      <c r="O127" s="33">
        <f t="shared" ca="1" si="252"/>
        <v>565316.04584104568</v>
      </c>
      <c r="P127" s="33">
        <f t="shared" ca="1" si="252"/>
        <v>316304.44323176978</v>
      </c>
      <c r="Q127" s="33">
        <f t="shared" ca="1" si="252"/>
        <v>350034.37385993038</v>
      </c>
      <c r="R127" s="33">
        <f t="shared" ca="1" si="252"/>
        <v>385249.52620186057</v>
      </c>
      <c r="S127" s="33">
        <f t="shared" ca="1" si="252"/>
        <v>422012.02961588424</v>
      </c>
      <c r="T127" s="33">
        <f t="shared" ca="1" si="252"/>
        <v>460386.55304445367</v>
      </c>
      <c r="U127" s="33">
        <f t="shared" ca="1" si="252"/>
        <v>500440.40768571006</v>
      </c>
      <c r="V127" s="33">
        <f t="shared" ca="1" si="252"/>
        <v>542243.65379367163</v>
      </c>
      <c r="W127" s="33">
        <f t="shared" ca="1" si="252"/>
        <v>585869.21177262836</v>
      </c>
      <c r="X127" s="33">
        <f t="shared" ca="1" si="252"/>
        <v>631392.97773795272</v>
      </c>
      <c r="Y127" s="33">
        <f t="shared" ca="1" si="252"/>
        <v>678893.94372244459</v>
      </c>
      <c r="Z127" s="33">
        <f t="shared" ca="1" si="252"/>
        <v>728454.32271448104</v>
      </c>
      <c r="AA127" s="33">
        <f t="shared" ca="1" si="252"/>
        <v>780159.67872172734</v>
      </c>
      <c r="AB127" s="33">
        <f t="shared" ca="1" si="252"/>
        <v>834099.06206190214</v>
      </c>
      <c r="AC127" s="33">
        <f t="shared" ca="1" si="252"/>
        <v>890365.15009017568</v>
      </c>
      <c r="AD127" s="33">
        <f t="shared" ca="1" si="252"/>
        <v>949054.39358116174</v>
      </c>
      <c r="AE127" s="33">
        <f t="shared" ca="1" si="252"/>
        <v>1010267.1689922009</v>
      </c>
      <c r="AF127" s="33">
        <f t="shared" ca="1" si="252"/>
        <v>1074107.9368437023</v>
      </c>
      <c r="AG127" s="33">
        <f t="shared" ca="1" si="252"/>
        <v>1140685.4064617665</v>
      </c>
      <c r="AH127" s="33">
        <f t="shared" ca="1" si="252"/>
        <v>1210112.7073381043</v>
      </c>
      <c r="AI127" s="33">
        <f t="shared" ref="AI127:AJ127" ca="1" si="253">AI125*$K$20</f>
        <v>1282507.5673725193</v>
      </c>
      <c r="AJ127" s="33">
        <f t="shared" ca="1" si="253"/>
        <v>26865292.995434914</v>
      </c>
      <c r="AK127" s="534"/>
      <c r="AL127" s="534"/>
      <c r="AM127" s="534"/>
      <c r="AN127" s="534"/>
      <c r="AO127" s="534"/>
      <c r="AP127" s="534"/>
      <c r="AQ127" s="534"/>
      <c r="AR127" s="534"/>
      <c r="AS127" s="534"/>
      <c r="AT127" s="534"/>
      <c r="AU127" s="534"/>
      <c r="AV127" s="534"/>
      <c r="AW127" s="534"/>
      <c r="AX127" s="534"/>
      <c r="AY127" s="534"/>
      <c r="AZ127" s="534"/>
      <c r="BA127" s="534"/>
      <c r="BB127" s="534"/>
      <c r="BC127" s="534"/>
      <c r="BD127" s="534"/>
      <c r="BE127" s="534"/>
      <c r="BF127" s="534"/>
      <c r="BG127" s="534"/>
      <c r="BH127" s="534"/>
      <c r="BI127" s="534"/>
      <c r="BJ127" s="534"/>
      <c r="BK127" s="534"/>
      <c r="BL127" s="534"/>
      <c r="BM127" s="534"/>
      <c r="BN127" s="534"/>
      <c r="BO127" s="534"/>
      <c r="BP127" s="534"/>
      <c r="BQ127" s="534"/>
      <c r="BR127" s="534"/>
      <c r="BS127" s="534"/>
      <c r="BT127" s="534"/>
      <c r="BU127" s="534"/>
      <c r="BV127" s="534"/>
      <c r="BW127" s="534"/>
      <c r="BX127" s="534"/>
      <c r="BY127" s="534"/>
      <c r="BZ127" s="534"/>
    </row>
    <row r="128" spans="2:78" x14ac:dyDescent="0.15">
      <c r="C128" s="541" t="s">
        <v>251</v>
      </c>
      <c r="D128" s="504"/>
      <c r="E128" s="33"/>
      <c r="F128" s="33">
        <f t="shared" ref="F128:AH128" ca="1" si="254">F125*$K$21</f>
        <v>0</v>
      </c>
      <c r="G128" s="33">
        <f t="shared" ca="1" si="254"/>
        <v>0</v>
      </c>
      <c r="H128" s="33">
        <f t="shared" ca="1" si="254"/>
        <v>0</v>
      </c>
      <c r="I128" s="33">
        <f t="shared" ca="1" si="254"/>
        <v>919086.92404645798</v>
      </c>
      <c r="J128" s="33">
        <f t="shared" ca="1" si="254"/>
        <v>423247.17007238528</v>
      </c>
      <c r="K128" s="33">
        <f t="shared" ca="1" si="254"/>
        <v>449240.23800159286</v>
      </c>
      <c r="L128" s="33">
        <f t="shared" ca="1" si="254"/>
        <v>476393.8145011607</v>
      </c>
      <c r="M128" s="33">
        <f t="shared" ca="1" si="254"/>
        <v>504756.7356309669</v>
      </c>
      <c r="N128" s="33">
        <f t="shared" ca="1" si="254"/>
        <v>534379.83920762618</v>
      </c>
      <c r="O128" s="33">
        <f t="shared" ca="1" si="254"/>
        <v>565316.04584104568</v>
      </c>
      <c r="P128" s="33">
        <f t="shared" ca="1" si="254"/>
        <v>316304.44323176978</v>
      </c>
      <c r="Q128" s="33">
        <f t="shared" ca="1" si="254"/>
        <v>350034.37385993038</v>
      </c>
      <c r="R128" s="33">
        <f t="shared" ca="1" si="254"/>
        <v>385249.52620186057</v>
      </c>
      <c r="S128" s="33">
        <f t="shared" ca="1" si="254"/>
        <v>422012.02961588424</v>
      </c>
      <c r="T128" s="33">
        <f t="shared" ca="1" si="254"/>
        <v>460386.55304445367</v>
      </c>
      <c r="U128" s="33">
        <f t="shared" ca="1" si="254"/>
        <v>500440.40768571006</v>
      </c>
      <c r="V128" s="33">
        <f t="shared" ca="1" si="254"/>
        <v>542243.65379367163</v>
      </c>
      <c r="W128" s="33">
        <f t="shared" ca="1" si="254"/>
        <v>585869.21177262836</v>
      </c>
      <c r="X128" s="33">
        <f t="shared" ca="1" si="254"/>
        <v>631392.97773795272</v>
      </c>
      <c r="Y128" s="33">
        <f t="shared" ca="1" si="254"/>
        <v>678893.94372244459</v>
      </c>
      <c r="Z128" s="33">
        <f t="shared" ca="1" si="254"/>
        <v>728454.32271448104</v>
      </c>
      <c r="AA128" s="33">
        <f t="shared" ca="1" si="254"/>
        <v>780159.67872172734</v>
      </c>
      <c r="AB128" s="33">
        <f t="shared" ca="1" si="254"/>
        <v>834099.06206190214</v>
      </c>
      <c r="AC128" s="33">
        <f t="shared" ca="1" si="254"/>
        <v>890365.15009017568</v>
      </c>
      <c r="AD128" s="33">
        <f t="shared" ca="1" si="254"/>
        <v>949054.39358116174</v>
      </c>
      <c r="AE128" s="33">
        <f t="shared" ca="1" si="254"/>
        <v>1010267.1689922009</v>
      </c>
      <c r="AF128" s="33">
        <f t="shared" ca="1" si="254"/>
        <v>1074107.9368437023</v>
      </c>
      <c r="AG128" s="33">
        <f t="shared" ca="1" si="254"/>
        <v>1140685.4064617665</v>
      </c>
      <c r="AH128" s="33">
        <f t="shared" ca="1" si="254"/>
        <v>1210112.7073381043</v>
      </c>
      <c r="AI128" s="33">
        <f t="shared" ref="AI128:AJ128" ca="1" si="255">AI125*$K$21</f>
        <v>1282507.5673725193</v>
      </c>
      <c r="AJ128" s="33">
        <f t="shared" ca="1" si="255"/>
        <v>26865292.995434914</v>
      </c>
      <c r="AK128" s="534"/>
      <c r="AL128" s="534"/>
      <c r="AM128" s="534"/>
      <c r="AN128" s="534"/>
      <c r="AO128" s="534"/>
      <c r="AP128" s="534"/>
      <c r="AQ128" s="534"/>
      <c r="AR128" s="534"/>
      <c r="AS128" s="534"/>
      <c r="AT128" s="534"/>
      <c r="AU128" s="534"/>
      <c r="AV128" s="534"/>
      <c r="AW128" s="534"/>
      <c r="AX128" s="534"/>
      <c r="AY128" s="534"/>
      <c r="AZ128" s="534"/>
      <c r="BA128" s="534"/>
      <c r="BB128" s="534"/>
      <c r="BC128" s="534"/>
      <c r="BD128" s="534"/>
      <c r="BE128" s="534"/>
      <c r="BF128" s="534"/>
      <c r="BG128" s="534"/>
      <c r="BH128" s="534"/>
      <c r="BI128" s="534"/>
      <c r="BJ128" s="534"/>
      <c r="BK128" s="534"/>
      <c r="BL128" s="534"/>
      <c r="BM128" s="534"/>
      <c r="BN128" s="534"/>
      <c r="BO128" s="534"/>
      <c r="BP128" s="534"/>
      <c r="BQ128" s="534"/>
      <c r="BR128" s="534"/>
      <c r="BS128" s="534"/>
      <c r="BT128" s="534"/>
      <c r="BU128" s="534"/>
      <c r="BV128" s="534"/>
      <c r="BW128" s="534"/>
      <c r="BX128" s="534"/>
      <c r="BY128" s="534"/>
      <c r="BZ128" s="534"/>
    </row>
    <row r="129" spans="2:78" x14ac:dyDescent="0.15">
      <c r="C129" s="41" t="s">
        <v>42</v>
      </c>
      <c r="D129" s="504"/>
      <c r="E129"/>
      <c r="F129" s="33"/>
      <c r="G129" s="33"/>
      <c r="H129" s="33"/>
      <c r="I129" s="33"/>
      <c r="J129" s="33"/>
      <c r="K129" s="33"/>
      <c r="L129" s="33"/>
      <c r="M129" s="33"/>
      <c r="N129" s="33"/>
      <c r="O129" s="33"/>
      <c r="P129" s="33"/>
      <c r="Q129" s="33"/>
      <c r="R129" s="33"/>
      <c r="S129" s="33"/>
      <c r="T129" s="33"/>
      <c r="U129" s="33"/>
      <c r="V129" s="33"/>
      <c r="W129" s="33"/>
      <c r="X129" s="33"/>
      <c r="Y129" s="33"/>
      <c r="Z129" s="33"/>
      <c r="AA129" s="33"/>
      <c r="AB129" s="33"/>
      <c r="AC129" s="33"/>
      <c r="AD129" s="33"/>
      <c r="AE129" s="33"/>
      <c r="AF129" s="33"/>
      <c r="AG129" s="33"/>
      <c r="AH129" s="33"/>
      <c r="AI129" s="33"/>
      <c r="AJ129" s="33"/>
      <c r="AK129" s="534"/>
      <c r="AL129" s="534"/>
      <c r="AM129" s="534"/>
      <c r="AN129" s="534"/>
      <c r="AO129" s="534"/>
      <c r="AP129" s="534"/>
      <c r="AQ129" s="534"/>
      <c r="AR129" s="534"/>
      <c r="AS129" s="534"/>
      <c r="AT129" s="534"/>
      <c r="AU129" s="534"/>
      <c r="AV129" s="534"/>
      <c r="AW129" s="534"/>
      <c r="AX129" s="534"/>
      <c r="AY129" s="534"/>
      <c r="AZ129" s="534"/>
      <c r="BA129" s="534"/>
      <c r="BB129" s="534"/>
      <c r="BC129" s="534"/>
      <c r="BD129" s="534"/>
      <c r="BE129" s="534"/>
      <c r="BF129" s="534"/>
      <c r="BG129" s="534"/>
      <c r="BH129" s="534"/>
      <c r="BI129" s="534"/>
      <c r="BJ129" s="534"/>
      <c r="BK129" s="534"/>
      <c r="BL129" s="534"/>
      <c r="BM129" s="534"/>
      <c r="BN129" s="534"/>
      <c r="BO129" s="534"/>
      <c r="BP129" s="534"/>
      <c r="BQ129" s="534"/>
      <c r="BR129" s="534"/>
      <c r="BS129" s="534"/>
      <c r="BT129" s="534"/>
      <c r="BU129" s="534"/>
      <c r="BV129" s="534"/>
      <c r="BW129" s="534"/>
      <c r="BX129" s="534"/>
      <c r="BY129" s="534"/>
      <c r="BZ129" s="534"/>
    </row>
    <row r="130" spans="2:78" x14ac:dyDescent="0.15">
      <c r="C130" s="541" t="s">
        <v>250</v>
      </c>
      <c r="D130" s="542">
        <f ca="1">SUM(E130:AJ130)</f>
        <v>46439220.785924673</v>
      </c>
      <c r="E130" s="39">
        <f>E115</f>
        <v>-5050000</v>
      </c>
      <c r="F130" s="33">
        <f t="shared" ref="F130:AH130" ca="1" si="256">-F123+F127</f>
        <v>254323.21000000005</v>
      </c>
      <c r="G130" s="33">
        <f t="shared" ca="1" si="256"/>
        <v>666614.46420000016</v>
      </c>
      <c r="H130" s="33">
        <f t="shared" ca="1" si="256"/>
        <v>1020487.5119755757</v>
      </c>
      <c r="I130" s="33">
        <f t="shared" ca="1" si="256"/>
        <v>4956528.2462153528</v>
      </c>
      <c r="J130" s="33">
        <f t="shared" ca="1" si="256"/>
        <v>423247.17007238528</v>
      </c>
      <c r="K130" s="33">
        <f t="shared" ca="1" si="256"/>
        <v>449240.23800159286</v>
      </c>
      <c r="L130" s="33">
        <f t="shared" ca="1" si="256"/>
        <v>476393.8145011607</v>
      </c>
      <c r="M130" s="33">
        <f t="shared" ca="1" si="256"/>
        <v>504756.7356309669</v>
      </c>
      <c r="N130" s="33">
        <f t="shared" ca="1" si="256"/>
        <v>534379.83920762618</v>
      </c>
      <c r="O130" s="33">
        <f t="shared" ca="1" si="256"/>
        <v>565316.04584104568</v>
      </c>
      <c r="P130" s="33">
        <f t="shared" ca="1" si="256"/>
        <v>316304.44323176978</v>
      </c>
      <c r="Q130" s="33">
        <f t="shared" ca="1" si="256"/>
        <v>350034.37385993038</v>
      </c>
      <c r="R130" s="33">
        <f t="shared" ca="1" si="256"/>
        <v>385249.52620186057</v>
      </c>
      <c r="S130" s="33">
        <f t="shared" ca="1" si="256"/>
        <v>422012.02961588424</v>
      </c>
      <c r="T130" s="33">
        <f t="shared" ca="1" si="256"/>
        <v>460386.55304445367</v>
      </c>
      <c r="U130" s="33">
        <f t="shared" ca="1" si="256"/>
        <v>500440.40768571006</v>
      </c>
      <c r="V130" s="33">
        <f t="shared" ca="1" si="256"/>
        <v>542243.65379367163</v>
      </c>
      <c r="W130" s="33">
        <f t="shared" ca="1" si="256"/>
        <v>585869.21177262836</v>
      </c>
      <c r="X130" s="33">
        <f t="shared" ca="1" si="256"/>
        <v>631392.97773795272</v>
      </c>
      <c r="Y130" s="33">
        <f t="shared" ca="1" si="256"/>
        <v>678893.94372244459</v>
      </c>
      <c r="Z130" s="33">
        <f t="shared" ca="1" si="256"/>
        <v>728454.32271448104</v>
      </c>
      <c r="AA130" s="33">
        <f t="shared" ca="1" si="256"/>
        <v>780159.67872172734</v>
      </c>
      <c r="AB130" s="33">
        <f t="shared" ca="1" si="256"/>
        <v>834099.06206190214</v>
      </c>
      <c r="AC130" s="33">
        <f t="shared" ca="1" si="256"/>
        <v>890365.15009017568</v>
      </c>
      <c r="AD130" s="33">
        <f t="shared" ca="1" si="256"/>
        <v>949054.39358116174</v>
      </c>
      <c r="AE130" s="33">
        <f t="shared" ca="1" si="256"/>
        <v>1010267.1689922009</v>
      </c>
      <c r="AF130" s="33">
        <f t="shared" ca="1" si="256"/>
        <v>1074107.9368437023</v>
      </c>
      <c r="AG130" s="33">
        <f t="shared" ca="1" si="256"/>
        <v>1140685.4064617665</v>
      </c>
      <c r="AH130" s="33">
        <f t="shared" ca="1" si="256"/>
        <v>1210112.7073381043</v>
      </c>
      <c r="AI130" s="33">
        <f t="shared" ref="AI130:AJ130" ca="1" si="257">-AI123+AI127</f>
        <v>1282507.5673725193</v>
      </c>
      <c r="AJ130" s="33">
        <f t="shared" ca="1" si="257"/>
        <v>26865292.995434914</v>
      </c>
      <c r="AK130" s="534"/>
      <c r="AL130" s="534"/>
      <c r="AM130" s="534"/>
      <c r="AN130" s="534"/>
      <c r="AO130" s="534"/>
      <c r="AP130" s="534"/>
      <c r="AQ130" s="534"/>
      <c r="AR130" s="534"/>
      <c r="AS130" s="534"/>
      <c r="AT130" s="534"/>
      <c r="AU130" s="534"/>
      <c r="AV130" s="534"/>
      <c r="AW130" s="534"/>
      <c r="AX130" s="534"/>
      <c r="AY130" s="534"/>
      <c r="AZ130" s="534"/>
      <c r="BA130" s="534"/>
      <c r="BB130" s="534"/>
      <c r="BC130" s="534"/>
      <c r="BD130" s="534"/>
      <c r="BE130" s="534"/>
      <c r="BF130" s="534"/>
      <c r="BG130" s="534"/>
      <c r="BH130" s="534"/>
      <c r="BI130" s="534"/>
      <c r="BJ130" s="534"/>
      <c r="BK130" s="534"/>
      <c r="BL130" s="534"/>
      <c r="BM130" s="534"/>
      <c r="BN130" s="534"/>
      <c r="BO130" s="534"/>
      <c r="BP130" s="534"/>
      <c r="BQ130" s="534"/>
      <c r="BR130" s="534"/>
      <c r="BS130" s="534"/>
      <c r="BT130" s="534"/>
      <c r="BU130" s="534"/>
      <c r="BV130" s="534"/>
      <c r="BW130" s="534"/>
      <c r="BX130" s="534"/>
      <c r="BY130" s="534"/>
      <c r="BZ130" s="534"/>
    </row>
    <row r="131" spans="2:78" x14ac:dyDescent="0.15">
      <c r="C131" s="541" t="s">
        <v>251</v>
      </c>
      <c r="D131" s="542">
        <f ca="1">SUM(E131:AJ131)</f>
        <v>45510354.277580202</v>
      </c>
      <c r="E131" s="39">
        <v>0</v>
      </c>
      <c r="F131" s="33">
        <f t="shared" ref="F131:AH131" ca="1" si="258">F128</f>
        <v>0</v>
      </c>
      <c r="G131" s="33">
        <f t="shared" ca="1" si="258"/>
        <v>0</v>
      </c>
      <c r="H131" s="33">
        <f t="shared" ca="1" si="258"/>
        <v>0</v>
      </c>
      <c r="I131" s="33">
        <f t="shared" ca="1" si="258"/>
        <v>919086.92404645798</v>
      </c>
      <c r="J131" s="33">
        <f t="shared" ca="1" si="258"/>
        <v>423247.17007238528</v>
      </c>
      <c r="K131" s="33">
        <f t="shared" ca="1" si="258"/>
        <v>449240.23800159286</v>
      </c>
      <c r="L131" s="33">
        <f t="shared" ca="1" si="258"/>
        <v>476393.8145011607</v>
      </c>
      <c r="M131" s="33">
        <f t="shared" ca="1" si="258"/>
        <v>504756.7356309669</v>
      </c>
      <c r="N131" s="33">
        <f t="shared" ca="1" si="258"/>
        <v>534379.83920762618</v>
      </c>
      <c r="O131" s="33">
        <f t="shared" ca="1" si="258"/>
        <v>565316.04584104568</v>
      </c>
      <c r="P131" s="33">
        <f t="shared" ca="1" si="258"/>
        <v>316304.44323176978</v>
      </c>
      <c r="Q131" s="33">
        <f t="shared" ca="1" si="258"/>
        <v>350034.37385993038</v>
      </c>
      <c r="R131" s="33">
        <f t="shared" ca="1" si="258"/>
        <v>385249.52620186057</v>
      </c>
      <c r="S131" s="33">
        <f t="shared" ca="1" si="258"/>
        <v>422012.02961588424</v>
      </c>
      <c r="T131" s="33">
        <f t="shared" ca="1" si="258"/>
        <v>460386.55304445367</v>
      </c>
      <c r="U131" s="33">
        <f t="shared" ca="1" si="258"/>
        <v>500440.40768571006</v>
      </c>
      <c r="V131" s="33">
        <f t="shared" ca="1" si="258"/>
        <v>542243.65379367163</v>
      </c>
      <c r="W131" s="33">
        <f t="shared" ca="1" si="258"/>
        <v>585869.21177262836</v>
      </c>
      <c r="X131" s="33">
        <f t="shared" ca="1" si="258"/>
        <v>631392.97773795272</v>
      </c>
      <c r="Y131" s="33">
        <f t="shared" ca="1" si="258"/>
        <v>678893.94372244459</v>
      </c>
      <c r="Z131" s="33">
        <f t="shared" ca="1" si="258"/>
        <v>728454.32271448104</v>
      </c>
      <c r="AA131" s="33">
        <f t="shared" ca="1" si="258"/>
        <v>780159.67872172734</v>
      </c>
      <c r="AB131" s="33">
        <f t="shared" ca="1" si="258"/>
        <v>834099.06206190214</v>
      </c>
      <c r="AC131" s="33">
        <f t="shared" ca="1" si="258"/>
        <v>890365.15009017568</v>
      </c>
      <c r="AD131" s="33">
        <f t="shared" ca="1" si="258"/>
        <v>949054.39358116174</v>
      </c>
      <c r="AE131" s="33">
        <f t="shared" ca="1" si="258"/>
        <v>1010267.1689922009</v>
      </c>
      <c r="AF131" s="33">
        <f t="shared" ca="1" si="258"/>
        <v>1074107.9368437023</v>
      </c>
      <c r="AG131" s="33">
        <f t="shared" ca="1" si="258"/>
        <v>1140685.4064617665</v>
      </c>
      <c r="AH131" s="33">
        <f t="shared" ca="1" si="258"/>
        <v>1210112.7073381043</v>
      </c>
      <c r="AI131" s="33">
        <f t="shared" ref="AI131:AJ131" ca="1" si="259">AI128</f>
        <v>1282507.5673725193</v>
      </c>
      <c r="AJ131" s="33">
        <f t="shared" ca="1" si="259"/>
        <v>26865292.995434914</v>
      </c>
      <c r="AK131" s="534"/>
      <c r="AL131" s="534"/>
      <c r="AM131" s="534"/>
      <c r="AN131" s="534"/>
      <c r="AO131" s="534"/>
      <c r="AP131" s="534"/>
      <c r="AQ131" s="534"/>
      <c r="AR131" s="534"/>
      <c r="AS131" s="534"/>
      <c r="AT131" s="534"/>
      <c r="AU131" s="534"/>
      <c r="AV131" s="534"/>
      <c r="AW131" s="534"/>
      <c r="AX131" s="534"/>
      <c r="AY131" s="534"/>
      <c r="AZ131" s="534"/>
      <c r="BA131" s="534"/>
      <c r="BB131" s="534"/>
      <c r="BC131" s="534"/>
      <c r="BD131" s="534"/>
      <c r="BE131" s="534"/>
      <c r="BF131" s="534"/>
      <c r="BG131" s="534"/>
      <c r="BH131" s="534"/>
      <c r="BI131" s="534"/>
      <c r="BJ131" s="534"/>
      <c r="BK131" s="534"/>
      <c r="BL131" s="534"/>
      <c r="BM131" s="534"/>
      <c r="BN131" s="534"/>
      <c r="BO131" s="534"/>
      <c r="BP131" s="534"/>
      <c r="BQ131" s="534"/>
      <c r="BR131" s="534"/>
      <c r="BS131" s="534"/>
      <c r="BT131" s="534"/>
      <c r="BU131" s="534"/>
      <c r="BV131" s="534"/>
      <c r="BW131" s="534"/>
      <c r="BX131" s="534"/>
      <c r="BY131" s="534"/>
      <c r="BZ131" s="534"/>
    </row>
    <row r="132" spans="2:78" ht="14" x14ac:dyDescent="0.15">
      <c r="C132" s="118" t="s">
        <v>252</v>
      </c>
      <c r="D132" s="115"/>
      <c r="E132" s="117">
        <f t="shared" ref="E132:AH132" si="260">SUM(E130:E131)</f>
        <v>-5050000</v>
      </c>
      <c r="F132" s="119">
        <f t="shared" ca="1" si="260"/>
        <v>254323.21000000005</v>
      </c>
      <c r="G132" s="119">
        <f t="shared" ca="1" si="260"/>
        <v>666614.46420000016</v>
      </c>
      <c r="H132" s="119">
        <f t="shared" ca="1" si="260"/>
        <v>1020487.5119755757</v>
      </c>
      <c r="I132" s="119">
        <f t="shared" ca="1" si="260"/>
        <v>5875615.1702618105</v>
      </c>
      <c r="J132" s="119">
        <f t="shared" ca="1" si="260"/>
        <v>846494.34014477057</v>
      </c>
      <c r="K132" s="119">
        <f t="shared" ca="1" si="260"/>
        <v>898480.47600318573</v>
      </c>
      <c r="L132" s="119">
        <f t="shared" ca="1" si="260"/>
        <v>952787.6290023214</v>
      </c>
      <c r="M132" s="119">
        <f t="shared" ca="1" si="260"/>
        <v>1009513.4712619338</v>
      </c>
      <c r="N132" s="119">
        <f t="shared" ca="1" si="260"/>
        <v>1068759.6784152524</v>
      </c>
      <c r="O132" s="119">
        <f t="shared" ca="1" si="260"/>
        <v>1130632.0916820914</v>
      </c>
      <c r="P132" s="119">
        <f t="shared" ca="1" si="260"/>
        <v>632608.88646353956</v>
      </c>
      <c r="Q132" s="119">
        <f t="shared" ca="1" si="260"/>
        <v>700068.74771986075</v>
      </c>
      <c r="R132" s="119">
        <f t="shared" ca="1" si="260"/>
        <v>770499.05240372114</v>
      </c>
      <c r="S132" s="119">
        <f t="shared" ca="1" si="260"/>
        <v>844024.05923176848</v>
      </c>
      <c r="T132" s="119">
        <f t="shared" ca="1" si="260"/>
        <v>920773.10608890734</v>
      </c>
      <c r="U132" s="119">
        <f t="shared" ca="1" si="260"/>
        <v>1000880.8153714201</v>
      </c>
      <c r="V132" s="119">
        <f t="shared" ca="1" si="260"/>
        <v>1084487.3075873433</v>
      </c>
      <c r="W132" s="119">
        <f t="shared" ca="1" si="260"/>
        <v>1171738.4235452567</v>
      </c>
      <c r="X132" s="119">
        <f t="shared" ca="1" si="260"/>
        <v>1262785.9554759054</v>
      </c>
      <c r="Y132" s="119">
        <f t="shared" ca="1" si="260"/>
        <v>1357787.8874448892</v>
      </c>
      <c r="Z132" s="119">
        <f t="shared" ca="1" si="260"/>
        <v>1456908.6454289621</v>
      </c>
      <c r="AA132" s="119">
        <f t="shared" ca="1" si="260"/>
        <v>1560319.3574434547</v>
      </c>
      <c r="AB132" s="119">
        <f t="shared" ca="1" si="260"/>
        <v>1668198.1241238043</v>
      </c>
      <c r="AC132" s="119">
        <f t="shared" ca="1" si="260"/>
        <v>1780730.3001803514</v>
      </c>
      <c r="AD132" s="119">
        <f t="shared" ca="1" si="260"/>
        <v>1898108.7871623235</v>
      </c>
      <c r="AE132" s="119">
        <f t="shared" ca="1" si="260"/>
        <v>2020534.3379844017</v>
      </c>
      <c r="AF132" s="119">
        <f t="shared" ca="1" si="260"/>
        <v>2148215.8736874047</v>
      </c>
      <c r="AG132" s="119">
        <f t="shared" ca="1" si="260"/>
        <v>2281370.8129235329</v>
      </c>
      <c r="AH132" s="119">
        <f t="shared" ca="1" si="260"/>
        <v>2420225.4146762085</v>
      </c>
      <c r="AI132" s="119">
        <f t="shared" ref="AI132:AJ132" ca="1" si="261">SUM(AI130:AI131)</f>
        <v>2565015.1347450386</v>
      </c>
      <c r="AJ132" s="119">
        <f t="shared" ca="1" si="261"/>
        <v>53730585.990869828</v>
      </c>
      <c r="AK132" s="504"/>
      <c r="AL132" s="504"/>
      <c r="AM132" s="504"/>
      <c r="AN132" s="504"/>
      <c r="AO132" s="504"/>
      <c r="AP132" s="504"/>
      <c r="AQ132" s="504"/>
      <c r="AR132" s="504"/>
      <c r="AS132" s="504"/>
      <c r="AT132" s="504"/>
      <c r="AU132" s="504"/>
      <c r="AV132" s="504"/>
      <c r="AW132" s="504"/>
      <c r="AX132" s="504"/>
      <c r="AY132" s="504"/>
      <c r="AZ132" s="504"/>
      <c r="BA132" s="504"/>
      <c r="BB132" s="504"/>
      <c r="BC132" s="504"/>
      <c r="BD132" s="504"/>
      <c r="BE132" s="504"/>
      <c r="BF132" s="504"/>
      <c r="BG132" s="504"/>
      <c r="BH132" s="504"/>
      <c r="BI132" s="504"/>
      <c r="BJ132" s="504"/>
      <c r="BK132" s="504"/>
      <c r="BL132" s="504"/>
      <c r="BM132" s="504"/>
      <c r="BN132" s="504"/>
      <c r="BO132" s="504"/>
      <c r="BP132" s="504"/>
      <c r="BQ132" s="504"/>
      <c r="BR132" s="504"/>
      <c r="BS132" s="504"/>
      <c r="BT132" s="504"/>
      <c r="BU132" s="504"/>
      <c r="BV132" s="504"/>
      <c r="BW132" s="504"/>
      <c r="BX132" s="504"/>
      <c r="BY132" s="504"/>
      <c r="BZ132" s="504"/>
    </row>
    <row r="133" spans="2:78" s="290" customFormat="1" ht="12" x14ac:dyDescent="0.15">
      <c r="B133" s="458"/>
      <c r="C133" s="278"/>
      <c r="D133" s="287"/>
      <c r="E133" s="291" t="s">
        <v>253</v>
      </c>
      <c r="F133" s="288">
        <f t="shared" ref="F133:AH133" ca="1" si="262">F130/-$E$130</f>
        <v>5.0361031683168328E-2</v>
      </c>
      <c r="G133" s="288">
        <f t="shared" ca="1" si="262"/>
        <v>0.13200286419801982</v>
      </c>
      <c r="H133" s="288">
        <f t="shared" ca="1" si="262"/>
        <v>0.20207673504466844</v>
      </c>
      <c r="I133" s="288">
        <f t="shared" ca="1" si="262"/>
        <v>0.98149074182482232</v>
      </c>
      <c r="J133" s="288">
        <f t="shared" ca="1" si="262"/>
        <v>8.3811320806412931E-2</v>
      </c>
      <c r="K133" s="288">
        <f t="shared" ca="1" si="262"/>
        <v>8.8958462970612454E-2</v>
      </c>
      <c r="L133" s="288">
        <f t="shared" ca="1" si="262"/>
        <v>9.4335408812111027E-2</v>
      </c>
      <c r="M133" s="288">
        <f t="shared" ca="1" si="262"/>
        <v>9.9951828837815226E-2</v>
      </c>
      <c r="N133" s="288">
        <f t="shared" ca="1" si="262"/>
        <v>0.1058177899421042</v>
      </c>
      <c r="O133" s="288">
        <f t="shared" ca="1" si="262"/>
        <v>0.11194377145367242</v>
      </c>
      <c r="P133" s="288">
        <f t="shared" ca="1" si="262"/>
        <v>6.2634543214211844E-2</v>
      </c>
      <c r="Q133" s="288">
        <f t="shared" ca="1" si="262"/>
        <v>6.9313737398006017E-2</v>
      </c>
      <c r="R133" s="288">
        <f t="shared" ca="1" si="262"/>
        <v>7.6287034891457536E-2</v>
      </c>
      <c r="S133" s="288">
        <f t="shared" ca="1" si="262"/>
        <v>8.3566738537798863E-2</v>
      </c>
      <c r="T133" s="288">
        <f t="shared" ca="1" si="262"/>
        <v>9.1165654068208646E-2</v>
      </c>
      <c r="U133" s="288">
        <f t="shared" ca="1" si="262"/>
        <v>9.909711043281387E-2</v>
      </c>
      <c r="V133" s="288">
        <f t="shared" ca="1" si="262"/>
        <v>0.1073749809492419</v>
      </c>
      <c r="W133" s="288">
        <f t="shared" ca="1" si="262"/>
        <v>0.11601370530151056</v>
      </c>
      <c r="X133" s="288">
        <f t="shared" ca="1" si="262"/>
        <v>0.12502831242335696</v>
      </c>
      <c r="Y133" s="288">
        <f t="shared" ca="1" si="262"/>
        <v>0.13443444430147417</v>
      </c>
      <c r="Z133" s="288">
        <f t="shared" ca="1" si="262"/>
        <v>0.1442483807355408</v>
      </c>
      <c r="AA133" s="288">
        <f t="shared" ca="1" si="262"/>
        <v>0.15448706509341134</v>
      </c>
      <c r="AB133" s="288">
        <f t="shared" ca="1" si="262"/>
        <v>0.16516813110136677</v>
      </c>
      <c r="AC133" s="288">
        <f t="shared" ca="1" si="262"/>
        <v>0.17630993071092588</v>
      </c>
      <c r="AD133" s="288">
        <f t="shared" ca="1" si="262"/>
        <v>0.18793156308537856</v>
      </c>
      <c r="AE133" s="288">
        <f t="shared" ca="1" si="262"/>
        <v>0.20005290475093088</v>
      </c>
      <c r="AF133" s="288">
        <f t="shared" ca="1" si="262"/>
        <v>0.21269464095914897</v>
      </c>
      <c r="AG133" s="288">
        <f t="shared" ca="1" si="262"/>
        <v>0.22587829830926068</v>
      </c>
      <c r="AH133" s="288">
        <f t="shared" ca="1" si="262"/>
        <v>0.23962627868081274</v>
      </c>
      <c r="AI133" s="288">
        <f t="shared" ref="AI133:AJ133" ca="1" si="263">AI130/-$E$130</f>
        <v>0.25396189452921175</v>
      </c>
      <c r="AJ133" s="288">
        <f t="shared" ca="1" si="263"/>
        <v>5.3198599990960229</v>
      </c>
      <c r="AK133" s="289"/>
      <c r="AL133" s="289"/>
      <c r="AM133" s="289"/>
      <c r="AN133" s="289"/>
      <c r="AO133" s="289"/>
      <c r="AP133" s="289"/>
      <c r="AQ133" s="289"/>
      <c r="AR133" s="289"/>
      <c r="AS133" s="289"/>
      <c r="AT133" s="289"/>
      <c r="AU133" s="289"/>
      <c r="AV133" s="289"/>
      <c r="AW133" s="289"/>
      <c r="AX133" s="289"/>
      <c r="AY133" s="289"/>
      <c r="AZ133" s="289"/>
      <c r="BA133" s="289"/>
      <c r="BB133" s="289"/>
      <c r="BC133" s="289"/>
      <c r="BD133" s="289"/>
      <c r="BE133" s="289"/>
      <c r="BF133" s="289"/>
      <c r="BG133" s="289"/>
      <c r="BH133" s="289"/>
      <c r="BI133" s="289"/>
      <c r="BJ133" s="289"/>
      <c r="BK133" s="289"/>
      <c r="BL133" s="289"/>
      <c r="BM133" s="289"/>
      <c r="BN133" s="289"/>
      <c r="BO133" s="289"/>
      <c r="BP133" s="289"/>
      <c r="BQ133" s="289"/>
      <c r="BR133" s="289"/>
      <c r="BS133" s="289"/>
      <c r="BT133" s="289"/>
      <c r="BU133" s="289"/>
      <c r="BV133" s="289"/>
      <c r="BW133" s="289"/>
      <c r="BX133" s="289"/>
      <c r="BY133" s="289"/>
      <c r="BZ133" s="289"/>
    </row>
    <row r="134" spans="2:78" x14ac:dyDescent="0.15">
      <c r="C134" s="11" t="s">
        <v>135</v>
      </c>
      <c r="D134" s="37">
        <f ca="1">IRR(E130:AJ130)</f>
        <v>0.19393123908022236</v>
      </c>
      <c r="E134" s="505"/>
      <c r="F134" s="534"/>
      <c r="G134" s="272" t="str">
        <f ca="1">"Cumm.= "&amp;TEXT((SUM($F133:G133)),"0.0%")</f>
        <v>Cumm.= 18.2%</v>
      </c>
      <c r="H134" s="272" t="str">
        <f ca="1">"Cumm.= "&amp;TEXT((SUM($F133:H133)),"0.0%")</f>
        <v>Cumm.= 38.4%</v>
      </c>
      <c r="I134" s="272" t="str">
        <f ca="1">"Cumm.= "&amp;TEXT((SUM($F133:I133)),"0.0%")</f>
        <v>Cumm.= 136.6%</v>
      </c>
      <c r="J134" s="272" t="str">
        <f ca="1">"Cumm.= "&amp;TEXT((SUM($F133:J133)),"0.0%")</f>
        <v>Cumm.= 145.0%</v>
      </c>
      <c r="K134" s="272" t="str">
        <f ca="1">"Cumm.= "&amp;TEXT((SUM($F133:K133)),"0.0%")</f>
        <v>Cumm.= 153.9%</v>
      </c>
      <c r="L134" s="272" t="str">
        <f ca="1">"Cumm.= "&amp;TEXT((SUM($F133:L133)),"0.0%")</f>
        <v>Cumm.= 163.3%</v>
      </c>
      <c r="M134" s="272" t="str">
        <f ca="1">"Cumm.= "&amp;TEXT((SUM($F133:M133)),"0.0%")</f>
        <v>Cumm.= 173.3%</v>
      </c>
      <c r="N134" s="272" t="str">
        <f ca="1">"Cumm.= "&amp;TEXT((SUM($F133:N133)),"0.0%")</f>
        <v>Cumm.= 183.9%</v>
      </c>
      <c r="O134" s="272" t="str">
        <f ca="1">"Cumm.= "&amp;TEXT((SUM($F133:O133)),"0.0%")</f>
        <v>Cumm.= 195.1%</v>
      </c>
      <c r="P134" s="272" t="str">
        <f ca="1">"Cumm.= "&amp;TEXT((SUM($F133:P133)),"0.0%")</f>
        <v>Cumm.= 201.3%</v>
      </c>
      <c r="Q134" s="272" t="str">
        <f ca="1">"Cumm.= "&amp;TEXT((SUM($F133:Q133)),"0.0%")</f>
        <v>Cumm.= 208.3%</v>
      </c>
      <c r="R134" s="272" t="str">
        <f ca="1">"Cumm.= "&amp;TEXT((SUM($F133:R133)),"0.0%")</f>
        <v>Cumm.= 215.9%</v>
      </c>
      <c r="S134" s="272" t="str">
        <f ca="1">"Cumm.= "&amp;TEXT((SUM($F133:S133)),"0.0%")</f>
        <v>Cumm.= 224.3%</v>
      </c>
      <c r="T134" s="272" t="str">
        <f ca="1">"Cumm.= "&amp;TEXT((SUM($F133:T133)),"0.0%")</f>
        <v>Cumm.= 233.4%</v>
      </c>
      <c r="U134" s="272" t="str">
        <f ca="1">"Cumm.= "&amp;TEXT((SUM($F133:U133)),"0.0%")</f>
        <v>Cumm.= 243.3%</v>
      </c>
      <c r="V134" s="272" t="str">
        <f ca="1">"Cumm.= "&amp;TEXT((SUM($F133:V133)),"0.0%")</f>
        <v>Cumm.= 254.0%</v>
      </c>
      <c r="W134" s="272" t="str">
        <f ca="1">"Cumm.= "&amp;TEXT((SUM($F133:W133)),"0.0%")</f>
        <v>Cumm.= 265.6%</v>
      </c>
      <c r="X134" s="272" t="str">
        <f ca="1">"Cumm.= "&amp;TEXT((SUM($F133:X133)),"0.0%")</f>
        <v>Cumm.= 278.1%</v>
      </c>
      <c r="Y134" s="272" t="str">
        <f ca="1">"Cumm.= "&amp;TEXT((SUM($F133:Y133)),"0.0%")</f>
        <v>Cumm.= 291.6%</v>
      </c>
      <c r="Z134" s="272" t="str">
        <f ca="1">"Cumm.= "&amp;TEXT((SUM($F133:Z133)),"0.0%")</f>
        <v>Cumm.= 306.0%</v>
      </c>
      <c r="AA134" s="272" t="str">
        <f ca="1">"Cumm.= "&amp;TEXT((SUM($F133:AA133)),"0.0%")</f>
        <v>Cumm.= 321.4%</v>
      </c>
      <c r="AB134" s="272" t="str">
        <f ca="1">"Cumm.= "&amp;TEXT((SUM($F133:AB133)),"0.0%")</f>
        <v>Cumm.= 338.0%</v>
      </c>
      <c r="AC134" s="272" t="str">
        <f ca="1">"Cumm.= "&amp;TEXT((SUM($F133:AC133)),"0.0%")</f>
        <v>Cumm.= 355.6%</v>
      </c>
      <c r="AD134" s="272" t="str">
        <f ca="1">"Cumm.= "&amp;TEXT((SUM($F133:AD133)),"0.0%")</f>
        <v>Cumm.= 374.4%</v>
      </c>
      <c r="AE134" s="272" t="str">
        <f ca="1">"Cumm.= "&amp;TEXT((SUM($F133:AE133)),"0.0%")</f>
        <v>Cumm.= 394.4%</v>
      </c>
      <c r="AF134" s="272" t="str">
        <f ca="1">"Cumm.= "&amp;TEXT((SUM($F133:AF133)),"0.0%")</f>
        <v>Cumm.= 415.7%</v>
      </c>
      <c r="AG134" s="272" t="str">
        <f ca="1">"Cumm.= "&amp;TEXT((SUM($F133:AG133)),"0.0%")</f>
        <v>Cumm.= 438.2%</v>
      </c>
      <c r="AH134" s="272" t="str">
        <f ca="1">"Cumm.= "&amp;TEXT((SUM($F133:AH133)),"0.0%")</f>
        <v>Cumm.= 462.2%</v>
      </c>
      <c r="AI134" s="272" t="str">
        <f ca="1">"Cumm.= "&amp;TEXT((SUM($F133:AI133)),"0.0%")</f>
        <v>Cumm.= 487.6%</v>
      </c>
      <c r="AJ134" s="272" t="str">
        <f ca="1">"Cumm.= "&amp;TEXT((SUM($F133:AJ133)),"0.0%")</f>
        <v>Cumm.= 1019.6%</v>
      </c>
      <c r="AK134" s="534"/>
      <c r="AL134" s="534"/>
      <c r="AM134" s="534"/>
      <c r="AN134" s="534"/>
      <c r="AO134" s="534"/>
      <c r="AP134" s="534"/>
      <c r="AQ134" s="534"/>
      <c r="AR134" s="534"/>
      <c r="AS134" s="534"/>
      <c r="AT134" s="534"/>
      <c r="AU134" s="534"/>
      <c r="AV134" s="534"/>
      <c r="AW134" s="534"/>
      <c r="AX134" s="534"/>
      <c r="AY134" s="534"/>
      <c r="AZ134" s="534"/>
      <c r="BA134" s="534"/>
      <c r="BB134" s="534"/>
      <c r="BC134" s="534"/>
      <c r="BD134" s="534"/>
      <c r="BE134" s="534"/>
      <c r="BF134" s="534"/>
      <c r="BG134" s="534"/>
      <c r="BH134" s="534"/>
      <c r="BI134" s="534"/>
      <c r="BJ134" s="534"/>
      <c r="BK134" s="534"/>
      <c r="BL134" s="534"/>
      <c r="BM134" s="534"/>
      <c r="BN134" s="534"/>
      <c r="BO134" s="534"/>
      <c r="BP134" s="534"/>
      <c r="BQ134" s="534"/>
      <c r="BR134" s="534"/>
      <c r="BS134" s="534"/>
      <c r="BT134" s="534"/>
      <c r="BU134" s="534"/>
      <c r="BV134" s="534"/>
      <c r="BW134" s="534"/>
      <c r="BX134" s="534"/>
      <c r="BY134" s="534"/>
      <c r="BZ134" s="534"/>
    </row>
    <row r="135" spans="2:78" x14ac:dyDescent="0.15">
      <c r="C135" s="11"/>
      <c r="D135" s="28"/>
      <c r="E135" s="533"/>
      <c r="F135" s="534"/>
      <c r="G135" s="534"/>
      <c r="H135" s="534"/>
      <c r="I135" s="534"/>
      <c r="J135" s="534"/>
      <c r="K135" s="534"/>
      <c r="L135" s="534"/>
      <c r="M135" s="534"/>
      <c r="N135" s="534"/>
      <c r="O135" s="534"/>
      <c r="P135" s="504"/>
      <c r="Q135" s="534"/>
      <c r="R135" s="534"/>
      <c r="S135" s="534"/>
      <c r="T135" s="534"/>
      <c r="U135" s="534"/>
      <c r="V135" s="534"/>
      <c r="W135" s="534"/>
      <c r="X135" s="534"/>
      <c r="Y135" s="534"/>
      <c r="Z135" s="534"/>
      <c r="AA135" s="534"/>
      <c r="AB135" s="534"/>
      <c r="AC135" s="534"/>
      <c r="AD135" s="534"/>
      <c r="AE135" s="534"/>
      <c r="AF135" s="534"/>
      <c r="AG135" s="534"/>
      <c r="AH135" s="534"/>
      <c r="AI135" s="534"/>
      <c r="AJ135" s="534"/>
      <c r="AK135" s="534"/>
      <c r="AL135" s="534"/>
      <c r="AM135" s="534"/>
      <c r="AN135" s="534"/>
      <c r="AO135" s="534"/>
      <c r="AP135" s="534"/>
      <c r="AQ135" s="534"/>
      <c r="AR135" s="534"/>
      <c r="AS135" s="534"/>
      <c r="AT135" s="534"/>
      <c r="AU135" s="534"/>
      <c r="AV135" s="534"/>
      <c r="AW135" s="534"/>
      <c r="AX135" s="534"/>
      <c r="AY135" s="534"/>
      <c r="AZ135" s="534"/>
      <c r="BA135" s="534"/>
      <c r="BB135" s="534"/>
      <c r="BC135" s="534"/>
      <c r="BD135" s="534"/>
      <c r="BE135" s="534"/>
      <c r="BF135" s="534"/>
      <c r="BG135" s="534"/>
      <c r="BH135" s="534"/>
      <c r="BI135" s="534"/>
      <c r="BJ135" s="534"/>
      <c r="BK135" s="534"/>
      <c r="BL135" s="534"/>
      <c r="BM135" s="534"/>
      <c r="BN135" s="534"/>
      <c r="BO135" s="534"/>
      <c r="BP135" s="534"/>
      <c r="BQ135" s="534"/>
      <c r="BR135" s="534"/>
      <c r="BS135" s="534"/>
      <c r="BT135" s="534"/>
      <c r="BU135" s="534"/>
      <c r="BV135" s="534"/>
      <c r="BW135" s="534"/>
      <c r="BX135" s="534"/>
      <c r="BY135" s="534"/>
      <c r="BZ135" s="534"/>
    </row>
    <row r="136" spans="2:78" x14ac:dyDescent="0.15">
      <c r="C136" s="504" t="s">
        <v>254</v>
      </c>
      <c r="D136" s="12">
        <f ca="1">SUM(F130:J130)</f>
        <v>7321200.6024633134</v>
      </c>
      <c r="E136" s="533"/>
      <c r="F136" s="534"/>
      <c r="G136" s="534"/>
      <c r="H136" s="534"/>
      <c r="I136" s="534"/>
      <c r="J136" s="534"/>
      <c r="K136" s="534"/>
      <c r="L136" s="534"/>
      <c r="M136" s="534"/>
      <c r="N136" s="534"/>
      <c r="O136" s="534"/>
      <c r="P136" s="534"/>
      <c r="Q136" s="534"/>
      <c r="R136" s="534"/>
      <c r="S136" s="534"/>
      <c r="T136" s="534"/>
      <c r="U136" s="534"/>
      <c r="V136" s="534"/>
      <c r="W136" s="534"/>
      <c r="X136" s="534"/>
      <c r="Y136" s="534"/>
      <c r="Z136" s="534"/>
      <c r="AA136" s="534"/>
      <c r="AB136" s="534"/>
      <c r="AC136" s="534"/>
      <c r="AD136" s="534"/>
      <c r="AE136" s="534"/>
      <c r="AF136" s="534"/>
      <c r="AG136" s="534"/>
      <c r="AH136" s="534"/>
      <c r="AI136" s="534"/>
      <c r="AJ136" s="534"/>
      <c r="AK136" s="534"/>
      <c r="AL136" s="534"/>
      <c r="AM136" s="534"/>
      <c r="AN136" s="534"/>
      <c r="AO136" s="534"/>
      <c r="AP136" s="534"/>
      <c r="AQ136" s="534"/>
      <c r="AR136" s="534"/>
      <c r="AS136" s="534"/>
      <c r="AT136" s="534"/>
      <c r="AU136" s="534"/>
      <c r="AV136" s="534"/>
      <c r="AW136" s="534"/>
      <c r="AX136" s="534"/>
      <c r="AY136" s="534"/>
      <c r="AZ136" s="534"/>
      <c r="BA136" s="534"/>
      <c r="BB136" s="534"/>
      <c r="BC136" s="534"/>
      <c r="BD136" s="534"/>
      <c r="BE136" s="534"/>
      <c r="BF136" s="534"/>
      <c r="BG136" s="534"/>
      <c r="BH136" s="534"/>
      <c r="BI136" s="534"/>
      <c r="BJ136" s="534"/>
      <c r="BK136" s="534"/>
      <c r="BL136" s="534"/>
      <c r="BM136" s="534"/>
      <c r="BN136" s="534"/>
      <c r="BO136" s="534"/>
      <c r="BP136" s="534"/>
      <c r="BQ136" s="534"/>
      <c r="BR136" s="534"/>
      <c r="BS136" s="534"/>
      <c r="BT136" s="534"/>
      <c r="BU136" s="534"/>
      <c r="BV136" s="534"/>
      <c r="BW136" s="534"/>
      <c r="BX136" s="534"/>
      <c r="BY136" s="534"/>
      <c r="BZ136" s="534"/>
    </row>
    <row r="137" spans="2:78" x14ac:dyDescent="0.15">
      <c r="C137" s="504" t="s">
        <v>255</v>
      </c>
      <c r="D137" s="12">
        <f ca="1">SUM(F131:J131)</f>
        <v>1342334.0941188433</v>
      </c>
      <c r="E137" s="533"/>
      <c r="F137" s="534"/>
      <c r="G137" s="534"/>
      <c r="H137" s="534"/>
      <c r="I137" s="534"/>
      <c r="J137" s="534"/>
      <c r="K137" s="534"/>
      <c r="L137" s="534"/>
      <c r="M137" s="534"/>
      <c r="N137" s="534"/>
      <c r="O137" s="534"/>
      <c r="P137" s="534"/>
      <c r="Q137" s="534"/>
      <c r="R137" s="534"/>
      <c r="S137" s="534"/>
      <c r="T137" s="534"/>
      <c r="U137" s="534"/>
      <c r="V137" s="534"/>
      <c r="W137" s="534"/>
      <c r="X137" s="534"/>
      <c r="Y137" s="534"/>
      <c r="Z137" s="534"/>
      <c r="AA137" s="534"/>
      <c r="AB137" s="534"/>
      <c r="AC137" s="534"/>
      <c r="AD137" s="534"/>
      <c r="AE137" s="534"/>
      <c r="AF137" s="534"/>
      <c r="AG137" s="534"/>
      <c r="AH137" s="534"/>
      <c r="AI137" s="534"/>
      <c r="AJ137" s="534"/>
      <c r="AK137" s="534"/>
      <c r="AL137" s="534"/>
      <c r="AM137" s="534"/>
      <c r="AN137" s="534"/>
      <c r="AO137" s="534"/>
      <c r="AP137" s="534"/>
      <c r="AQ137" s="534"/>
      <c r="AR137" s="534"/>
      <c r="AS137" s="534"/>
      <c r="AT137" s="534"/>
      <c r="AU137" s="534"/>
      <c r="AV137" s="534"/>
      <c r="AW137" s="534"/>
      <c r="AX137" s="534"/>
      <c r="AY137" s="534"/>
      <c r="AZ137" s="534"/>
      <c r="BA137" s="534"/>
      <c r="BB137" s="534"/>
      <c r="BC137" s="534"/>
      <c r="BD137" s="534"/>
      <c r="BE137" s="534"/>
      <c r="BF137" s="534"/>
      <c r="BG137" s="534"/>
      <c r="BH137" s="534"/>
      <c r="BI137" s="534"/>
      <c r="BJ137" s="534"/>
      <c r="BK137" s="534"/>
      <c r="BL137" s="534"/>
      <c r="BM137" s="534"/>
      <c r="BN137" s="534"/>
      <c r="BO137" s="534"/>
      <c r="BP137" s="534"/>
      <c r="BQ137" s="534"/>
      <c r="BR137" s="534"/>
      <c r="BS137" s="534"/>
      <c r="BT137" s="534"/>
      <c r="BU137" s="534"/>
      <c r="BV137" s="534"/>
      <c r="BW137" s="534"/>
      <c r="BX137" s="534"/>
      <c r="BY137" s="534"/>
      <c r="BZ137" s="534"/>
    </row>
    <row r="138" spans="2:78" x14ac:dyDescent="0.15">
      <c r="C138" s="14"/>
      <c r="D138" s="28"/>
      <c r="E138" s="504"/>
      <c r="F138" s="534"/>
      <c r="G138" s="534"/>
      <c r="H138" s="534"/>
      <c r="I138" s="534"/>
      <c r="J138" s="534"/>
      <c r="K138" s="534"/>
      <c r="L138" s="534"/>
      <c r="M138" s="534"/>
      <c r="N138" s="534"/>
      <c r="O138" s="534"/>
      <c r="P138" s="534"/>
      <c r="Q138" s="534"/>
      <c r="R138" s="534"/>
      <c r="S138" s="534"/>
      <c r="T138" s="534"/>
      <c r="U138" s="534"/>
      <c r="V138" s="534"/>
      <c r="W138" s="534"/>
      <c r="X138" s="534"/>
      <c r="Y138" s="534"/>
      <c r="Z138" s="534"/>
      <c r="AA138" s="534"/>
      <c r="AB138" s="534"/>
      <c r="AC138" s="534"/>
      <c r="AD138" s="534"/>
      <c r="AE138" s="534"/>
      <c r="AF138" s="534"/>
      <c r="AG138" s="534"/>
      <c r="AH138" s="534"/>
      <c r="AI138" s="534"/>
      <c r="AJ138" s="534"/>
      <c r="AK138" s="534"/>
      <c r="AL138" s="534"/>
      <c r="AM138" s="534"/>
      <c r="AN138" s="534"/>
      <c r="AO138" s="534"/>
      <c r="AP138" s="534"/>
      <c r="AQ138" s="534"/>
      <c r="AR138" s="534"/>
      <c r="AS138" s="534"/>
      <c r="AT138" s="534"/>
      <c r="AU138" s="534"/>
      <c r="AV138" s="534"/>
      <c r="AW138" s="534"/>
      <c r="AX138" s="534"/>
      <c r="AY138" s="534"/>
      <c r="AZ138" s="534"/>
      <c r="BA138" s="534"/>
      <c r="BB138" s="534"/>
      <c r="BC138" s="534"/>
      <c r="BD138" s="534"/>
      <c r="BE138" s="534"/>
      <c r="BF138" s="534"/>
      <c r="BG138" s="534"/>
      <c r="BH138" s="534"/>
      <c r="BI138" s="534"/>
      <c r="BJ138" s="534"/>
      <c r="BK138" s="534"/>
      <c r="BL138" s="534"/>
      <c r="BM138" s="534"/>
      <c r="BN138" s="534"/>
      <c r="BO138" s="534"/>
      <c r="BP138" s="534"/>
      <c r="BQ138" s="534"/>
      <c r="BR138" s="534"/>
      <c r="BS138" s="534"/>
      <c r="BT138" s="534"/>
      <c r="BU138" s="534"/>
      <c r="BV138" s="534"/>
      <c r="BW138" s="534"/>
      <c r="BX138" s="534"/>
      <c r="BY138" s="534"/>
      <c r="BZ138" s="534"/>
    </row>
    <row r="139" spans="2:78" x14ac:dyDescent="0.15">
      <c r="C139" s="11" t="s">
        <v>256</v>
      </c>
      <c r="D139" s="28"/>
      <c r="E139" s="504"/>
      <c r="F139" s="534"/>
      <c r="G139" s="534"/>
      <c r="H139" s="534"/>
      <c r="I139" s="534"/>
      <c r="J139" s="534"/>
      <c r="K139" s="534"/>
      <c r="L139" s="534"/>
      <c r="M139" s="534"/>
      <c r="N139" s="534"/>
      <c r="O139" s="534"/>
      <c r="P139" s="534"/>
      <c r="Q139" s="534"/>
      <c r="R139" s="534"/>
      <c r="S139" s="534"/>
      <c r="T139" s="534"/>
      <c r="U139" s="534"/>
      <c r="V139" s="534"/>
      <c r="W139" s="534"/>
      <c r="X139" s="534"/>
      <c r="Y139" s="534"/>
      <c r="Z139" s="534"/>
      <c r="AA139" s="534"/>
      <c r="AB139" s="534"/>
      <c r="AC139" s="534"/>
      <c r="AD139" s="534"/>
      <c r="AE139" s="534"/>
      <c r="AF139" s="534"/>
      <c r="AG139" s="534"/>
      <c r="AH139" s="534"/>
      <c r="AI139" s="534"/>
      <c r="AJ139" s="534"/>
      <c r="AK139" s="534"/>
      <c r="AL139" s="534"/>
      <c r="AM139" s="534"/>
      <c r="AN139" s="534"/>
      <c r="AO139" s="534"/>
      <c r="AP139" s="534"/>
      <c r="AQ139" s="534"/>
      <c r="AR139" s="534"/>
      <c r="AS139" s="534"/>
      <c r="AT139" s="534"/>
      <c r="AU139" s="534"/>
      <c r="AV139" s="534"/>
      <c r="AW139" s="534"/>
      <c r="AX139" s="534"/>
      <c r="AY139" s="534"/>
      <c r="AZ139" s="534"/>
      <c r="BA139" s="534"/>
      <c r="BB139" s="534"/>
      <c r="BC139" s="534"/>
      <c r="BD139" s="534"/>
      <c r="BE139" s="534"/>
      <c r="BF139" s="534"/>
      <c r="BG139" s="534"/>
      <c r="BH139" s="534"/>
      <c r="BI139" s="534"/>
      <c r="BJ139" s="534"/>
      <c r="BK139" s="534"/>
      <c r="BL139" s="534"/>
      <c r="BM139" s="534"/>
      <c r="BN139" s="534"/>
      <c r="BO139" s="534"/>
      <c r="BP139" s="534"/>
      <c r="BQ139" s="534"/>
      <c r="BR139" s="534"/>
      <c r="BS139" s="534"/>
      <c r="BT139" s="534"/>
      <c r="BU139" s="534"/>
      <c r="BV139" s="534"/>
      <c r="BW139" s="534"/>
      <c r="BX139" s="534"/>
      <c r="BY139" s="534"/>
      <c r="BZ139" s="534"/>
    </row>
    <row r="140" spans="2:78" x14ac:dyDescent="0.15">
      <c r="C140" s="507" t="s">
        <v>257</v>
      </c>
      <c r="E140" s="543"/>
      <c r="F140" s="12">
        <f>(IF(N5="Yes",-(MIN(-E130,Notes!D83)),-Notes!D83))-(ResAssets/27.5)-(CommAssets/39)</f>
        <v>-4185727.2727272729</v>
      </c>
      <c r="G140" s="12">
        <f t="shared" ref="G140:AF140" si="264">(-ResAssets/27.5)+(-CommAssets/39)</f>
        <v>-110727.27272727272</v>
      </c>
      <c r="H140" s="12">
        <f t="shared" si="264"/>
        <v>-110727.27272727272</v>
      </c>
      <c r="I140" s="12">
        <f t="shared" si="264"/>
        <v>-110727.27272727272</v>
      </c>
      <c r="J140" s="12">
        <f t="shared" si="264"/>
        <v>-110727.27272727272</v>
      </c>
      <c r="K140" s="12">
        <f t="shared" si="264"/>
        <v>-110727.27272727272</v>
      </c>
      <c r="L140" s="12">
        <f t="shared" si="264"/>
        <v>-110727.27272727272</v>
      </c>
      <c r="M140" s="12">
        <f t="shared" si="264"/>
        <v>-110727.27272727272</v>
      </c>
      <c r="N140" s="12">
        <f t="shared" si="264"/>
        <v>-110727.27272727272</v>
      </c>
      <c r="O140" s="12">
        <f t="shared" si="264"/>
        <v>-110727.27272727272</v>
      </c>
      <c r="P140" s="12">
        <f t="shared" si="264"/>
        <v>-110727.27272727272</v>
      </c>
      <c r="Q140" s="12">
        <f t="shared" si="264"/>
        <v>-110727.27272727272</v>
      </c>
      <c r="R140" s="12">
        <f t="shared" si="264"/>
        <v>-110727.27272727272</v>
      </c>
      <c r="S140" s="12">
        <f t="shared" si="264"/>
        <v>-110727.27272727272</v>
      </c>
      <c r="T140" s="12">
        <f t="shared" si="264"/>
        <v>-110727.27272727272</v>
      </c>
      <c r="U140" s="12">
        <f t="shared" si="264"/>
        <v>-110727.27272727272</v>
      </c>
      <c r="V140" s="12">
        <f t="shared" si="264"/>
        <v>-110727.27272727272</v>
      </c>
      <c r="W140" s="12">
        <f t="shared" si="264"/>
        <v>-110727.27272727272</v>
      </c>
      <c r="X140" s="12">
        <f t="shared" si="264"/>
        <v>-110727.27272727272</v>
      </c>
      <c r="Y140" s="12">
        <f t="shared" si="264"/>
        <v>-110727.27272727272</v>
      </c>
      <c r="Z140" s="12">
        <f t="shared" si="264"/>
        <v>-110727.27272727272</v>
      </c>
      <c r="AA140" s="12">
        <f t="shared" si="264"/>
        <v>-110727.27272727272</v>
      </c>
      <c r="AB140" s="12">
        <f t="shared" si="264"/>
        <v>-110727.27272727272</v>
      </c>
      <c r="AC140" s="12">
        <f t="shared" si="264"/>
        <v>-110727.27272727272</v>
      </c>
      <c r="AD140" s="12">
        <f t="shared" si="264"/>
        <v>-110727.27272727272</v>
      </c>
      <c r="AE140" s="12">
        <f t="shared" si="264"/>
        <v>-110727.27272727272</v>
      </c>
      <c r="AF140" s="12">
        <f t="shared" si="264"/>
        <v>-110727.27272727272</v>
      </c>
      <c r="AG140" s="12">
        <f>((-ResAssets/(27.5))/2)+(-CommAssets/39)</f>
        <v>-55363.63636363636</v>
      </c>
      <c r="AH140" s="12">
        <f>-CommAssets/39</f>
        <v>0</v>
      </c>
      <c r="AI140" s="12">
        <f>-CommAssets/39</f>
        <v>0</v>
      </c>
      <c r="AJ140" s="12">
        <f>-CommAssets/39</f>
        <v>0</v>
      </c>
      <c r="AK140" s="504"/>
      <c r="AL140" s="504"/>
      <c r="AM140" s="504"/>
      <c r="AN140" s="504"/>
      <c r="AO140" s="504"/>
      <c r="AP140" s="504"/>
      <c r="AQ140" s="504"/>
      <c r="AR140" s="504"/>
      <c r="AS140" s="504"/>
      <c r="AT140" s="504"/>
      <c r="AU140" s="504"/>
      <c r="AV140" s="504"/>
      <c r="AW140" s="504"/>
      <c r="AX140" s="504"/>
      <c r="AY140" s="504"/>
      <c r="AZ140" s="504"/>
      <c r="BA140" s="504"/>
      <c r="BB140" s="504"/>
      <c r="BC140" s="504"/>
      <c r="BD140" s="504"/>
      <c r="BE140" s="504"/>
      <c r="BF140" s="504"/>
      <c r="BG140" s="504"/>
      <c r="BH140" s="504"/>
      <c r="BI140" s="504"/>
      <c r="BJ140" s="504"/>
      <c r="BK140" s="504"/>
      <c r="BL140" s="504"/>
      <c r="BM140" s="504"/>
      <c r="BN140" s="504"/>
      <c r="BO140" s="504"/>
      <c r="BP140" s="504"/>
      <c r="BQ140" s="504"/>
      <c r="BR140" s="504"/>
      <c r="BS140" s="504"/>
      <c r="BT140" s="504"/>
      <c r="BU140" s="504"/>
      <c r="BV140" s="504"/>
      <c r="BW140" s="504"/>
      <c r="BX140" s="504"/>
      <c r="BY140" s="504"/>
      <c r="BZ140" s="504"/>
    </row>
    <row r="141" spans="2:78" x14ac:dyDescent="0.15">
      <c r="C141" s="114" t="s">
        <v>258</v>
      </c>
      <c r="D141" s="115"/>
      <c r="E141" s="116"/>
      <c r="F141" s="117">
        <f ca="1">F85-(F96)+F140</f>
        <v>-4296216.0627272725</v>
      </c>
      <c r="G141" s="117">
        <f ca="1">G85-(G96)+G140</f>
        <v>101075.19147272744</v>
      </c>
      <c r="H141" s="117">
        <f ca="1">H85-(H96)+H140</f>
        <v>423143.27075672732</v>
      </c>
      <c r="I141" s="117">
        <f ca="1">I85-(I96)+I140</f>
        <v>540590.66248930863</v>
      </c>
      <c r="J141" s="117">
        <f ca="1">J85-(J96)+J140</f>
        <v>279670.67139315233</v>
      </c>
      <c r="K141" s="117">
        <f t="shared" ref="K141:AH141" ca="1" si="265">(K85-K96)+(K140/2)</f>
        <v>394046.24474822322</v>
      </c>
      <c r="L141" s="117">
        <f t="shared" ca="1" si="265"/>
        <v>455842.5358280153</v>
      </c>
      <c r="M141" s="117">
        <f t="shared" ca="1" si="265"/>
        <v>520551.40922233241</v>
      </c>
      <c r="N141" s="117">
        <f t="shared" ca="1" si="265"/>
        <v>588307.11178237433</v>
      </c>
      <c r="O141" s="117">
        <f t="shared" ca="1" si="265"/>
        <v>659250.20394989522</v>
      </c>
      <c r="P141" s="117">
        <f t="shared" ca="1" si="265"/>
        <v>733527.87000827712</v>
      </c>
      <c r="Q141" s="117">
        <f t="shared" ca="1" si="265"/>
        <v>811294.24445876409</v>
      </c>
      <c r="R141" s="117">
        <f t="shared" ca="1" si="265"/>
        <v>892710.75541004306</v>
      </c>
      <c r="S141" s="117">
        <f t="shared" ca="1" si="265"/>
        <v>977946.48592091538</v>
      </c>
      <c r="T141" s="117">
        <f t="shared" ca="1" si="265"/>
        <v>1067178.5542904206</v>
      </c>
      <c r="U141" s="117">
        <f t="shared" ca="1" si="265"/>
        <v>1160592.5143477453</v>
      </c>
      <c r="V141" s="117">
        <f t="shared" ca="1" si="265"/>
        <v>1258382.7768557237</v>
      </c>
      <c r="W141" s="117">
        <f t="shared" ca="1" si="265"/>
        <v>1360753.053206932</v>
      </c>
      <c r="X141" s="117">
        <f t="shared" ca="1" si="265"/>
        <v>1467916.8226605623</v>
      </c>
      <c r="Y141" s="117">
        <f t="shared" ca="1" si="265"/>
        <v>1580097.8244416735</v>
      </c>
      <c r="Z141" s="117">
        <f t="shared" ca="1" si="265"/>
        <v>1697530.5761022551</v>
      </c>
      <c r="AA141" s="117">
        <f t="shared" ca="1" si="265"/>
        <v>1820460.919626235</v>
      </c>
      <c r="AB141" s="117">
        <f t="shared" ca="1" si="265"/>
        <v>1949146.5968482241</v>
      </c>
      <c r="AC141" s="117">
        <f t="shared" ca="1" si="265"/>
        <v>2083857.8558489012</v>
      </c>
      <c r="AD141" s="117">
        <f t="shared" ca="1" si="265"/>
        <v>2224878.090088746</v>
      </c>
      <c r="AE141" s="117">
        <f t="shared" ca="1" si="265"/>
        <v>2372504.5121467137</v>
      </c>
      <c r="AF141" s="117">
        <f t="shared" ca="1" si="265"/>
        <v>2527048.8640417974</v>
      </c>
      <c r="AG141" s="117">
        <f t="shared" ca="1" si="265"/>
        <v>2716519.984415492</v>
      </c>
      <c r="AH141" s="117">
        <f t="shared" ca="1" si="265"/>
        <v>2913579.1438877434</v>
      </c>
      <c r="AI141" s="117">
        <f t="shared" ref="AI141:AJ141" ca="1" si="266">(AI85-AI96)+(AI140/2)</f>
        <v>3090904.5145778046</v>
      </c>
      <c r="AJ141" s="117">
        <f t="shared" ca="1" si="266"/>
        <v>3276555.6853774502</v>
      </c>
      <c r="AK141" s="504"/>
      <c r="AL141" s="504"/>
      <c r="AM141" s="504"/>
      <c r="AN141" s="504"/>
      <c r="AO141" s="504"/>
      <c r="AP141" s="504"/>
      <c r="AQ141" s="504"/>
      <c r="AR141" s="504"/>
      <c r="AS141" s="504"/>
      <c r="AT141" s="504"/>
      <c r="AU141" s="504"/>
      <c r="AV141" s="504"/>
      <c r="AW141" s="504"/>
      <c r="AX141" s="504"/>
      <c r="AY141" s="504"/>
      <c r="AZ141" s="504"/>
      <c r="BA141" s="504"/>
      <c r="BB141" s="504"/>
      <c r="BC141" s="504"/>
      <c r="BD141" s="504"/>
      <c r="BE141" s="504"/>
      <c r="BF141" s="504"/>
      <c r="BG141" s="504"/>
      <c r="BH141" s="504"/>
      <c r="BI141" s="504"/>
      <c r="BJ141" s="504"/>
      <c r="BK141" s="504"/>
      <c r="BL141" s="504"/>
      <c r="BM141" s="504"/>
      <c r="BN141" s="504"/>
      <c r="BO141" s="504"/>
      <c r="BP141" s="504"/>
      <c r="BQ141" s="504"/>
      <c r="BR141" s="504"/>
      <c r="BS141" s="504"/>
      <c r="BT141" s="504"/>
      <c r="BU141" s="504"/>
      <c r="BV141" s="504"/>
      <c r="BW141" s="504"/>
      <c r="BX141" s="504"/>
      <c r="BY141" s="504"/>
      <c r="BZ141" s="504"/>
    </row>
    <row r="142" spans="2:78" x14ac:dyDescent="0.15">
      <c r="C142" s="507" t="s">
        <v>259</v>
      </c>
      <c r="D142" s="71">
        <v>0.4</v>
      </c>
      <c r="E142" s="539"/>
      <c r="F142" s="12">
        <f>-F140*$D$142</f>
        <v>1674290.9090909092</v>
      </c>
      <c r="G142" s="12">
        <f t="shared" ref="G142:AH142" si="267">-G140*$D$142</f>
        <v>44290.909090909088</v>
      </c>
      <c r="H142" s="12">
        <f t="shared" si="267"/>
        <v>44290.909090909088</v>
      </c>
      <c r="I142" s="12">
        <f t="shared" si="267"/>
        <v>44290.909090909088</v>
      </c>
      <c r="J142" s="12">
        <f t="shared" si="267"/>
        <v>44290.909090909088</v>
      </c>
      <c r="K142" s="12">
        <f t="shared" si="267"/>
        <v>44290.909090909088</v>
      </c>
      <c r="L142" s="12">
        <f t="shared" si="267"/>
        <v>44290.909090909088</v>
      </c>
      <c r="M142" s="12">
        <f t="shared" si="267"/>
        <v>44290.909090909088</v>
      </c>
      <c r="N142" s="12">
        <f t="shared" si="267"/>
        <v>44290.909090909088</v>
      </c>
      <c r="O142" s="12">
        <f t="shared" si="267"/>
        <v>44290.909090909088</v>
      </c>
      <c r="P142" s="12">
        <f t="shared" si="267"/>
        <v>44290.909090909088</v>
      </c>
      <c r="Q142" s="12">
        <f t="shared" si="267"/>
        <v>44290.909090909088</v>
      </c>
      <c r="R142" s="12">
        <f t="shared" si="267"/>
        <v>44290.909090909088</v>
      </c>
      <c r="S142" s="12">
        <f t="shared" si="267"/>
        <v>44290.909090909088</v>
      </c>
      <c r="T142" s="12">
        <f t="shared" si="267"/>
        <v>44290.909090909088</v>
      </c>
      <c r="U142" s="12">
        <f t="shared" si="267"/>
        <v>44290.909090909088</v>
      </c>
      <c r="V142" s="12">
        <f t="shared" si="267"/>
        <v>44290.909090909088</v>
      </c>
      <c r="W142" s="12">
        <f t="shared" si="267"/>
        <v>44290.909090909088</v>
      </c>
      <c r="X142" s="12">
        <f t="shared" si="267"/>
        <v>44290.909090909088</v>
      </c>
      <c r="Y142" s="12">
        <f t="shared" si="267"/>
        <v>44290.909090909088</v>
      </c>
      <c r="Z142" s="12">
        <f t="shared" si="267"/>
        <v>44290.909090909088</v>
      </c>
      <c r="AA142" s="12">
        <f t="shared" si="267"/>
        <v>44290.909090909088</v>
      </c>
      <c r="AB142" s="12">
        <f t="shared" si="267"/>
        <v>44290.909090909088</v>
      </c>
      <c r="AC142" s="12">
        <f t="shared" si="267"/>
        <v>44290.909090909088</v>
      </c>
      <c r="AD142" s="12">
        <f t="shared" si="267"/>
        <v>44290.909090909088</v>
      </c>
      <c r="AE142" s="12">
        <f t="shared" si="267"/>
        <v>44290.909090909088</v>
      </c>
      <c r="AF142" s="12">
        <f t="shared" si="267"/>
        <v>44290.909090909088</v>
      </c>
      <c r="AG142" s="12">
        <f t="shared" si="267"/>
        <v>22145.454545454544</v>
      </c>
      <c r="AH142" s="12">
        <f t="shared" si="267"/>
        <v>0</v>
      </c>
      <c r="AI142" s="12">
        <f t="shared" ref="AI142:AJ142" si="268">-AI140*$D$142</f>
        <v>0</v>
      </c>
      <c r="AJ142" s="12">
        <f t="shared" si="268"/>
        <v>0</v>
      </c>
      <c r="AK142" s="504"/>
      <c r="AL142" s="504"/>
      <c r="AM142" s="504"/>
      <c r="AN142" s="504"/>
      <c r="AO142" s="504"/>
      <c r="AP142" s="504"/>
      <c r="AQ142" s="504"/>
      <c r="AR142" s="504"/>
      <c r="AS142" s="504"/>
      <c r="AT142" s="504"/>
      <c r="AU142" s="504"/>
      <c r="AV142" s="504"/>
      <c r="AW142" s="504"/>
      <c r="AX142" s="504"/>
      <c r="AY142" s="504"/>
      <c r="AZ142" s="504"/>
      <c r="BA142" s="504"/>
      <c r="BB142" s="504"/>
      <c r="BC142" s="504"/>
      <c r="BD142" s="504"/>
      <c r="BE142" s="504"/>
      <c r="BF142" s="504"/>
      <c r="BG142" s="504"/>
      <c r="BH142" s="504"/>
      <c r="BI142" s="504"/>
      <c r="BJ142" s="504"/>
      <c r="BK142" s="504"/>
      <c r="BL142" s="504"/>
      <c r="BM142" s="504"/>
      <c r="BN142" s="504"/>
      <c r="BO142" s="504"/>
      <c r="BP142" s="504"/>
      <c r="BQ142" s="504"/>
      <c r="BR142" s="504"/>
      <c r="BS142" s="504"/>
      <c r="BT142" s="504"/>
      <c r="BU142" s="504"/>
      <c r="BV142" s="504"/>
      <c r="BW142" s="504"/>
      <c r="BX142" s="504"/>
      <c r="BY142" s="504"/>
      <c r="BZ142" s="504"/>
    </row>
    <row r="143" spans="2:78" x14ac:dyDescent="0.15">
      <c r="C143" s="507" t="s">
        <v>260</v>
      </c>
      <c r="D143" s="72"/>
      <c r="E143" s="142">
        <f>E130</f>
        <v>-5050000</v>
      </c>
      <c r="F143" s="142">
        <f t="shared" ref="F143:AH143" ca="1" si="269">F130+F142</f>
        <v>1928614.1190909091</v>
      </c>
      <c r="G143" s="142">
        <f t="shared" ca="1" si="269"/>
        <v>710905.37329090922</v>
      </c>
      <c r="H143" s="142">
        <f t="shared" ca="1" si="269"/>
        <v>1064778.4210664849</v>
      </c>
      <c r="I143" s="142">
        <f t="shared" ca="1" si="269"/>
        <v>5000819.155306262</v>
      </c>
      <c r="J143" s="142">
        <f t="shared" ca="1" si="269"/>
        <v>467538.0791632944</v>
      </c>
      <c r="K143" s="142">
        <f t="shared" ca="1" si="269"/>
        <v>493531.14709250198</v>
      </c>
      <c r="L143" s="142">
        <f t="shared" ca="1" si="269"/>
        <v>520684.72359206981</v>
      </c>
      <c r="M143" s="142">
        <f t="shared" ca="1" si="269"/>
        <v>549047.64472187601</v>
      </c>
      <c r="N143" s="142">
        <f t="shared" ca="1" si="269"/>
        <v>578670.74829853524</v>
      </c>
      <c r="O143" s="142">
        <f t="shared" ca="1" si="269"/>
        <v>609606.95493195474</v>
      </c>
      <c r="P143" s="142">
        <f t="shared" ca="1" si="269"/>
        <v>360595.3523226789</v>
      </c>
      <c r="Q143" s="142">
        <f t="shared" ca="1" si="269"/>
        <v>394325.28295083949</v>
      </c>
      <c r="R143" s="142">
        <f t="shared" ca="1" si="269"/>
        <v>429540.43529276969</v>
      </c>
      <c r="S143" s="142">
        <f t="shared" ca="1" si="269"/>
        <v>466302.93870679336</v>
      </c>
      <c r="T143" s="142">
        <f t="shared" ca="1" si="269"/>
        <v>504677.46213536279</v>
      </c>
      <c r="U143" s="142">
        <f t="shared" ca="1" si="269"/>
        <v>544731.31677661918</v>
      </c>
      <c r="V143" s="142">
        <f t="shared" ca="1" si="269"/>
        <v>586534.56288458069</v>
      </c>
      <c r="W143" s="142">
        <f t="shared" ca="1" si="269"/>
        <v>630160.12086353742</v>
      </c>
      <c r="X143" s="142">
        <f t="shared" ca="1" si="269"/>
        <v>675683.88682886178</v>
      </c>
      <c r="Y143" s="142">
        <f t="shared" ca="1" si="269"/>
        <v>723184.85281335365</v>
      </c>
      <c r="Z143" s="142">
        <f t="shared" ca="1" si="269"/>
        <v>772745.2318053901</v>
      </c>
      <c r="AA143" s="142">
        <f t="shared" ca="1" si="269"/>
        <v>824450.5878126364</v>
      </c>
      <c r="AB143" s="142">
        <f t="shared" ca="1" si="269"/>
        <v>878389.97115281119</v>
      </c>
      <c r="AC143" s="142">
        <f t="shared" ca="1" si="269"/>
        <v>934656.05918108474</v>
      </c>
      <c r="AD143" s="142">
        <f t="shared" ca="1" si="269"/>
        <v>993345.3026720708</v>
      </c>
      <c r="AE143" s="142">
        <f t="shared" ca="1" si="269"/>
        <v>1054558.07808311</v>
      </c>
      <c r="AF143" s="142">
        <f t="shared" ca="1" si="269"/>
        <v>1118398.8459346115</v>
      </c>
      <c r="AG143" s="142">
        <f t="shared" ca="1" si="269"/>
        <v>1162830.861007221</v>
      </c>
      <c r="AH143" s="142">
        <f t="shared" ca="1" si="269"/>
        <v>1210112.7073381043</v>
      </c>
      <c r="AI143" s="142">
        <f t="shared" ref="AI143:AJ143" ca="1" si="270">AI130+AI142</f>
        <v>1282507.5673725193</v>
      </c>
      <c r="AJ143" s="142">
        <f t="shared" ca="1" si="270"/>
        <v>26865292.995434914</v>
      </c>
      <c r="AK143" s="504"/>
      <c r="AL143" s="504"/>
      <c r="AM143" s="504"/>
      <c r="AN143" s="504"/>
      <c r="AO143" s="504"/>
      <c r="AP143" s="504"/>
      <c r="AQ143" s="504"/>
      <c r="AR143" s="504"/>
      <c r="AS143" s="504"/>
      <c r="AT143" s="504"/>
      <c r="AU143" s="504"/>
      <c r="AV143" s="504"/>
      <c r="AW143" s="504"/>
      <c r="AX143" s="504"/>
      <c r="AY143" s="504"/>
      <c r="AZ143" s="504"/>
      <c r="BA143" s="504"/>
      <c r="BB143" s="504"/>
      <c r="BC143" s="504"/>
      <c r="BD143" s="504"/>
      <c r="BE143" s="504"/>
      <c r="BF143" s="504"/>
      <c r="BG143" s="504"/>
      <c r="BH143" s="504"/>
      <c r="BI143" s="504"/>
      <c r="BJ143" s="504"/>
      <c r="BK143" s="504"/>
      <c r="BL143" s="504"/>
      <c r="BM143" s="504"/>
      <c r="BN143" s="504"/>
      <c r="BO143" s="504"/>
      <c r="BP143" s="504"/>
      <c r="BQ143" s="504"/>
      <c r="BR143" s="504"/>
      <c r="BS143" s="504"/>
      <c r="BT143" s="504"/>
      <c r="BU143" s="504"/>
      <c r="BV143" s="504"/>
      <c r="BW143" s="504"/>
      <c r="BX143" s="504"/>
      <c r="BY143" s="504"/>
      <c r="BZ143" s="504"/>
    </row>
    <row r="144" spans="2:78" x14ac:dyDescent="0.15">
      <c r="C144" s="73" t="s">
        <v>261</v>
      </c>
      <c r="D144" s="37">
        <f ca="1">IRR(E143:AJ143)</f>
        <v>0.27670317295062374</v>
      </c>
      <c r="E144" s="504"/>
      <c r="F144" s="74"/>
      <c r="G144" s="74"/>
      <c r="H144" s="74"/>
      <c r="I144" s="74"/>
      <c r="J144" s="74"/>
      <c r="K144" s="74"/>
      <c r="L144" s="74"/>
      <c r="M144" s="74"/>
      <c r="N144" s="74"/>
      <c r="O144" s="74"/>
      <c r="P144" s="74"/>
      <c r="Q144" s="74"/>
      <c r="R144" s="74"/>
      <c r="S144" s="74"/>
      <c r="T144" s="74"/>
      <c r="U144" s="74"/>
      <c r="V144" s="74"/>
      <c r="W144" s="74"/>
      <c r="X144" s="74"/>
      <c r="Y144" s="74"/>
      <c r="Z144" s="74"/>
      <c r="AA144" s="74"/>
      <c r="AB144" s="74"/>
      <c r="AC144" s="74"/>
      <c r="AD144" s="74"/>
      <c r="AE144" s="74"/>
      <c r="AF144" s="74"/>
      <c r="AG144" s="74"/>
      <c r="AH144" s="74"/>
      <c r="AI144" s="74"/>
      <c r="AJ144" s="74"/>
      <c r="AK144" s="504"/>
      <c r="AL144" s="504"/>
      <c r="AM144" s="504"/>
      <c r="AN144" s="504"/>
      <c r="AO144" s="504"/>
      <c r="AP144" s="504"/>
      <c r="AQ144" s="504"/>
      <c r="AR144" s="504"/>
      <c r="AS144" s="504"/>
      <c r="AT144" s="504"/>
      <c r="AU144" s="504"/>
      <c r="AV144" s="504"/>
      <c r="AW144" s="504"/>
      <c r="AX144" s="504"/>
      <c r="AY144" s="504"/>
      <c r="AZ144" s="504"/>
      <c r="BA144" s="504"/>
      <c r="BB144" s="504"/>
      <c r="BC144" s="504"/>
      <c r="BD144" s="504"/>
      <c r="BE144" s="504"/>
      <c r="BF144" s="504"/>
      <c r="BG144" s="504"/>
      <c r="BH144" s="504"/>
      <c r="BI144" s="504"/>
      <c r="BJ144" s="504"/>
      <c r="BK144" s="504"/>
      <c r="BL144" s="504"/>
      <c r="BM144" s="504"/>
      <c r="BN144" s="504"/>
      <c r="BO144" s="504"/>
      <c r="BP144" s="504"/>
      <c r="BQ144" s="504"/>
      <c r="BR144" s="504"/>
      <c r="BS144" s="504"/>
      <c r="BT144" s="504"/>
      <c r="BU144" s="504"/>
      <c r="BV144" s="504"/>
      <c r="BW144" s="504"/>
      <c r="BX144" s="504"/>
      <c r="BY144" s="504"/>
      <c r="BZ144" s="504"/>
    </row>
    <row r="145" spans="1:36" x14ac:dyDescent="0.15">
      <c r="A145" s="504"/>
      <c r="C145" s="504"/>
      <c r="E145" s="504"/>
      <c r="F145" s="13"/>
      <c r="G145" s="16"/>
      <c r="H145" s="16"/>
      <c r="I145" s="16"/>
      <c r="J145" s="16"/>
      <c r="K145" s="16"/>
      <c r="L145" s="16"/>
      <c r="M145" s="16"/>
      <c r="N145" s="16"/>
      <c r="O145" s="16"/>
      <c r="P145" s="16"/>
      <c r="Q145" s="16"/>
      <c r="R145" s="16"/>
      <c r="S145" s="16"/>
      <c r="T145" s="16"/>
      <c r="U145" s="16"/>
      <c r="V145" s="16"/>
      <c r="W145" s="16"/>
      <c r="X145" s="16"/>
      <c r="Y145" s="16"/>
      <c r="Z145" s="16"/>
      <c r="AA145" s="16"/>
      <c r="AB145" s="16"/>
      <c r="AC145" s="16"/>
      <c r="AD145" s="16"/>
      <c r="AE145" s="16"/>
      <c r="AF145" s="16"/>
      <c r="AG145" s="16"/>
      <c r="AH145" s="16"/>
      <c r="AI145" s="16"/>
      <c r="AJ145" s="16"/>
    </row>
    <row r="146" spans="1:36" x14ac:dyDescent="0.15">
      <c r="A146" s="504"/>
      <c r="C146" s="504"/>
      <c r="E146" s="504"/>
      <c r="F146" s="504"/>
      <c r="G146" s="504"/>
      <c r="H146" s="504"/>
      <c r="I146" s="504"/>
      <c r="J146" s="544"/>
      <c r="K146" s="545"/>
      <c r="L146" s="545"/>
      <c r="M146" s="545"/>
      <c r="N146" s="545"/>
      <c r="O146" s="545"/>
      <c r="P146" s="545"/>
      <c r="Q146" s="545"/>
      <c r="R146" s="545"/>
      <c r="S146" s="545"/>
      <c r="T146" s="545"/>
      <c r="U146" s="545"/>
      <c r="V146" s="545"/>
      <c r="W146" s="545"/>
      <c r="X146" s="545"/>
      <c r="Y146" s="545"/>
      <c r="Z146" s="545"/>
      <c r="AA146" s="545"/>
      <c r="AB146" s="545"/>
      <c r="AC146" s="504"/>
      <c r="AD146" s="504"/>
      <c r="AE146" s="504"/>
      <c r="AF146" s="504"/>
      <c r="AG146" s="504"/>
      <c r="AH146" s="504"/>
      <c r="AI146" s="504"/>
      <c r="AJ146" s="504"/>
    </row>
    <row r="147" spans="1:36" x14ac:dyDescent="0.15">
      <c r="A147" s="504"/>
      <c r="C147" s="504"/>
      <c r="E147" s="504"/>
      <c r="F147" s="504"/>
      <c r="G147" s="504"/>
      <c r="H147" s="504"/>
      <c r="I147" s="504"/>
      <c r="J147" s="544"/>
      <c r="K147" s="545"/>
      <c r="L147" s="545"/>
      <c r="M147" s="545"/>
      <c r="N147" s="545"/>
      <c r="O147" s="545"/>
      <c r="P147" s="545"/>
      <c r="Q147" s="545"/>
      <c r="R147" s="545"/>
      <c r="S147" s="545"/>
      <c r="T147" s="545"/>
      <c r="U147" s="545"/>
      <c r="V147" s="545"/>
      <c r="W147" s="545"/>
      <c r="X147" s="545"/>
      <c r="Y147" s="545"/>
      <c r="Z147" s="545"/>
      <c r="AA147" s="545"/>
      <c r="AB147" s="545"/>
      <c r="AC147" s="504"/>
      <c r="AD147" s="504"/>
      <c r="AE147" s="504"/>
      <c r="AF147" s="504"/>
      <c r="AG147" s="504"/>
      <c r="AH147" s="504"/>
      <c r="AI147" s="504"/>
      <c r="AJ147" s="504"/>
    </row>
    <row r="148" spans="1:36" x14ac:dyDescent="0.15">
      <c r="A148" s="504"/>
      <c r="C148" s="504"/>
      <c r="E148" s="504"/>
      <c r="F148" s="504"/>
      <c r="G148" s="504"/>
      <c r="H148" s="504"/>
      <c r="I148" s="504"/>
      <c r="J148" s="544"/>
      <c r="K148" s="545"/>
      <c r="L148" s="545"/>
      <c r="M148" s="545"/>
      <c r="N148" s="545"/>
      <c r="O148" s="545"/>
      <c r="P148" s="545"/>
      <c r="Q148" s="545"/>
      <c r="R148" s="545"/>
      <c r="S148" s="545"/>
      <c r="T148" s="545"/>
      <c r="U148" s="545"/>
      <c r="V148" s="545"/>
      <c r="W148" s="545"/>
      <c r="X148" s="545"/>
      <c r="Y148" s="545"/>
      <c r="Z148" s="545"/>
      <c r="AA148" s="545"/>
      <c r="AB148" s="545"/>
      <c r="AC148" s="504"/>
      <c r="AD148" s="504"/>
      <c r="AE148" s="504"/>
      <c r="AF148" s="504"/>
      <c r="AG148" s="504"/>
      <c r="AH148" s="504"/>
      <c r="AI148" s="504"/>
      <c r="AJ148" s="504"/>
    </row>
    <row r="149" spans="1:36" x14ac:dyDescent="0.15">
      <c r="A149" s="504"/>
      <c r="C149" s="504"/>
      <c r="E149" s="504"/>
      <c r="F149" s="504"/>
      <c r="G149" s="504"/>
      <c r="H149" s="504"/>
      <c r="I149" s="504"/>
      <c r="J149" s="544"/>
      <c r="K149" s="545"/>
      <c r="L149" s="545"/>
      <c r="M149" s="545"/>
      <c r="N149" s="545"/>
      <c r="O149" s="545"/>
      <c r="P149" s="545"/>
      <c r="Q149" s="545"/>
      <c r="R149" s="545"/>
      <c r="S149" s="545"/>
      <c r="T149" s="545"/>
      <c r="U149" s="545"/>
      <c r="V149" s="545"/>
      <c r="W149" s="545"/>
      <c r="X149" s="545"/>
      <c r="Y149" s="545"/>
      <c r="Z149" s="545"/>
      <c r="AA149" s="545"/>
      <c r="AB149" s="545"/>
      <c r="AC149" s="504"/>
      <c r="AD149" s="504"/>
      <c r="AE149" s="504"/>
      <c r="AF149" s="504"/>
      <c r="AG149" s="504"/>
      <c r="AH149" s="504"/>
      <c r="AI149" s="504"/>
      <c r="AJ149" s="504"/>
    </row>
    <row r="150" spans="1:36" x14ac:dyDescent="0.15">
      <c r="A150" s="504"/>
      <c r="C150" s="504"/>
      <c r="E150" s="504"/>
      <c r="F150" s="504"/>
      <c r="G150" s="504"/>
      <c r="H150" s="504"/>
      <c r="I150" s="504"/>
      <c r="J150" s="544"/>
      <c r="K150" s="545"/>
      <c r="L150" s="545"/>
      <c r="M150" s="545"/>
      <c r="N150" s="545"/>
      <c r="O150" s="545"/>
      <c r="P150" s="545"/>
      <c r="Q150" s="545"/>
      <c r="R150" s="545"/>
      <c r="S150" s="545"/>
      <c r="T150" s="545"/>
      <c r="U150" s="545"/>
      <c r="V150" s="545"/>
      <c r="W150" s="545"/>
      <c r="X150" s="545"/>
      <c r="Y150" s="545"/>
      <c r="Z150" s="545"/>
      <c r="AA150" s="545"/>
      <c r="AB150" s="545"/>
      <c r="AC150" s="504"/>
      <c r="AD150" s="504"/>
      <c r="AE150" s="504"/>
      <c r="AF150" s="504"/>
      <c r="AG150" s="504"/>
      <c r="AH150" s="504"/>
      <c r="AI150" s="504"/>
      <c r="AJ150" s="504"/>
    </row>
    <row r="151" spans="1:36" x14ac:dyDescent="0.15">
      <c r="A151" s="504"/>
      <c r="C151" s="504"/>
      <c r="E151" s="504"/>
      <c r="F151" s="504"/>
      <c r="G151" s="504"/>
      <c r="H151" s="504"/>
      <c r="I151" s="504"/>
      <c r="J151" s="544"/>
      <c r="K151" s="545"/>
      <c r="L151" s="545"/>
      <c r="M151" s="545"/>
      <c r="N151" s="545"/>
      <c r="O151" s="545"/>
      <c r="P151" s="545"/>
      <c r="Q151" s="545"/>
      <c r="R151" s="545"/>
      <c r="S151" s="545"/>
      <c r="T151" s="545"/>
      <c r="U151" s="545"/>
      <c r="V151" s="545"/>
      <c r="W151" s="545"/>
      <c r="X151" s="545"/>
      <c r="Y151" s="545"/>
      <c r="Z151" s="545"/>
      <c r="AA151" s="545"/>
      <c r="AB151" s="545"/>
      <c r="AC151" s="504"/>
      <c r="AD151" s="504"/>
      <c r="AE151" s="504"/>
      <c r="AF151" s="504"/>
      <c r="AG151" s="504"/>
      <c r="AH151" s="504"/>
      <c r="AI151" s="504"/>
      <c r="AJ151" s="504"/>
    </row>
    <row r="152" spans="1:36" x14ac:dyDescent="0.15">
      <c r="A152" s="504"/>
      <c r="C152" s="504"/>
      <c r="E152" s="504"/>
      <c r="F152" s="504"/>
      <c r="G152" s="504"/>
      <c r="H152" s="504"/>
      <c r="I152" s="504"/>
      <c r="J152" s="544"/>
      <c r="K152" s="545"/>
      <c r="L152" s="545"/>
      <c r="M152" s="545"/>
      <c r="N152" s="545"/>
      <c r="O152" s="545"/>
      <c r="P152" s="545"/>
      <c r="Q152" s="545"/>
      <c r="R152" s="545"/>
      <c r="S152" s="545"/>
      <c r="T152" s="545"/>
      <c r="U152" s="545"/>
      <c r="V152" s="545"/>
      <c r="W152" s="545"/>
      <c r="X152" s="545"/>
      <c r="Y152" s="545"/>
      <c r="Z152" s="545"/>
      <c r="AA152" s="545"/>
      <c r="AB152" s="545"/>
      <c r="AC152" s="504"/>
      <c r="AD152" s="504"/>
      <c r="AE152" s="504"/>
      <c r="AF152" s="504"/>
      <c r="AG152" s="504"/>
      <c r="AH152" s="504"/>
      <c r="AI152" s="504"/>
      <c r="AJ152" s="504"/>
    </row>
    <row r="153" spans="1:36" x14ac:dyDescent="0.15">
      <c r="A153" s="504"/>
      <c r="C153" s="504"/>
      <c r="E153" s="504"/>
      <c r="F153" s="504"/>
      <c r="G153" s="504"/>
      <c r="H153" s="504"/>
      <c r="I153" s="504"/>
      <c r="J153" s="544"/>
      <c r="K153" s="545"/>
      <c r="L153" s="545"/>
      <c r="M153" s="545"/>
      <c r="N153" s="545"/>
      <c r="O153" s="545"/>
      <c r="P153" s="545"/>
      <c r="Q153" s="545"/>
      <c r="R153" s="545"/>
      <c r="S153" s="545"/>
      <c r="T153" s="545"/>
      <c r="U153" s="545"/>
      <c r="V153" s="545"/>
      <c r="W153" s="545"/>
      <c r="X153" s="545"/>
      <c r="Y153" s="545"/>
      <c r="Z153" s="545"/>
      <c r="AA153" s="545"/>
      <c r="AB153" s="545"/>
      <c r="AC153" s="504"/>
      <c r="AD153" s="504"/>
      <c r="AE153" s="504"/>
      <c r="AF153" s="504"/>
      <c r="AG153" s="504"/>
      <c r="AH153" s="504"/>
      <c r="AI153" s="504"/>
      <c r="AJ153" s="504"/>
    </row>
    <row r="154" spans="1:36" x14ac:dyDescent="0.15">
      <c r="A154" s="504"/>
      <c r="C154" s="504"/>
      <c r="E154" s="504"/>
      <c r="F154" s="504"/>
      <c r="G154" s="504"/>
      <c r="H154" s="504"/>
      <c r="I154" s="504"/>
      <c r="J154" s="544"/>
      <c r="K154" s="545"/>
      <c r="L154" s="545"/>
      <c r="M154" s="545"/>
      <c r="N154" s="545"/>
      <c r="O154" s="545"/>
      <c r="P154" s="545"/>
      <c r="Q154" s="545"/>
      <c r="R154" s="545"/>
      <c r="S154" s="545"/>
      <c r="T154" s="545"/>
      <c r="U154" s="545"/>
      <c r="V154" s="545"/>
      <c r="W154" s="545"/>
      <c r="X154" s="545"/>
      <c r="Y154" s="545"/>
      <c r="Z154" s="545"/>
      <c r="AA154" s="545"/>
      <c r="AB154" s="545"/>
      <c r="AC154" s="504"/>
      <c r="AD154" s="504"/>
      <c r="AE154" s="504"/>
      <c r="AF154" s="504"/>
      <c r="AG154" s="504"/>
      <c r="AH154" s="504"/>
      <c r="AI154" s="504"/>
      <c r="AJ154" s="504"/>
    </row>
    <row r="155" spans="1:36" s="214" customFormat="1" x14ac:dyDescent="0.15">
      <c r="A155" s="765" t="s">
        <v>262</v>
      </c>
      <c r="B155" s="765"/>
      <c r="C155" s="765"/>
      <c r="D155" s="765"/>
      <c r="E155" s="765"/>
      <c r="F155" s="765"/>
      <c r="G155" s="765"/>
      <c r="H155" s="765"/>
      <c r="I155" s="765"/>
      <c r="J155" s="765"/>
      <c r="K155" s="765"/>
      <c r="L155" s="765"/>
      <c r="M155" s="765"/>
      <c r="N155" s="765"/>
      <c r="O155" s="765"/>
      <c r="P155" s="215"/>
      <c r="Q155" s="215"/>
      <c r="R155" s="215"/>
      <c r="S155" s="215"/>
      <c r="T155" s="215"/>
      <c r="U155" s="215"/>
      <c r="V155" s="546"/>
      <c r="W155" s="546"/>
      <c r="X155" s="546"/>
      <c r="Y155" s="546"/>
      <c r="Z155" s="546"/>
      <c r="AA155" s="546"/>
      <c r="AB155" s="546"/>
      <c r="AC155" s="546"/>
      <c r="AD155" s="546"/>
      <c r="AE155" s="546"/>
      <c r="AF155" s="546"/>
      <c r="AG155" s="546"/>
      <c r="AH155" s="546"/>
      <c r="AI155" s="546"/>
      <c r="AJ155" s="546"/>
    </row>
    <row r="156" spans="1:36" x14ac:dyDescent="0.15">
      <c r="A156" s="504"/>
      <c r="C156" s="504"/>
      <c r="E156" s="504"/>
      <c r="F156" s="15"/>
      <c r="G156" s="15"/>
      <c r="H156" s="504"/>
      <c r="I156" s="504"/>
      <c r="J156" s="15"/>
      <c r="K156" s="15"/>
      <c r="L156" s="15"/>
      <c r="M156" s="15"/>
      <c r="N156" s="15"/>
      <c r="O156" s="15"/>
      <c r="P156" s="15"/>
      <c r="Q156" s="15"/>
      <c r="R156" s="15"/>
      <c r="S156" s="15"/>
      <c r="T156" s="15"/>
      <c r="U156" s="15"/>
      <c r="V156" s="504"/>
      <c r="W156" s="504"/>
      <c r="X156" s="504"/>
      <c r="Y156" s="504"/>
      <c r="Z156" s="504"/>
      <c r="AA156" s="504"/>
      <c r="AB156" s="504"/>
      <c r="AC156" s="504"/>
      <c r="AD156" s="504"/>
      <c r="AE156" s="504"/>
      <c r="AF156" s="504"/>
      <c r="AG156" s="504"/>
      <c r="AH156" s="504"/>
      <c r="AI156" s="504"/>
      <c r="AJ156" s="504"/>
    </row>
    <row r="157" spans="1:36" ht="15" x14ac:dyDescent="0.2">
      <c r="A157" s="504"/>
      <c r="C157" s="767" t="s">
        <v>263</v>
      </c>
      <c r="D157" s="767"/>
      <c r="E157" s="767"/>
      <c r="F157" s="15"/>
      <c r="G157" s="504"/>
      <c r="H157" s="337" t="s">
        <v>264</v>
      </c>
      <c r="I157" s="338">
        <v>0.03</v>
      </c>
      <c r="J157" s="504"/>
      <c r="K157" s="504"/>
      <c r="L157" s="504"/>
      <c r="M157" s="504"/>
      <c r="N157" s="504"/>
      <c r="O157" s="504"/>
      <c r="P157" s="504"/>
      <c r="Q157" s="504"/>
      <c r="R157" s="504"/>
      <c r="S157" s="15"/>
      <c r="T157" s="15"/>
      <c r="U157" s="15"/>
      <c r="V157" s="504"/>
      <c r="W157" s="504"/>
      <c r="X157" s="504"/>
      <c r="Y157" s="504"/>
      <c r="Z157" s="504"/>
      <c r="AA157" s="504"/>
      <c r="AB157" s="504"/>
      <c r="AC157" s="504"/>
      <c r="AD157" s="504"/>
      <c r="AE157" s="504"/>
      <c r="AF157" s="504"/>
      <c r="AG157" s="504"/>
      <c r="AH157" s="504"/>
      <c r="AI157" s="504"/>
      <c r="AJ157" s="504"/>
    </row>
    <row r="158" spans="1:36" ht="14" thickBot="1" x14ac:dyDescent="0.2">
      <c r="A158" s="504"/>
      <c r="C158" s="504"/>
      <c r="D158" s="148" t="s">
        <v>265</v>
      </c>
      <c r="E158" s="149" t="s">
        <v>175</v>
      </c>
      <c r="F158" s="15"/>
      <c r="G158" s="504"/>
      <c r="H158" s="15"/>
      <c r="I158" s="15"/>
      <c r="J158" s="15"/>
      <c r="K158" s="504"/>
      <c r="L158" s="504"/>
      <c r="M158" s="504"/>
      <c r="N158" s="504"/>
      <c r="O158" s="504"/>
      <c r="P158" s="504"/>
      <c r="Q158" s="504"/>
      <c r="R158" s="504"/>
      <c r="S158" s="504"/>
      <c r="T158" s="504"/>
      <c r="U158" s="504"/>
      <c r="V158" s="504"/>
      <c r="W158" s="504"/>
      <c r="X158" s="504"/>
      <c r="Y158" s="504"/>
      <c r="Z158" s="504"/>
      <c r="AA158" s="504"/>
      <c r="AB158" s="504"/>
      <c r="AC158" s="504"/>
      <c r="AD158" s="504"/>
      <c r="AE158" s="504"/>
      <c r="AF158" s="504"/>
      <c r="AG158" s="504"/>
      <c r="AH158" s="504"/>
      <c r="AI158" s="504"/>
      <c r="AJ158" s="504"/>
    </row>
    <row r="159" spans="1:36" x14ac:dyDescent="0.15">
      <c r="A159" s="504"/>
      <c r="C159" s="504" t="str">
        <f>+C41</f>
        <v>Net Rental Income</v>
      </c>
      <c r="D159" s="146">
        <f>+D29*NoOfSpaces*(1-G15)</f>
        <v>70200</v>
      </c>
      <c r="E159" s="535">
        <f>+D159*12</f>
        <v>842400</v>
      </c>
      <c r="F159" s="15"/>
      <c r="G159" s="504"/>
      <c r="H159" s="15"/>
      <c r="I159" s="15"/>
      <c r="J159" s="15"/>
      <c r="K159" s="15"/>
      <c r="L159" s="15"/>
      <c r="M159" s="504"/>
      <c r="N159" s="504"/>
      <c r="O159" s="504"/>
      <c r="P159" s="504"/>
      <c r="Q159" s="504"/>
      <c r="R159" s="504"/>
      <c r="S159" s="504"/>
      <c r="T159" s="504"/>
      <c r="U159" s="504"/>
      <c r="V159" s="504"/>
      <c r="W159" s="504"/>
      <c r="X159" s="504"/>
      <c r="Y159" s="504"/>
      <c r="Z159" s="504"/>
      <c r="AA159" s="504"/>
      <c r="AB159" s="504"/>
      <c r="AC159" s="504"/>
      <c r="AD159" s="504"/>
      <c r="AE159" s="504"/>
      <c r="AF159" s="504"/>
      <c r="AG159" s="504"/>
      <c r="AH159" s="504"/>
      <c r="AI159" s="504"/>
      <c r="AJ159" s="504"/>
    </row>
    <row r="160" spans="1:36" x14ac:dyDescent="0.15">
      <c r="A160" s="504"/>
      <c r="C160" s="504" t="s">
        <v>174</v>
      </c>
      <c r="D160" s="147">
        <f>+D50/12</f>
        <v>0</v>
      </c>
      <c r="E160" s="535">
        <f t="shared" ref="E160:E162" si="271">+D160*12</f>
        <v>0</v>
      </c>
      <c r="F160" s="15"/>
      <c r="G160" s="504"/>
      <c r="H160" s="15"/>
      <c r="I160" s="15"/>
      <c r="J160" s="15"/>
      <c r="K160" s="15"/>
      <c r="L160" s="15"/>
      <c r="M160" s="504"/>
      <c r="N160" s="504"/>
      <c r="O160" s="504"/>
      <c r="P160" s="504"/>
      <c r="Q160" s="504"/>
      <c r="R160" s="504"/>
      <c r="S160" s="504"/>
      <c r="T160" s="504"/>
      <c r="U160" s="504"/>
      <c r="V160" s="504"/>
      <c r="W160" s="504"/>
      <c r="X160" s="504"/>
      <c r="Y160" s="504"/>
      <c r="Z160" s="504"/>
      <c r="AA160" s="504"/>
      <c r="AB160" s="504"/>
      <c r="AC160" s="504"/>
      <c r="AD160" s="504"/>
      <c r="AE160" s="504"/>
      <c r="AF160" s="504"/>
      <c r="AG160" s="504"/>
      <c r="AH160" s="504"/>
      <c r="AI160" s="504"/>
      <c r="AJ160" s="504"/>
    </row>
    <row r="161" spans="3:7" x14ac:dyDescent="0.15">
      <c r="C161" s="527" t="s">
        <v>266</v>
      </c>
      <c r="D161" s="147">
        <f>+E51/12</f>
        <v>0</v>
      </c>
      <c r="E161" s="535">
        <f t="shared" si="271"/>
        <v>0</v>
      </c>
      <c r="F161" s="15"/>
      <c r="G161" s="504"/>
    </row>
    <row r="162" spans="3:7" x14ac:dyDescent="0.15">
      <c r="C162" s="527" t="s">
        <v>267</v>
      </c>
      <c r="D162" s="719">
        <f>SUM(D159:D161)</f>
        <v>70200</v>
      </c>
      <c r="E162" s="719">
        <f t="shared" si="271"/>
        <v>842400</v>
      </c>
      <c r="F162" s="504"/>
      <c r="G162" s="504"/>
    </row>
    <row r="163" spans="3:7" x14ac:dyDescent="0.15">
      <c r="C163" s="504" t="s">
        <v>268</v>
      </c>
      <c r="D163" s="542">
        <f ca="1">+F80</f>
        <v>50004.774166666662</v>
      </c>
      <c r="E163" s="535">
        <f ca="1">+D163*12</f>
        <v>600057.28999999992</v>
      </c>
      <c r="F163" s="504"/>
      <c r="G163" s="504"/>
    </row>
    <row r="164" spans="3:7" x14ac:dyDescent="0.15">
      <c r="C164" s="527" t="s">
        <v>269</v>
      </c>
      <c r="D164" s="607">
        <f ca="1">+D162-D163</f>
        <v>20195.225833333338</v>
      </c>
      <c r="E164" s="586">
        <f ca="1">+D164*12</f>
        <v>242342.71000000005</v>
      </c>
      <c r="F164" s="504"/>
      <c r="G164" s="340"/>
    </row>
    <row r="165" spans="3:7" x14ac:dyDescent="0.15">
      <c r="C165" s="504" t="s">
        <v>83</v>
      </c>
      <c r="D165" s="504"/>
      <c r="E165" s="547">
        <f ca="1">E164/D6</f>
        <v>2.3190689952153114E-2</v>
      </c>
      <c r="F165" s="504"/>
      <c r="G165" s="504"/>
    </row>
    <row r="166" spans="3:7" x14ac:dyDescent="0.15">
      <c r="C166" s="504"/>
      <c r="D166" s="504"/>
      <c r="E166" s="504"/>
      <c r="F166" s="504"/>
      <c r="G166" s="504"/>
    </row>
    <row r="167" spans="3:7" ht="15" x14ac:dyDescent="0.2">
      <c r="C167" s="767" t="s">
        <v>270</v>
      </c>
      <c r="D167" s="767"/>
      <c r="E167" s="767"/>
      <c r="F167" s="767"/>
      <c r="G167" s="504"/>
    </row>
    <row r="168" spans="3:7" ht="14" thickBot="1" x14ac:dyDescent="0.2">
      <c r="C168" s="11"/>
      <c r="D168" s="548" t="s">
        <v>119</v>
      </c>
      <c r="E168" s="548" t="s">
        <v>120</v>
      </c>
      <c r="F168" s="548" t="s">
        <v>121</v>
      </c>
      <c r="G168" s="504"/>
    </row>
    <row r="169" spans="3:7" x14ac:dyDescent="0.15">
      <c r="C169" s="504" t="s">
        <v>271</v>
      </c>
      <c r="D169" s="549">
        <f ca="1">E197</f>
        <v>0.16878476575618451</v>
      </c>
      <c r="E169" s="549">
        <f ca="1">E202</f>
        <v>0.18074980781239947</v>
      </c>
      <c r="F169" s="549">
        <f ca="1">E207</f>
        <v>0.16980916700487114</v>
      </c>
      <c r="G169" s="504"/>
    </row>
    <row r="170" spans="3:7" x14ac:dyDescent="0.15">
      <c r="C170" s="504" t="s">
        <v>272</v>
      </c>
      <c r="D170" s="549">
        <f ca="1">E241</f>
        <v>0.26231716698615859</v>
      </c>
      <c r="E170" s="549">
        <f ca="1">E294</f>
        <v>0.28987941888278512</v>
      </c>
      <c r="F170" s="549">
        <f ca="1">+E347</f>
        <v>0.28508579329902051</v>
      </c>
      <c r="G170" s="504"/>
    </row>
    <row r="171" spans="3:7" x14ac:dyDescent="0.15">
      <c r="C171" s="504" t="s">
        <v>135</v>
      </c>
      <c r="D171" s="549">
        <f ca="1">+E258</f>
        <v>0.16630517937820666</v>
      </c>
      <c r="E171" s="549">
        <f ca="1">+E311</f>
        <v>0.19601861975284596</v>
      </c>
      <c r="F171" s="549">
        <f ca="1">+E364</f>
        <v>0.21086617849890477</v>
      </c>
      <c r="G171" s="504"/>
    </row>
    <row r="172" spans="3:7" ht="12.75" customHeight="1" x14ac:dyDescent="0.15">
      <c r="C172" s="504" t="s">
        <v>273</v>
      </c>
      <c r="D172" s="550" t="str">
        <f ca="1">+TEXT(E259,"0.0")&amp;"x"</f>
        <v>1.5x</v>
      </c>
      <c r="E172" s="550" t="str">
        <f ca="1">+TEXT(E312,"0.0")&amp;"x"</f>
        <v>2.0x</v>
      </c>
      <c r="F172" s="550" t="str">
        <f ca="1">+TEXT(E365,"0.0")&amp;"x"</f>
        <v>3.0x</v>
      </c>
      <c r="G172" s="504"/>
    </row>
    <row r="173" spans="3:7" x14ac:dyDescent="0.15">
      <c r="C173" s="504" t="s">
        <v>274</v>
      </c>
      <c r="D173" s="523">
        <f ca="1">ROUND(E260,-3)</f>
        <v>7809000</v>
      </c>
      <c r="E173" s="523">
        <f ca="1">ROUND(E313,-3)</f>
        <v>10208000</v>
      </c>
      <c r="F173" s="523">
        <f ca="1">ROUND(E366,-3)</f>
        <v>15182000</v>
      </c>
      <c r="G173" s="340"/>
    </row>
    <row r="174" spans="3:7" x14ac:dyDescent="0.15">
      <c r="C174" s="504" t="s">
        <v>146</v>
      </c>
      <c r="D174" s="523">
        <f ca="1">ROUND(SUM(F255:H255),-3)</f>
        <v>2023000</v>
      </c>
      <c r="E174" s="523">
        <f ca="1">ROUND(E314,-3)</f>
        <v>4229000</v>
      </c>
      <c r="F174" s="523">
        <f ca="1">ROUND(E367,-3)</f>
        <v>9203000</v>
      </c>
      <c r="G174" s="504"/>
    </row>
    <row r="175" spans="3:7" x14ac:dyDescent="0.15">
      <c r="C175" s="504"/>
      <c r="D175" s="504"/>
      <c r="E175" s="504"/>
      <c r="F175" s="504"/>
      <c r="G175" s="504"/>
    </row>
    <row r="176" spans="3:7" x14ac:dyDescent="0.15">
      <c r="C176" s="766"/>
      <c r="D176" s="766"/>
      <c r="E176" s="504"/>
      <c r="F176" s="15"/>
      <c r="G176" s="504"/>
    </row>
    <row r="177" spans="3:21" x14ac:dyDescent="0.15">
      <c r="C177" s="504"/>
      <c r="D177" s="527"/>
      <c r="E177" s="504"/>
      <c r="F177" s="15"/>
      <c r="G177" s="504"/>
      <c r="H177" s="504"/>
      <c r="I177" s="504"/>
      <c r="J177" s="504"/>
      <c r="K177" s="504"/>
      <c r="L177" s="504"/>
      <c r="M177" s="504"/>
      <c r="N177" s="504"/>
      <c r="O177" s="504"/>
      <c r="P177" s="504"/>
      <c r="Q177" s="504"/>
      <c r="R177" s="504"/>
      <c r="S177" s="504"/>
      <c r="T177" s="504"/>
      <c r="U177" s="504"/>
    </row>
    <row r="178" spans="3:21" x14ac:dyDescent="0.15">
      <c r="C178" s="504"/>
      <c r="D178" s="504"/>
      <c r="E178" s="504"/>
      <c r="F178" s="15"/>
      <c r="G178" s="15"/>
      <c r="H178" s="504"/>
      <c r="I178" s="504"/>
      <c r="J178" s="504"/>
      <c r="K178" s="504"/>
      <c r="L178" s="504"/>
      <c r="M178" s="504"/>
      <c r="N178" s="504"/>
      <c r="O178" s="504"/>
      <c r="P178" s="504"/>
      <c r="Q178" s="504"/>
      <c r="R178" s="504"/>
      <c r="S178" s="504"/>
      <c r="T178" s="504"/>
      <c r="U178" s="504"/>
    </row>
    <row r="179" spans="3:21" x14ac:dyDescent="0.15">
      <c r="C179" s="504"/>
      <c r="D179" s="504"/>
      <c r="E179" s="504"/>
      <c r="F179" s="15"/>
      <c r="G179" s="15"/>
      <c r="H179" s="15"/>
      <c r="I179" s="15"/>
      <c r="J179" s="15"/>
      <c r="K179" s="15"/>
      <c r="L179" s="15"/>
      <c r="M179" s="504"/>
      <c r="N179" s="504"/>
      <c r="O179" s="504"/>
      <c r="P179" s="504"/>
      <c r="Q179" s="504"/>
      <c r="R179" s="504"/>
      <c r="S179" s="504"/>
      <c r="T179" s="504"/>
      <c r="U179" s="504"/>
    </row>
    <row r="180" spans="3:21" x14ac:dyDescent="0.15">
      <c r="C180" s="504"/>
      <c r="D180" s="504"/>
      <c r="E180" s="504"/>
      <c r="F180" s="15"/>
      <c r="G180" s="15"/>
      <c r="H180" s="15"/>
      <c r="I180" s="15"/>
      <c r="J180" s="15"/>
      <c r="K180" s="15"/>
      <c r="L180" s="15"/>
      <c r="M180" s="504"/>
      <c r="N180" s="504"/>
      <c r="O180" s="504"/>
      <c r="P180" s="504"/>
      <c r="Q180" s="504"/>
      <c r="R180" s="504"/>
      <c r="S180" s="504"/>
      <c r="T180" s="504"/>
      <c r="U180" s="504"/>
    </row>
    <row r="181" spans="3:21" x14ac:dyDescent="0.15">
      <c r="C181" s="504"/>
      <c r="D181" s="504"/>
      <c r="E181" s="504"/>
      <c r="F181" s="15"/>
      <c r="G181" s="15"/>
      <c r="H181" s="15"/>
      <c r="I181" s="15"/>
      <c r="J181" s="15"/>
      <c r="K181" s="15"/>
      <c r="L181" s="15"/>
      <c r="M181" s="504"/>
      <c r="N181" s="504"/>
      <c r="O181" s="504"/>
      <c r="P181" s="504"/>
      <c r="Q181" s="504"/>
      <c r="R181" s="504"/>
      <c r="S181" s="504"/>
      <c r="T181" s="504"/>
      <c r="U181" s="504"/>
    </row>
    <row r="182" spans="3:21" x14ac:dyDescent="0.15">
      <c r="C182" s="504"/>
      <c r="D182" s="504"/>
      <c r="E182" s="504"/>
      <c r="F182" s="15"/>
      <c r="G182" s="15"/>
      <c r="H182" s="15"/>
      <c r="I182" s="15"/>
      <c r="J182" s="15"/>
      <c r="K182" s="15"/>
      <c r="L182" s="15"/>
      <c r="M182" s="504"/>
      <c r="N182" s="504"/>
      <c r="O182" s="504"/>
      <c r="P182" s="504"/>
      <c r="Q182" s="504"/>
      <c r="R182" s="504"/>
      <c r="S182" s="504"/>
      <c r="T182" s="504"/>
      <c r="U182" s="504"/>
    </row>
    <row r="183" spans="3:21" x14ac:dyDescent="0.15">
      <c r="C183" s="504"/>
      <c r="D183" s="504"/>
      <c r="E183" s="504"/>
      <c r="F183" s="15"/>
      <c r="G183" s="15"/>
      <c r="H183" s="15"/>
      <c r="I183" s="15"/>
      <c r="J183" s="15"/>
      <c r="K183" s="15"/>
      <c r="L183" s="15"/>
      <c r="M183" s="504"/>
      <c r="N183" s="504"/>
      <c r="O183" s="504"/>
      <c r="P183" s="504"/>
      <c r="Q183" s="504"/>
      <c r="R183" s="504"/>
      <c r="S183" s="504"/>
      <c r="T183" s="504"/>
      <c r="U183" s="504"/>
    </row>
    <row r="184" spans="3:21" x14ac:dyDescent="0.15">
      <c r="C184" s="504"/>
      <c r="D184" s="504"/>
      <c r="E184" s="504"/>
      <c r="F184" s="15"/>
      <c r="G184" s="15"/>
      <c r="H184" s="15"/>
      <c r="I184" s="15"/>
      <c r="J184" s="15"/>
      <c r="K184" s="15"/>
      <c r="L184" s="15"/>
      <c r="M184" s="504"/>
      <c r="N184" s="504"/>
      <c r="O184" s="504"/>
      <c r="P184" s="504"/>
      <c r="Q184" s="504"/>
      <c r="R184" s="504"/>
      <c r="S184" s="504"/>
      <c r="T184" s="504"/>
      <c r="U184" s="504"/>
    </row>
    <row r="185" spans="3:21" x14ac:dyDescent="0.15">
      <c r="C185" s="504"/>
      <c r="D185" s="504"/>
      <c r="E185" s="504"/>
      <c r="F185" s="15"/>
      <c r="G185" s="15"/>
      <c r="H185" s="317"/>
      <c r="I185" s="523"/>
      <c r="J185" s="523"/>
      <c r="K185" s="551"/>
      <c r="L185" s="523"/>
      <c r="M185" s="552"/>
      <c r="N185" s="523"/>
      <c r="O185" s="529"/>
      <c r="P185" s="529"/>
      <c r="Q185" s="15"/>
      <c r="R185" s="15"/>
      <c r="S185" s="15"/>
      <c r="T185" s="15"/>
      <c r="U185" s="15"/>
    </row>
    <row r="186" spans="3:21" x14ac:dyDescent="0.15">
      <c r="C186" s="504"/>
      <c r="D186" s="504"/>
      <c r="E186" s="504"/>
      <c r="F186" s="15"/>
      <c r="G186" s="15"/>
      <c r="H186" s="317"/>
      <c r="I186" s="523"/>
      <c r="J186" s="523"/>
      <c r="K186" s="551"/>
      <c r="L186" s="523"/>
      <c r="M186" s="552"/>
      <c r="N186" s="523"/>
      <c r="O186" s="529"/>
      <c r="P186" s="529"/>
      <c r="Q186" s="15"/>
      <c r="R186" s="15"/>
      <c r="S186" s="15"/>
      <c r="T186" s="15"/>
      <c r="U186" s="15"/>
    </row>
    <row r="187" spans="3:21" x14ac:dyDescent="0.15">
      <c r="C187" s="504"/>
      <c r="D187" s="504"/>
      <c r="E187" s="504"/>
      <c r="F187" s="15"/>
      <c r="G187" s="15"/>
      <c r="H187" s="317"/>
      <c r="I187" s="523"/>
      <c r="J187" s="523"/>
      <c r="K187" s="551"/>
      <c r="L187" s="523"/>
      <c r="M187" s="552"/>
      <c r="N187" s="523"/>
      <c r="O187" s="529"/>
      <c r="P187" s="529"/>
      <c r="Q187" s="15"/>
      <c r="R187" s="15"/>
      <c r="S187" s="15"/>
      <c r="T187" s="15"/>
      <c r="U187" s="15"/>
    </row>
    <row r="188" spans="3:21" x14ac:dyDescent="0.15">
      <c r="C188" s="504"/>
      <c r="D188" s="504"/>
      <c r="E188" s="504"/>
      <c r="F188" s="15"/>
      <c r="G188" s="15"/>
      <c r="H188" s="317"/>
      <c r="I188" s="523"/>
      <c r="J188" s="523"/>
      <c r="K188" s="551"/>
      <c r="L188" s="523"/>
      <c r="M188" s="552"/>
      <c r="N188" s="523"/>
      <c r="O188" s="529"/>
      <c r="P188" s="529"/>
      <c r="Q188" s="15"/>
      <c r="R188" s="15"/>
      <c r="S188" s="15"/>
      <c r="T188" s="15"/>
      <c r="U188" s="15"/>
    </row>
    <row r="189" spans="3:21" x14ac:dyDescent="0.15">
      <c r="C189" s="504"/>
      <c r="D189" s="504"/>
      <c r="E189" s="504"/>
      <c r="F189" s="15"/>
      <c r="G189" s="15"/>
      <c r="H189" s="317"/>
      <c r="I189" s="523"/>
      <c r="J189" s="523"/>
      <c r="K189" s="551"/>
      <c r="L189" s="523"/>
      <c r="M189" s="552"/>
      <c r="N189" s="523"/>
      <c r="O189" s="529"/>
      <c r="P189" s="529"/>
      <c r="Q189" s="15"/>
      <c r="R189" s="15"/>
      <c r="S189" s="15"/>
      <c r="T189" s="15"/>
      <c r="U189" s="15"/>
    </row>
    <row r="190" spans="3:21" ht="17" x14ac:dyDescent="0.2">
      <c r="C190" s="763" t="s">
        <v>275</v>
      </c>
      <c r="D190" s="763"/>
      <c r="E190" s="763"/>
      <c r="F190" s="763"/>
      <c r="G190" s="763"/>
      <c r="H190" s="763"/>
      <c r="I190" s="763"/>
      <c r="J190" s="763"/>
      <c r="K190" s="763"/>
      <c r="L190" s="763"/>
      <c r="M190" s="763"/>
      <c r="N190" s="763"/>
      <c r="O190" s="763"/>
      <c r="P190" s="15"/>
      <c r="Q190" s="504"/>
      <c r="R190" s="504"/>
      <c r="S190" s="504"/>
      <c r="T190" s="504"/>
      <c r="U190" s="504"/>
    </row>
    <row r="191" spans="3:21" x14ac:dyDescent="0.15">
      <c r="C191" s="504"/>
      <c r="D191" s="504"/>
      <c r="E191" s="504"/>
      <c r="F191" s="660" t="s">
        <v>22</v>
      </c>
      <c r="G191" s="660" t="s">
        <v>23</v>
      </c>
      <c r="H191" s="660" t="s">
        <v>24</v>
      </c>
      <c r="I191" s="660" t="s">
        <v>25</v>
      </c>
      <c r="J191" s="660" t="s">
        <v>39</v>
      </c>
      <c r="K191" s="660" t="s">
        <v>40</v>
      </c>
      <c r="L191" s="660" t="s">
        <v>276</v>
      </c>
      <c r="M191" s="660" t="s">
        <v>277</v>
      </c>
      <c r="N191" s="660" t="s">
        <v>278</v>
      </c>
      <c r="O191" s="660" t="s">
        <v>279</v>
      </c>
      <c r="P191" s="292"/>
      <c r="Q191" s="504"/>
      <c r="R191" s="504"/>
      <c r="S191" s="504"/>
      <c r="T191" s="504"/>
      <c r="U191" s="504"/>
    </row>
    <row r="192" spans="3:21" x14ac:dyDescent="0.15">
      <c r="C192" s="504" t="s">
        <v>141</v>
      </c>
      <c r="D192" s="504"/>
      <c r="E192" s="504"/>
      <c r="F192" s="661">
        <f t="shared" ref="F192:O192" ca="1" si="272">F85</f>
        <v>242342.71000000005</v>
      </c>
      <c r="G192" s="661">
        <f t="shared" ca="1" si="272"/>
        <v>564633.96420000016</v>
      </c>
      <c r="H192" s="661">
        <f t="shared" ca="1" si="272"/>
        <v>886702.04348400002</v>
      </c>
      <c r="I192" s="661">
        <f t="shared" ca="1" si="272"/>
        <v>1000347.0203536805</v>
      </c>
      <c r="J192" s="661">
        <f t="shared" ca="1" si="272"/>
        <v>1050105.9634807534</v>
      </c>
      <c r="K192" s="661">
        <f t="shared" ca="1" si="272"/>
        <v>1102092.0993391685</v>
      </c>
      <c r="L192" s="661">
        <f t="shared" ca="1" si="272"/>
        <v>1156399.2523383042</v>
      </c>
      <c r="M192" s="661">
        <f t="shared" ca="1" si="272"/>
        <v>1213125.0945979166</v>
      </c>
      <c r="N192" s="661">
        <f t="shared" ca="1" si="272"/>
        <v>1272371.301751235</v>
      </c>
      <c r="O192" s="661">
        <f t="shared" ca="1" si="272"/>
        <v>1334243.7150180743</v>
      </c>
      <c r="P192" s="13"/>
      <c r="Q192" s="504"/>
      <c r="R192" s="504"/>
      <c r="S192" s="504"/>
      <c r="T192" s="504"/>
      <c r="U192" s="504"/>
    </row>
    <row r="193" spans="3:16" x14ac:dyDescent="0.15">
      <c r="C193" s="504" t="s">
        <v>280</v>
      </c>
      <c r="D193" s="504"/>
      <c r="E193" s="504"/>
      <c r="F193" s="661">
        <f t="shared" ref="F193:O193" si="273">SUM(F105:F108)</f>
        <v>364812</v>
      </c>
      <c r="G193" s="661">
        <f t="shared" ref="G193:L193" si="274">SUM(G106:G108)</f>
        <v>454812</v>
      </c>
      <c r="H193" s="661">
        <f t="shared" si="274"/>
        <v>544812</v>
      </c>
      <c r="I193" s="661">
        <f t="shared" si="274"/>
        <v>562632</v>
      </c>
      <c r="J193" s="661">
        <f t="shared" si="274"/>
        <v>562632</v>
      </c>
      <c r="K193" s="661">
        <f t="shared" si="274"/>
        <v>562632</v>
      </c>
      <c r="L193" s="661">
        <f t="shared" si="274"/>
        <v>562632</v>
      </c>
      <c r="M193" s="661">
        <f t="shared" si="273"/>
        <v>562632</v>
      </c>
      <c r="N193" s="661">
        <f t="shared" si="273"/>
        <v>562632</v>
      </c>
      <c r="O193" s="661">
        <f t="shared" si="273"/>
        <v>562632</v>
      </c>
      <c r="P193" s="15"/>
    </row>
    <row r="194" spans="3:16" x14ac:dyDescent="0.15">
      <c r="C194" s="504"/>
      <c r="D194" s="504"/>
      <c r="E194" s="504"/>
      <c r="F194" s="661"/>
      <c r="G194" s="661"/>
      <c r="H194" s="661"/>
      <c r="I194" s="661"/>
      <c r="J194" s="661"/>
      <c r="K194" s="661"/>
      <c r="L194" s="661"/>
      <c r="M194" s="661"/>
      <c r="N194" s="661"/>
      <c r="O194" s="661"/>
      <c r="P194" s="15"/>
    </row>
    <row r="195" spans="3:16" x14ac:dyDescent="0.15">
      <c r="C195" s="504" t="s">
        <v>281</v>
      </c>
      <c r="D195" s="504"/>
      <c r="E195" s="504"/>
      <c r="F195" s="661"/>
      <c r="G195" s="661"/>
      <c r="H195" s="661">
        <f ca="1">(H192/RefiCap)*(1-Cost_of_Sale)</f>
        <v>13232322.802761231</v>
      </c>
      <c r="I195" s="661"/>
      <c r="J195" s="661"/>
      <c r="K195" s="661"/>
      <c r="L195" s="661"/>
      <c r="M195" s="661"/>
      <c r="N195" s="661"/>
      <c r="O195" s="661"/>
      <c r="P195" s="15"/>
    </row>
    <row r="196" spans="3:16" x14ac:dyDescent="0.15">
      <c r="C196" s="504" t="s">
        <v>282</v>
      </c>
      <c r="D196" s="504"/>
      <c r="E196" s="535">
        <f>-D6</f>
        <v>-10450000</v>
      </c>
      <c r="F196" s="661">
        <f ca="1">SUM(F192:F195)</f>
        <v>607154.71000000008</v>
      </c>
      <c r="G196" s="661">
        <f ca="1">SUM(G192:G195)</f>
        <v>1019445.9642000002</v>
      </c>
      <c r="H196" s="661">
        <f ca="1">SUM(H192:H195)</f>
        <v>14663836.846245231</v>
      </c>
      <c r="I196" s="15"/>
      <c r="J196" s="15"/>
      <c r="K196" s="15"/>
      <c r="L196" s="15"/>
      <c r="M196" s="15"/>
      <c r="N196" s="15"/>
      <c r="O196" s="15"/>
      <c r="P196" s="15"/>
    </row>
    <row r="197" spans="3:16" x14ac:dyDescent="0.15">
      <c r="C197" s="504" t="s">
        <v>283</v>
      </c>
      <c r="D197" s="504"/>
      <c r="E197" s="533">
        <f ca="1">IRR(E196:H196)</f>
        <v>0.16878476575618451</v>
      </c>
      <c r="F197" s="15"/>
      <c r="G197" s="15"/>
      <c r="H197" s="15"/>
      <c r="I197" s="15"/>
      <c r="J197" s="15"/>
      <c r="K197" s="15"/>
      <c r="L197" s="15"/>
      <c r="M197" s="15"/>
      <c r="N197" s="15"/>
      <c r="O197" s="15"/>
      <c r="P197" s="15"/>
    </row>
    <row r="198" spans="3:16" x14ac:dyDescent="0.15">
      <c r="C198" s="504"/>
      <c r="D198" s="504"/>
      <c r="E198" s="543"/>
      <c r="F198" s="15"/>
      <c r="G198" s="15"/>
      <c r="H198" s="15"/>
      <c r="I198" s="15"/>
      <c r="J198" s="15"/>
      <c r="K198" s="15"/>
      <c r="L198" s="15"/>
      <c r="M198" s="15"/>
      <c r="N198" s="15"/>
      <c r="O198" s="15"/>
      <c r="P198" s="15"/>
    </row>
    <row r="199" spans="3:16" x14ac:dyDescent="0.15">
      <c r="C199" s="504"/>
      <c r="D199" s="504"/>
      <c r="E199" s="504"/>
      <c r="F199" s="15"/>
      <c r="G199" s="15"/>
      <c r="H199" s="15"/>
      <c r="I199" s="15"/>
      <c r="J199" s="15"/>
      <c r="K199" s="15"/>
      <c r="L199" s="15"/>
      <c r="M199" s="15"/>
      <c r="N199" s="15"/>
      <c r="O199" s="15"/>
      <c r="P199" s="15"/>
    </row>
    <row r="200" spans="3:16" x14ac:dyDescent="0.15">
      <c r="C200" s="504" t="s">
        <v>284</v>
      </c>
      <c r="D200" s="504"/>
      <c r="E200" s="504"/>
      <c r="F200" s="15"/>
      <c r="G200" s="15"/>
      <c r="H200" s="15"/>
      <c r="I200" s="15"/>
      <c r="J200" s="339">
        <f ca="1">(J192/RefiCap)*(1-Cost_of_Sale)</f>
        <v>15670812.070405088</v>
      </c>
      <c r="K200" s="15"/>
      <c r="L200" s="15"/>
      <c r="M200" s="15"/>
      <c r="N200" s="15"/>
      <c r="O200" s="15"/>
      <c r="P200" s="15"/>
    </row>
    <row r="201" spans="3:16" x14ac:dyDescent="0.15">
      <c r="C201" s="504" t="s">
        <v>285</v>
      </c>
      <c r="D201" s="504"/>
      <c r="E201" s="542">
        <f>E196</f>
        <v>-10450000</v>
      </c>
      <c r="F201" s="13">
        <f ca="1">SUM(F192:F193,F200)</f>
        <v>607154.71000000008</v>
      </c>
      <c r="G201" s="13">
        <f ca="1">SUM(G192:G193,G200)</f>
        <v>1019445.9642000002</v>
      </c>
      <c r="H201" s="13">
        <f ca="1">SUM(H192:H193,H200)</f>
        <v>1431514.043484</v>
      </c>
      <c r="I201" s="13">
        <f ca="1">SUM(I192:I193,I200)</f>
        <v>1562979.0203536805</v>
      </c>
      <c r="J201" s="13">
        <f ca="1">SUM(J192:J193,J200)</f>
        <v>17283550.03388584</v>
      </c>
      <c r="K201" s="15"/>
      <c r="L201" s="15"/>
      <c r="M201" s="15"/>
      <c r="N201" s="15"/>
      <c r="O201" s="15"/>
      <c r="P201" s="15"/>
    </row>
    <row r="202" spans="3:16" x14ac:dyDescent="0.15">
      <c r="C202" s="504" t="s">
        <v>286</v>
      </c>
      <c r="D202" s="504"/>
      <c r="E202" s="533">
        <f ca="1">IRR(E201:J201)</f>
        <v>0.18074980781239947</v>
      </c>
      <c r="F202" s="15"/>
      <c r="G202" s="15"/>
      <c r="H202" s="15"/>
      <c r="I202" s="15"/>
      <c r="J202" s="15"/>
      <c r="K202" s="15"/>
      <c r="L202" s="316"/>
      <c r="M202" s="15"/>
      <c r="N202" s="15"/>
      <c r="O202" s="15"/>
      <c r="P202" s="15"/>
    </row>
    <row r="203" spans="3:16" x14ac:dyDescent="0.15">
      <c r="C203" s="504"/>
      <c r="D203" s="504"/>
      <c r="E203" s="533"/>
      <c r="F203" s="15"/>
      <c r="G203" s="15"/>
      <c r="H203" s="15"/>
      <c r="I203" s="15"/>
      <c r="J203" s="15"/>
      <c r="K203" s="15"/>
      <c r="L203" s="316"/>
      <c r="M203" s="15"/>
      <c r="N203" s="15"/>
      <c r="O203" s="15"/>
      <c r="P203" s="15"/>
    </row>
    <row r="204" spans="3:16" x14ac:dyDescent="0.15">
      <c r="C204" s="504"/>
      <c r="D204" s="504"/>
      <c r="E204" s="504"/>
      <c r="F204" s="15"/>
      <c r="G204" s="15"/>
      <c r="H204" s="15"/>
      <c r="I204" s="15"/>
      <c r="J204" s="15"/>
      <c r="K204" s="15"/>
      <c r="L204" s="15"/>
      <c r="M204" s="15"/>
      <c r="N204" s="15"/>
      <c r="O204" s="15"/>
      <c r="P204" s="15"/>
    </row>
    <row r="205" spans="3:16" x14ac:dyDescent="0.15">
      <c r="C205" s="504" t="s">
        <v>287</v>
      </c>
      <c r="D205" s="504"/>
      <c r="E205" s="504"/>
      <c r="F205" s="15"/>
      <c r="G205" s="15"/>
      <c r="H205" s="15"/>
      <c r="I205" s="15"/>
      <c r="J205" s="13"/>
      <c r="K205" s="15"/>
      <c r="L205" s="15"/>
      <c r="M205" s="15"/>
      <c r="N205" s="15"/>
      <c r="O205" s="339">
        <f ca="1">(O192/RefiCap)*(1-Cost_of_Sale)</f>
        <v>19911021.593346648</v>
      </c>
      <c r="P205" s="15"/>
    </row>
    <row r="206" spans="3:16" x14ac:dyDescent="0.15">
      <c r="C206" s="504" t="s">
        <v>288</v>
      </c>
      <c r="D206" s="504"/>
      <c r="E206" s="542">
        <f>E201</f>
        <v>-10450000</v>
      </c>
      <c r="F206" s="13">
        <f t="shared" ref="F206:O206" ca="1" si="275">SUM(F192:F193,F205)</f>
        <v>607154.71000000008</v>
      </c>
      <c r="G206" s="13">
        <f t="shared" ca="1" si="275"/>
        <v>1019445.9642000002</v>
      </c>
      <c r="H206" s="13">
        <f t="shared" ca="1" si="275"/>
        <v>1431514.043484</v>
      </c>
      <c r="I206" s="13">
        <f t="shared" ca="1" si="275"/>
        <v>1562979.0203536805</v>
      </c>
      <c r="J206" s="13">
        <f t="shared" ca="1" si="275"/>
        <v>1612737.9634807534</v>
      </c>
      <c r="K206" s="13">
        <f t="shared" ca="1" si="275"/>
        <v>1664724.0993391685</v>
      </c>
      <c r="L206" s="13">
        <f t="shared" ca="1" si="275"/>
        <v>1719031.2523383042</v>
      </c>
      <c r="M206" s="13">
        <f t="shared" ca="1" si="275"/>
        <v>1775757.0945979166</v>
      </c>
      <c r="N206" s="13">
        <f t="shared" ca="1" si="275"/>
        <v>1835003.301751235</v>
      </c>
      <c r="O206" s="13">
        <f t="shared" ca="1" si="275"/>
        <v>21807897.308364723</v>
      </c>
      <c r="P206" s="15"/>
    </row>
    <row r="207" spans="3:16" x14ac:dyDescent="0.15">
      <c r="C207" s="504" t="s">
        <v>289</v>
      </c>
      <c r="D207" s="504"/>
      <c r="E207" s="533">
        <f ca="1">IRR(E206:O206)</f>
        <v>0.16980916700487114</v>
      </c>
      <c r="F207" s="15"/>
      <c r="G207" s="15"/>
      <c r="H207" s="15"/>
      <c r="I207" s="15"/>
      <c r="J207" s="15"/>
      <c r="K207" s="15"/>
      <c r="L207" s="15"/>
      <c r="M207" s="15"/>
      <c r="N207" s="15"/>
      <c r="O207" s="15"/>
      <c r="P207" s="15"/>
    </row>
    <row r="208" spans="3:16" x14ac:dyDescent="0.15">
      <c r="C208" s="504"/>
      <c r="D208" s="504"/>
      <c r="E208" s="504"/>
      <c r="F208" s="15"/>
      <c r="G208" s="15"/>
      <c r="H208" s="15"/>
      <c r="I208" s="15"/>
      <c r="J208" s="15"/>
      <c r="K208" s="15"/>
      <c r="L208" s="15"/>
      <c r="M208" s="15"/>
      <c r="N208" s="15"/>
      <c r="O208" s="15"/>
      <c r="P208" s="15"/>
    </row>
    <row r="209" spans="3:21" x14ac:dyDescent="0.15">
      <c r="C209" s="504"/>
      <c r="D209" s="504"/>
      <c r="E209" s="504"/>
      <c r="F209" s="15"/>
      <c r="G209" s="15"/>
      <c r="H209" s="15"/>
      <c r="I209" s="15"/>
      <c r="J209" s="15"/>
      <c r="K209" s="15"/>
      <c r="L209" s="15"/>
      <c r="M209" s="15"/>
      <c r="N209" s="15"/>
      <c r="O209" s="15"/>
      <c r="P209" s="15"/>
      <c r="Q209" s="504"/>
      <c r="R209" s="504"/>
      <c r="S209" s="504"/>
      <c r="T209" s="504"/>
      <c r="U209" s="504"/>
    </row>
    <row r="210" spans="3:21" x14ac:dyDescent="0.15">
      <c r="C210" s="504"/>
      <c r="D210" s="504"/>
      <c r="E210" s="504"/>
      <c r="F210" s="15"/>
      <c r="G210" s="15"/>
      <c r="H210" s="15"/>
      <c r="I210" s="15"/>
      <c r="J210" s="15"/>
      <c r="K210" s="15"/>
      <c r="L210" s="15"/>
      <c r="M210" s="15"/>
      <c r="N210" s="15"/>
      <c r="O210" s="15"/>
      <c r="P210" s="15"/>
      <c r="Q210" s="504"/>
      <c r="R210" s="504"/>
      <c r="S210" s="504"/>
      <c r="T210" s="504"/>
      <c r="U210" s="504"/>
    </row>
    <row r="211" spans="3:21" ht="16" x14ac:dyDescent="0.2">
      <c r="C211" s="762" t="s">
        <v>290</v>
      </c>
      <c r="D211" s="762"/>
      <c r="E211" s="762"/>
      <c r="F211" s="762"/>
      <c r="G211" s="762"/>
      <c r="H211" s="762"/>
      <c r="I211" s="15"/>
      <c r="J211" s="15"/>
      <c r="K211" s="15"/>
      <c r="L211" s="15"/>
      <c r="M211" s="15"/>
      <c r="N211" s="15"/>
      <c r="O211" s="15"/>
      <c r="P211" s="15"/>
      <c r="Q211" s="504"/>
      <c r="R211" s="504"/>
      <c r="S211" s="504"/>
      <c r="T211" s="504"/>
      <c r="U211" s="504"/>
    </row>
    <row r="212" spans="3:21" ht="15" x14ac:dyDescent="0.2">
      <c r="C212" s="304"/>
      <c r="D212" s="304"/>
      <c r="E212" s="304"/>
      <c r="F212" s="660" t="s">
        <v>22</v>
      </c>
      <c r="G212" s="660" t="s">
        <v>23</v>
      </c>
      <c r="H212" s="660" t="s">
        <v>24</v>
      </c>
      <c r="I212" s="305"/>
      <c r="J212" s="305"/>
      <c r="K212" s="305"/>
      <c r="L212" s="305"/>
      <c r="M212" s="305"/>
      <c r="N212" s="305"/>
      <c r="O212" s="305"/>
      <c r="P212" s="305"/>
      <c r="Q212" s="504"/>
      <c r="R212" s="504"/>
      <c r="S212" s="504"/>
      <c r="T212" s="504"/>
      <c r="U212" s="504"/>
    </row>
    <row r="213" spans="3:21" x14ac:dyDescent="0.15">
      <c r="C213" s="504" t="s">
        <v>141</v>
      </c>
      <c r="D213" s="504"/>
      <c r="E213" s="504"/>
      <c r="F213" s="661">
        <f ca="1">+F192</f>
        <v>242342.71000000005</v>
      </c>
      <c r="G213" s="661">
        <f ca="1">+G192</f>
        <v>564633.96420000016</v>
      </c>
      <c r="H213" s="661">
        <f ca="1">+H192</f>
        <v>886702.04348400002</v>
      </c>
      <c r="I213" s="15"/>
      <c r="J213" s="15"/>
      <c r="K213" s="15"/>
      <c r="L213" s="15"/>
      <c r="M213" s="15"/>
      <c r="N213" s="15"/>
      <c r="O213" s="15"/>
      <c r="P213" s="15"/>
      <c r="Q213" s="504"/>
      <c r="R213" s="504"/>
      <c r="S213" s="504"/>
      <c r="T213" s="504"/>
      <c r="U213" s="504"/>
    </row>
    <row r="214" spans="3:21" x14ac:dyDescent="0.15">
      <c r="C214" s="504"/>
      <c r="D214" s="504"/>
      <c r="E214" s="504"/>
      <c r="F214" s="15"/>
      <c r="G214" s="15"/>
      <c r="H214" s="15"/>
      <c r="I214" s="15"/>
      <c r="J214" s="15"/>
      <c r="K214" s="15"/>
      <c r="L214" s="15"/>
      <c r="M214" s="15"/>
      <c r="N214" s="15"/>
      <c r="O214" s="15"/>
      <c r="P214" s="15"/>
      <c r="Q214" s="504"/>
      <c r="R214" s="504"/>
      <c r="S214" s="504"/>
      <c r="T214" s="504"/>
      <c r="U214" s="504"/>
    </row>
    <row r="215" spans="3:21" x14ac:dyDescent="0.15">
      <c r="C215" s="11" t="str">
        <f t="shared" ref="C215:C221" si="276">+C91</f>
        <v>Debt service</v>
      </c>
      <c r="D215" s="504"/>
      <c r="E215" s="504"/>
      <c r="F215" s="15"/>
      <c r="G215" s="15"/>
      <c r="H215" s="15"/>
      <c r="I215" s="15"/>
      <c r="J215" s="15"/>
      <c r="K215" s="15"/>
      <c r="L215" s="15"/>
      <c r="M215" s="15"/>
      <c r="N215" s="15"/>
      <c r="O215" s="15"/>
      <c r="P215" s="15"/>
      <c r="Q215" s="504"/>
      <c r="R215" s="504"/>
      <c r="S215" s="504"/>
      <c r="T215" s="504"/>
      <c r="U215" s="504"/>
    </row>
    <row r="216" spans="3:21" x14ac:dyDescent="0.15">
      <c r="C216" s="32" t="str">
        <f t="shared" si="276"/>
        <v>Additional debt/Refinance</v>
      </c>
      <c r="D216" s="504"/>
      <c r="E216" s="504"/>
      <c r="F216" s="535">
        <f t="shared" ref="F216:H221" si="277">+F92</f>
        <v>5400000</v>
      </c>
      <c r="G216" s="535">
        <f t="shared" si="277"/>
        <v>5400000</v>
      </c>
      <c r="H216" s="535">
        <f t="shared" si="277"/>
        <v>5400000</v>
      </c>
      <c r="I216" s="15"/>
      <c r="J216" s="15"/>
      <c r="K216" s="15"/>
      <c r="L216" s="15"/>
      <c r="M216" s="15"/>
      <c r="N216" s="15"/>
      <c r="O216" s="15"/>
      <c r="P216" s="15"/>
      <c r="Q216" s="504"/>
      <c r="R216" s="504"/>
      <c r="S216" s="504"/>
      <c r="T216" s="504"/>
      <c r="U216" s="504"/>
    </row>
    <row r="217" spans="3:21" x14ac:dyDescent="0.15">
      <c r="C217" s="507" t="str">
        <f t="shared" si="276"/>
        <v>Additional debt/Refinance</v>
      </c>
      <c r="D217" s="504"/>
      <c r="E217" s="504"/>
      <c r="F217" s="535">
        <f t="shared" si="277"/>
        <v>0</v>
      </c>
      <c r="G217" s="535">
        <f t="shared" si="277"/>
        <v>0</v>
      </c>
      <c r="H217" s="535">
        <f t="shared" si="277"/>
        <v>0</v>
      </c>
      <c r="I217" s="15"/>
      <c r="J217" s="15"/>
      <c r="K217" s="15"/>
      <c r="L217" s="15"/>
      <c r="M217" s="15"/>
      <c r="N217" s="15"/>
      <c r="O217" s="15"/>
      <c r="P217" s="15"/>
      <c r="Q217" s="504"/>
      <c r="R217" s="504"/>
      <c r="S217" s="504"/>
      <c r="T217" s="504"/>
      <c r="U217" s="504"/>
    </row>
    <row r="218" spans="3:21" x14ac:dyDescent="0.15">
      <c r="C218" s="32" t="str">
        <f t="shared" si="276"/>
        <v>Payment</v>
      </c>
      <c r="D218" s="504"/>
      <c r="E218" s="504"/>
      <c r="F218" s="535">
        <f t="shared" si="277"/>
        <v>352831.5</v>
      </c>
      <c r="G218" s="535">
        <f t="shared" si="277"/>
        <v>352831.5</v>
      </c>
      <c r="H218" s="535">
        <f t="shared" si="277"/>
        <v>411026.53150842432</v>
      </c>
      <c r="I218" s="15"/>
      <c r="J218" s="15"/>
      <c r="K218" s="15"/>
      <c r="L218" s="15"/>
      <c r="M218" s="15"/>
      <c r="N218" s="15"/>
      <c r="O218" s="15"/>
      <c r="P218" s="15"/>
      <c r="Q218" s="504"/>
      <c r="R218" s="504"/>
      <c r="S218" s="504"/>
      <c r="T218" s="504"/>
      <c r="U218" s="504"/>
    </row>
    <row r="219" spans="3:21" x14ac:dyDescent="0.15">
      <c r="C219" s="32" t="str">
        <f t="shared" si="276"/>
        <v>Principal</v>
      </c>
      <c r="D219" s="504"/>
      <c r="E219" s="504"/>
      <c r="F219" s="535">
        <f t="shared" si="277"/>
        <v>0</v>
      </c>
      <c r="G219" s="535">
        <f t="shared" si="277"/>
        <v>0</v>
      </c>
      <c r="H219" s="535">
        <f t="shared" si="277"/>
        <v>58195.031508424319</v>
      </c>
      <c r="I219" s="15"/>
      <c r="J219" s="15"/>
      <c r="K219" s="15"/>
      <c r="L219" s="15"/>
      <c r="M219" s="15"/>
      <c r="N219" s="15"/>
      <c r="O219" s="15"/>
      <c r="P219" s="15"/>
      <c r="Q219" s="504"/>
      <c r="R219" s="504"/>
      <c r="S219" s="504"/>
      <c r="T219" s="504"/>
      <c r="U219" s="504"/>
    </row>
    <row r="220" spans="3:21" x14ac:dyDescent="0.15">
      <c r="C220" s="32" t="str">
        <f t="shared" si="276"/>
        <v>Interest</v>
      </c>
      <c r="D220" s="504"/>
      <c r="E220" s="504"/>
      <c r="F220" s="535">
        <f t="shared" si="277"/>
        <v>352831.5</v>
      </c>
      <c r="G220" s="535">
        <f t="shared" si="277"/>
        <v>352831.5</v>
      </c>
      <c r="H220" s="535">
        <f t="shared" si="277"/>
        <v>352831.5</v>
      </c>
      <c r="I220" s="15"/>
      <c r="J220" s="15"/>
      <c r="K220" s="15"/>
      <c r="L220" s="15"/>
      <c r="M220" s="15"/>
      <c r="N220" s="15"/>
      <c r="O220" s="15"/>
      <c r="P220" s="15"/>
      <c r="Q220" s="504"/>
      <c r="R220" s="504"/>
      <c r="S220" s="504"/>
      <c r="T220" s="504"/>
      <c r="U220" s="504"/>
    </row>
    <row r="221" spans="3:21" x14ac:dyDescent="0.15">
      <c r="C221" s="32" t="str">
        <f t="shared" si="276"/>
        <v>Ending balance</v>
      </c>
      <c r="D221" s="504"/>
      <c r="E221" s="504"/>
      <c r="F221" s="535">
        <f t="shared" si="277"/>
        <v>5400000</v>
      </c>
      <c r="G221" s="535">
        <f t="shared" si="277"/>
        <v>5400000</v>
      </c>
      <c r="H221" s="535">
        <f t="shared" si="277"/>
        <v>5341804.9684915757</v>
      </c>
      <c r="I221" s="15"/>
      <c r="J221" s="15"/>
      <c r="K221" s="15"/>
      <c r="L221" s="15"/>
      <c r="M221" s="15"/>
      <c r="N221" s="15"/>
      <c r="O221" s="15"/>
      <c r="P221" s="15"/>
      <c r="Q221" s="504"/>
      <c r="R221" s="504"/>
      <c r="S221" s="504"/>
      <c r="T221" s="504"/>
      <c r="U221" s="504"/>
    </row>
    <row r="222" spans="3:21" x14ac:dyDescent="0.15">
      <c r="C222" s="504"/>
      <c r="D222" s="504"/>
      <c r="E222" s="504"/>
      <c r="F222" s="542"/>
      <c r="G222" s="542"/>
      <c r="H222" s="542"/>
      <c r="I222" s="15"/>
      <c r="J222" s="15"/>
      <c r="K222" s="15"/>
      <c r="L222" s="15"/>
      <c r="M222" s="15"/>
      <c r="N222" s="15"/>
      <c r="O222" s="15"/>
      <c r="P222" s="15"/>
      <c r="Q222" s="504"/>
      <c r="R222" s="504"/>
      <c r="S222" s="504"/>
      <c r="T222" s="504"/>
      <c r="U222" s="504"/>
    </row>
    <row r="223" spans="3:21" x14ac:dyDescent="0.15">
      <c r="C223" s="269"/>
      <c r="D223" s="504"/>
      <c r="E223" s="504"/>
      <c r="F223" s="542"/>
      <c r="G223" s="542"/>
      <c r="H223" s="542"/>
      <c r="I223" s="15"/>
      <c r="J223" s="15"/>
      <c r="K223" s="15"/>
      <c r="L223" s="15"/>
      <c r="M223" s="15"/>
      <c r="N223" s="15"/>
      <c r="O223" s="15"/>
      <c r="P223" s="15"/>
      <c r="Q223" s="504"/>
      <c r="R223" s="504"/>
      <c r="S223" s="504"/>
      <c r="T223" s="504"/>
      <c r="U223" s="504"/>
    </row>
    <row r="224" spans="3:21" x14ac:dyDescent="0.15">
      <c r="C224" s="504"/>
      <c r="D224" s="504"/>
      <c r="E224" s="504"/>
      <c r="F224" s="542">
        <f t="shared" ref="F224:H225" si="278">+F101</f>
        <v>0</v>
      </c>
      <c r="G224" s="542">
        <f t="shared" si="278"/>
        <v>0</v>
      </c>
      <c r="H224" s="542">
        <f t="shared" si="278"/>
        <v>0</v>
      </c>
      <c r="I224" s="15"/>
      <c r="J224" s="15"/>
      <c r="K224" s="15"/>
      <c r="L224" s="15"/>
      <c r="M224" s="15"/>
      <c r="N224" s="15"/>
      <c r="O224" s="15"/>
      <c r="P224" s="15"/>
      <c r="Q224" s="504"/>
      <c r="R224" s="504"/>
      <c r="S224" s="504"/>
      <c r="T224" s="504"/>
      <c r="U224" s="504"/>
    </row>
    <row r="225" spans="3:28" x14ac:dyDescent="0.15">
      <c r="C225" s="662" t="s">
        <v>291</v>
      </c>
      <c r="D225" s="504"/>
      <c r="E225" s="535"/>
      <c r="F225" s="535">
        <f t="shared" ca="1" si="278"/>
        <v>3728349.3846153854</v>
      </c>
      <c r="G225" s="535">
        <f t="shared" ca="1" si="278"/>
        <v>8686676.3723076936</v>
      </c>
      <c r="H225" s="535">
        <f t="shared" ca="1" si="278"/>
        <v>13641569.899753846</v>
      </c>
      <c r="I225" s="15"/>
      <c r="J225" s="15"/>
      <c r="K225" s="15"/>
      <c r="L225" s="15"/>
      <c r="M225" s="15"/>
      <c r="N225" s="15"/>
      <c r="O225" s="15"/>
      <c r="P225" s="15"/>
      <c r="Q225" s="504"/>
      <c r="R225" s="504"/>
      <c r="S225" s="504"/>
      <c r="T225" s="504"/>
      <c r="U225" s="504"/>
      <c r="V225" s="504"/>
      <c r="W225" s="504"/>
      <c r="X225" s="504"/>
      <c r="Y225" s="504"/>
      <c r="Z225" s="504"/>
      <c r="AA225" s="504"/>
      <c r="AB225" s="504"/>
    </row>
    <row r="226" spans="3:28" x14ac:dyDescent="0.15">
      <c r="C226" s="35"/>
      <c r="D226" s="504"/>
      <c r="E226" s="535"/>
      <c r="F226" s="535"/>
      <c r="G226" s="535"/>
      <c r="H226" s="535"/>
      <c r="I226" s="15"/>
      <c r="J226" s="15"/>
      <c r="K226" s="15"/>
      <c r="L226" s="15"/>
      <c r="M226" s="15"/>
      <c r="N226" s="15"/>
      <c r="O226" s="15"/>
      <c r="P226" s="15"/>
      <c r="Q226" s="504"/>
      <c r="R226" s="504"/>
      <c r="S226" s="504"/>
      <c r="T226" s="504"/>
      <c r="U226" s="504"/>
      <c r="V226" s="504"/>
      <c r="W226" s="504"/>
      <c r="X226" s="504"/>
      <c r="Y226" s="504"/>
      <c r="Z226" s="504"/>
      <c r="AA226" s="504"/>
      <c r="AB226" s="504"/>
    </row>
    <row r="227" spans="3:28" x14ac:dyDescent="0.15">
      <c r="C227" s="507" t="str">
        <f>+C104</f>
        <v>Net Cash Flow after Debt Service</v>
      </c>
      <c r="D227" s="504"/>
      <c r="E227" s="535"/>
      <c r="F227" s="535">
        <f t="shared" ref="F227:H231" ca="1" si="279">+F104</f>
        <v>-110488.78999999995</v>
      </c>
      <c r="G227" s="535">
        <f t="shared" ca="1" si="279"/>
        <v>211802.46420000016</v>
      </c>
      <c r="H227" s="535">
        <f t="shared" ca="1" si="279"/>
        <v>475675.5119755757</v>
      </c>
      <c r="I227" s="15"/>
      <c r="J227" s="15"/>
      <c r="K227" s="15"/>
      <c r="L227" s="15"/>
      <c r="M227" s="15"/>
      <c r="N227" s="15"/>
      <c r="O227" s="15"/>
      <c r="P227" s="15"/>
      <c r="Q227" s="504"/>
      <c r="R227" s="504"/>
      <c r="S227" s="504"/>
      <c r="T227" s="504"/>
      <c r="U227" s="504"/>
      <c r="V227" s="504"/>
      <c r="W227" s="504"/>
      <c r="X227" s="504"/>
      <c r="Y227" s="504"/>
      <c r="Z227" s="504"/>
      <c r="AA227" s="504"/>
      <c r="AB227" s="504"/>
    </row>
    <row r="228" spans="3:28" x14ac:dyDescent="0.15">
      <c r="C228" s="507" t="str">
        <f>+C105</f>
        <v>Cash from Sale of POH</v>
      </c>
      <c r="D228" s="504"/>
      <c r="E228" s="535"/>
      <c r="F228" s="535">
        <f t="shared" si="279"/>
        <v>0</v>
      </c>
      <c r="G228" s="535">
        <f>+G107</f>
        <v>0</v>
      </c>
      <c r="H228" s="535">
        <f>+H107</f>
        <v>0</v>
      </c>
      <c r="I228" s="15"/>
      <c r="J228" s="15"/>
      <c r="K228" s="15"/>
      <c r="L228" s="15"/>
      <c r="M228" s="15"/>
      <c r="N228" s="15"/>
      <c r="O228" s="15"/>
      <c r="P228" s="15"/>
      <c r="Q228" s="504"/>
      <c r="R228" s="504"/>
      <c r="S228" s="504"/>
      <c r="T228" s="504"/>
      <c r="U228" s="504"/>
      <c r="V228" s="504"/>
      <c r="W228" s="504"/>
      <c r="X228" s="504"/>
      <c r="Y228" s="504"/>
      <c r="Z228" s="504"/>
      <c r="AA228" s="504"/>
      <c r="AB228" s="504"/>
    </row>
    <row r="229" spans="3:28" x14ac:dyDescent="0.15">
      <c r="C229" s="507" t="str">
        <f>+C106</f>
        <v>Net Operating Cash Flow From POH</v>
      </c>
      <c r="D229" s="504"/>
      <c r="E229" s="535"/>
      <c r="F229" s="535">
        <f t="shared" si="279"/>
        <v>364812</v>
      </c>
      <c r="G229" s="535">
        <f t="shared" si="279"/>
        <v>454812</v>
      </c>
      <c r="H229" s="535">
        <f t="shared" si="279"/>
        <v>544812</v>
      </c>
      <c r="I229" s="15"/>
      <c r="J229" s="15"/>
      <c r="K229" s="15"/>
      <c r="L229" s="15"/>
      <c r="M229" s="15"/>
      <c r="N229" s="15"/>
      <c r="O229" s="15"/>
      <c r="P229" s="15"/>
      <c r="Q229" s="504"/>
      <c r="R229" s="504"/>
      <c r="S229" s="504"/>
      <c r="T229" s="504"/>
      <c r="U229" s="504"/>
      <c r="V229" s="504"/>
      <c r="W229" s="504"/>
      <c r="X229" s="504"/>
      <c r="Y229" s="504"/>
      <c r="Z229" s="504"/>
      <c r="AA229" s="504"/>
      <c r="AB229" s="504"/>
    </row>
    <row r="230" spans="3:28" x14ac:dyDescent="0.15">
      <c r="C230" s="507" t="str">
        <f>+C107</f>
        <v>Income from rehabbin and filling vacant POH</v>
      </c>
      <c r="D230" s="504"/>
      <c r="E230" s="535"/>
      <c r="F230" s="535">
        <f t="shared" si="279"/>
        <v>0</v>
      </c>
      <c r="G230" s="535">
        <f t="shared" si="279"/>
        <v>0</v>
      </c>
      <c r="H230" s="535">
        <f t="shared" si="279"/>
        <v>0</v>
      </c>
      <c r="I230" s="15"/>
      <c r="J230" s="15"/>
      <c r="K230" s="15"/>
      <c r="L230" s="15"/>
      <c r="M230" s="15"/>
      <c r="N230" s="15"/>
      <c r="O230" s="15"/>
      <c r="P230" s="15"/>
      <c r="Q230" s="504"/>
      <c r="R230" s="504"/>
      <c r="S230" s="504"/>
      <c r="T230" s="504"/>
      <c r="U230" s="504"/>
      <c r="V230" s="504"/>
      <c r="W230" s="504"/>
      <c r="X230" s="504"/>
      <c r="Y230" s="504"/>
      <c r="Z230" s="504"/>
      <c r="AA230" s="504"/>
      <c r="AB230" s="504"/>
    </row>
    <row r="231" spans="3:28" x14ac:dyDescent="0.15">
      <c r="C231" s="507" t="str">
        <f>+C108</f>
        <v>POH Seller Carry Note</v>
      </c>
      <c r="D231" s="504"/>
      <c r="E231" s="535"/>
      <c r="F231" s="535">
        <f t="shared" si="279"/>
        <v>0</v>
      </c>
      <c r="G231" s="535">
        <f t="shared" ref="G231:H231" si="280">+G108</f>
        <v>0</v>
      </c>
      <c r="H231" s="535">
        <f t="shared" si="280"/>
        <v>0</v>
      </c>
      <c r="I231" s="15"/>
      <c r="J231" s="15"/>
      <c r="K231" s="15"/>
      <c r="L231" s="15"/>
      <c r="M231" s="15"/>
      <c r="N231" s="15"/>
      <c r="O231" s="15"/>
      <c r="P231" s="15"/>
      <c r="Q231" s="15"/>
      <c r="R231" s="15"/>
      <c r="S231" s="15"/>
      <c r="T231" s="15"/>
      <c r="U231" s="15"/>
      <c r="V231" s="504"/>
      <c r="W231" s="504"/>
      <c r="X231" s="504"/>
      <c r="Y231" s="504"/>
      <c r="Z231" s="504"/>
      <c r="AA231" s="504"/>
      <c r="AB231" s="504"/>
    </row>
    <row r="232" spans="3:28" x14ac:dyDescent="0.15">
      <c r="C232" s="507" t="str">
        <f t="shared" ref="C232:C235" si="281">+C109</f>
        <v>Acquisition Fee</v>
      </c>
      <c r="D232" s="504"/>
      <c r="E232" s="535"/>
      <c r="F232" s="535">
        <f t="shared" ref="F232" si="282">+F109</f>
        <v>0</v>
      </c>
      <c r="G232" s="535">
        <f t="shared" ref="G232:H232" si="283">+G109</f>
        <v>0</v>
      </c>
      <c r="H232" s="535">
        <f t="shared" si="283"/>
        <v>0</v>
      </c>
      <c r="I232" s="15"/>
      <c r="J232" s="15"/>
      <c r="K232" s="15"/>
      <c r="L232" s="15"/>
      <c r="M232" s="15"/>
      <c r="N232" s="15"/>
      <c r="O232" s="15"/>
      <c r="P232" s="15"/>
      <c r="Q232" s="15"/>
      <c r="R232" s="15"/>
      <c r="S232" s="15"/>
      <c r="T232" s="15"/>
      <c r="U232" s="15"/>
      <c r="V232" s="504"/>
      <c r="W232" s="504"/>
      <c r="X232" s="504"/>
      <c r="Y232" s="504"/>
      <c r="Z232" s="504"/>
      <c r="AA232" s="504"/>
      <c r="AB232" s="504"/>
    </row>
    <row r="233" spans="3:28" x14ac:dyDescent="0.15">
      <c r="C233" s="507" t="str">
        <f t="shared" si="281"/>
        <v>Asset Management Fee</v>
      </c>
      <c r="D233" s="504"/>
      <c r="E233" s="535"/>
      <c r="F233" s="535">
        <f t="shared" ref="F233" si="284">+F110</f>
        <v>0</v>
      </c>
      <c r="G233" s="535">
        <f t="shared" ref="G233:H233" si="285">+G110</f>
        <v>0</v>
      </c>
      <c r="H233" s="535">
        <f t="shared" si="285"/>
        <v>0</v>
      </c>
      <c r="I233" s="15"/>
      <c r="J233" s="15"/>
      <c r="K233" s="15"/>
      <c r="L233" s="15"/>
      <c r="M233" s="15"/>
      <c r="N233" s="15"/>
      <c r="O233" s="15"/>
      <c r="P233" s="15"/>
      <c r="Q233" s="15"/>
      <c r="R233" s="15"/>
      <c r="S233" s="15"/>
      <c r="T233" s="15"/>
      <c r="U233" s="15"/>
      <c r="V233" s="504"/>
      <c r="W233" s="504"/>
      <c r="X233" s="504"/>
      <c r="Y233" s="504"/>
      <c r="Z233" s="504"/>
      <c r="AA233" s="504"/>
      <c r="AB233" s="504"/>
    </row>
    <row r="234" spans="3:28" x14ac:dyDescent="0.15">
      <c r="C234" s="507" t="str">
        <f t="shared" si="281"/>
        <v>Refinance Fee</v>
      </c>
      <c r="D234" s="504"/>
      <c r="E234" s="535"/>
      <c r="F234" s="535">
        <f t="shared" ref="F234" si="286">+F111</f>
        <v>0</v>
      </c>
      <c r="G234" s="535">
        <f t="shared" ref="G234:H234" si="287">+G111</f>
        <v>0</v>
      </c>
      <c r="H234" s="535">
        <f t="shared" si="287"/>
        <v>0</v>
      </c>
      <c r="I234" s="15"/>
      <c r="J234" s="15"/>
      <c r="K234" s="15"/>
      <c r="L234" s="15"/>
      <c r="M234" s="15"/>
      <c r="N234" s="15"/>
      <c r="O234" s="15"/>
      <c r="P234" s="15"/>
      <c r="Q234" s="15"/>
      <c r="R234" s="15"/>
      <c r="S234" s="15"/>
      <c r="T234" s="15"/>
      <c r="U234" s="15"/>
      <c r="V234" s="504"/>
      <c r="W234" s="504"/>
      <c r="X234" s="504"/>
      <c r="Y234" s="504"/>
      <c r="Z234" s="504"/>
      <c r="AA234" s="504"/>
      <c r="AB234" s="504"/>
    </row>
    <row r="235" spans="3:28" x14ac:dyDescent="0.15">
      <c r="C235" s="507" t="str">
        <f t="shared" si="281"/>
        <v>Disposition Fee</v>
      </c>
      <c r="D235" s="504"/>
      <c r="E235" s="535"/>
      <c r="F235" s="535">
        <f t="shared" ref="F235" si="288">+F112</f>
        <v>0</v>
      </c>
      <c r="G235" s="535">
        <f t="shared" ref="G235:H235" si="289">+G112</f>
        <v>0</v>
      </c>
      <c r="H235" s="535">
        <f t="shared" si="289"/>
        <v>0</v>
      </c>
      <c r="I235" s="15"/>
      <c r="J235" s="15"/>
      <c r="K235" s="15"/>
      <c r="L235" s="15"/>
      <c r="M235" s="15"/>
      <c r="N235" s="15"/>
      <c r="O235" s="15"/>
      <c r="P235" s="15"/>
      <c r="Q235" s="15"/>
      <c r="R235" s="15"/>
      <c r="S235" s="15"/>
      <c r="T235" s="15"/>
      <c r="U235" s="15"/>
      <c r="V235" s="504"/>
      <c r="W235" s="504"/>
      <c r="X235" s="504"/>
      <c r="Y235" s="504"/>
      <c r="Z235" s="504"/>
      <c r="AA235" s="504"/>
      <c r="AB235" s="504"/>
    </row>
    <row r="236" spans="3:28" x14ac:dyDescent="0.15">
      <c r="C236" s="507" t="str">
        <f>+C113</f>
        <v>Return of Capital (other)</v>
      </c>
      <c r="D236" s="504"/>
      <c r="E236" s="535"/>
      <c r="F236" s="535">
        <f>+F113</f>
        <v>0</v>
      </c>
      <c r="G236" s="535">
        <f>+G113</f>
        <v>0</v>
      </c>
      <c r="H236" s="535">
        <f>+H113</f>
        <v>0</v>
      </c>
      <c r="I236" s="15"/>
      <c r="J236" s="15"/>
      <c r="K236" s="15"/>
      <c r="L236" s="15"/>
      <c r="M236" s="15"/>
      <c r="N236" s="15"/>
      <c r="O236" s="15"/>
      <c r="P236" s="15"/>
      <c r="Q236" s="15"/>
      <c r="R236" s="15"/>
      <c r="S236" s="15"/>
      <c r="T236" s="15"/>
      <c r="U236" s="15"/>
      <c r="V236" s="504"/>
      <c r="W236" s="504"/>
      <c r="X236" s="504"/>
      <c r="Y236" s="504"/>
      <c r="Z236" s="504"/>
      <c r="AA236" s="504"/>
      <c r="AB236" s="504"/>
    </row>
    <row r="237" spans="3:28" x14ac:dyDescent="0.15">
      <c r="C237" s="507" t="str">
        <f>+C114</f>
        <v>Sale Proceeds at Exit</v>
      </c>
      <c r="D237" s="504"/>
      <c r="E237" s="535"/>
      <c r="F237" s="535">
        <f>+F114</f>
        <v>0</v>
      </c>
      <c r="G237" s="535">
        <f>+G114</f>
        <v>0</v>
      </c>
      <c r="H237" s="535">
        <f ca="1">+(H213/RefiCap)*(1-Cost_of_Sale)</f>
        <v>13232322.802761231</v>
      </c>
      <c r="I237" s="15"/>
      <c r="J237" s="15"/>
      <c r="K237" s="15"/>
      <c r="L237" s="15"/>
      <c r="M237" s="15"/>
      <c r="N237" s="15"/>
      <c r="O237" s="15"/>
      <c r="P237" s="15"/>
      <c r="Q237" s="15"/>
      <c r="R237" s="15"/>
      <c r="S237" s="15"/>
      <c r="T237" s="15"/>
      <c r="U237" s="15"/>
      <c r="V237" s="504"/>
      <c r="W237" s="504"/>
      <c r="X237" s="504"/>
      <c r="Y237" s="504"/>
      <c r="Z237" s="504"/>
      <c r="AA237" s="504"/>
      <c r="AB237" s="504"/>
    </row>
    <row r="238" spans="3:28" x14ac:dyDescent="0.15">
      <c r="C238" s="507" t="s">
        <v>292</v>
      </c>
      <c r="D238" s="504"/>
      <c r="E238" s="535"/>
      <c r="F238" s="535"/>
      <c r="G238" s="535"/>
      <c r="H238" s="535">
        <f>-H221</f>
        <v>-5341804.9684915757</v>
      </c>
      <c r="I238" s="15"/>
      <c r="J238" s="15"/>
      <c r="K238" s="15"/>
      <c r="L238" s="15"/>
      <c r="M238" s="15"/>
      <c r="N238" s="15"/>
      <c r="O238" s="15"/>
      <c r="P238" s="15"/>
      <c r="Q238" s="15"/>
      <c r="R238" s="15"/>
      <c r="S238" s="15"/>
      <c r="T238" s="15"/>
      <c r="U238" s="15"/>
      <c r="V238" s="504"/>
      <c r="W238" s="504"/>
      <c r="X238" s="504"/>
      <c r="Y238" s="504"/>
      <c r="Z238" s="504"/>
      <c r="AA238" s="504"/>
      <c r="AB238" s="504"/>
    </row>
    <row r="239" spans="3:28" ht="14" thickBot="1" x14ac:dyDescent="0.2">
      <c r="C239" s="579" t="str">
        <f>+C115</f>
        <v>Pretax Income Available for Distribution</v>
      </c>
      <c r="D239" s="504"/>
      <c r="E239" s="535">
        <f>+E115</f>
        <v>-5050000</v>
      </c>
      <c r="F239" s="535">
        <f ca="1">SUM(F227:F238)</f>
        <v>254323.21000000005</v>
      </c>
      <c r="G239" s="535">
        <f ca="1">SUM(G227:G238)</f>
        <v>666614.46420000016</v>
      </c>
      <c r="H239" s="535">
        <f ca="1">SUM(H227:H238)</f>
        <v>8911005.3462452292</v>
      </c>
      <c r="I239" s="15"/>
      <c r="J239" s="15"/>
      <c r="K239" s="15"/>
      <c r="L239" s="15"/>
      <c r="M239" s="15"/>
      <c r="N239" s="15"/>
      <c r="O239" s="15"/>
      <c r="P239" s="15"/>
      <c r="Q239" s="15"/>
      <c r="R239" s="15"/>
      <c r="S239" s="15"/>
      <c r="T239" s="15"/>
      <c r="U239" s="15"/>
      <c r="V239" s="504"/>
      <c r="W239" s="504"/>
      <c r="X239" s="504"/>
      <c r="Y239" s="504"/>
      <c r="Z239" s="504"/>
      <c r="AA239" s="504"/>
      <c r="AB239" s="504"/>
    </row>
    <row r="240" spans="3:28" ht="14" thickTop="1" x14ac:dyDescent="0.15">
      <c r="C240" s="504"/>
      <c r="D240" s="504"/>
      <c r="E240" s="504"/>
      <c r="F240" s="15"/>
      <c r="G240" s="15"/>
      <c r="H240" s="15"/>
      <c r="I240" s="15"/>
      <c r="J240" s="15"/>
      <c r="K240" s="15"/>
      <c r="L240" s="15"/>
      <c r="M240" s="15"/>
      <c r="N240" s="15"/>
      <c r="O240" s="15"/>
      <c r="P240" s="15"/>
      <c r="Q240" s="15"/>
      <c r="R240" s="15"/>
      <c r="S240" s="15"/>
      <c r="T240" s="15"/>
      <c r="U240" s="15"/>
      <c r="V240" s="15"/>
      <c r="W240" s="15"/>
      <c r="X240" s="15"/>
      <c r="Y240" s="15"/>
      <c r="Z240" s="15"/>
      <c r="AA240" s="15"/>
      <c r="AB240" s="15"/>
    </row>
    <row r="241" spans="3:28" x14ac:dyDescent="0.15">
      <c r="C241" s="504" t="s">
        <v>293</v>
      </c>
      <c r="D241" s="504"/>
      <c r="E241" s="533">
        <f ca="1">IRR(E239:H239)</f>
        <v>0.26231716698615859</v>
      </c>
      <c r="F241" s="15"/>
      <c r="G241" s="15"/>
      <c r="H241" s="15"/>
      <c r="I241" s="15"/>
      <c r="J241" s="15"/>
      <c r="K241" s="15"/>
      <c r="L241" s="15"/>
      <c r="M241" s="15"/>
      <c r="N241" s="15"/>
      <c r="O241" s="15"/>
      <c r="P241" s="15"/>
      <c r="Q241" s="15"/>
      <c r="R241" s="15"/>
      <c r="S241" s="15"/>
      <c r="T241" s="15"/>
      <c r="U241" s="15"/>
      <c r="V241" s="15"/>
      <c r="W241" s="15"/>
      <c r="X241" s="15"/>
      <c r="Y241" s="15"/>
      <c r="Z241" s="15"/>
      <c r="AA241" s="15"/>
      <c r="AB241" s="15"/>
    </row>
    <row r="242" spans="3:28" x14ac:dyDescent="0.15">
      <c r="C242" s="504"/>
      <c r="D242" s="504"/>
      <c r="E242" s="504"/>
      <c r="F242" s="15"/>
      <c r="G242" s="15"/>
      <c r="H242" s="15"/>
      <c r="I242" s="15"/>
      <c r="J242" s="15"/>
      <c r="K242" s="15"/>
      <c r="L242" s="15"/>
      <c r="M242" s="15"/>
      <c r="N242" s="15"/>
      <c r="O242" s="15"/>
      <c r="P242" s="15"/>
      <c r="Q242" s="15"/>
      <c r="R242" s="15"/>
      <c r="S242" s="15"/>
      <c r="T242" s="15"/>
      <c r="U242" s="15"/>
      <c r="V242" s="15"/>
      <c r="W242" s="15"/>
      <c r="X242" s="15"/>
      <c r="Y242" s="15"/>
      <c r="Z242" s="15"/>
      <c r="AA242" s="15"/>
      <c r="AB242" s="15"/>
    </row>
    <row r="243" spans="3:28" x14ac:dyDescent="0.15">
      <c r="C243" s="11" t="str">
        <f t="shared" ref="C243:C248" si="290">+C119</f>
        <v>Distributions</v>
      </c>
      <c r="D243" s="504"/>
      <c r="E243" s="504"/>
      <c r="F243" s="13"/>
      <c r="G243" s="15"/>
      <c r="H243" s="15"/>
      <c r="I243" s="15"/>
      <c r="J243" s="15"/>
      <c r="K243" s="15"/>
      <c r="L243" s="15"/>
      <c r="M243" s="15"/>
      <c r="N243" s="15"/>
      <c r="O243" s="15"/>
      <c r="P243" s="15"/>
      <c r="Q243" s="15"/>
      <c r="R243" s="15"/>
      <c r="S243" s="15"/>
      <c r="T243" s="15"/>
      <c r="U243" s="15"/>
      <c r="V243" s="15"/>
      <c r="W243" s="15"/>
      <c r="X243" s="15"/>
      <c r="Y243" s="15"/>
      <c r="Z243" s="15"/>
      <c r="AA243" s="15"/>
      <c r="AB243" s="15"/>
    </row>
    <row r="244" spans="3:28" x14ac:dyDescent="0.15">
      <c r="C244" s="507" t="str">
        <f t="shared" si="290"/>
        <v>Investor Preferred Return</v>
      </c>
      <c r="D244" s="504"/>
      <c r="E244" s="504"/>
      <c r="F244" s="13"/>
      <c r="G244" s="15"/>
      <c r="H244" s="15"/>
      <c r="I244" s="15"/>
      <c r="J244" s="15"/>
      <c r="K244" s="15"/>
      <c r="L244" s="15"/>
      <c r="M244" s="15"/>
      <c r="N244" s="15"/>
      <c r="O244" s="15"/>
      <c r="P244" s="15"/>
      <c r="Q244" s="15"/>
      <c r="R244" s="15"/>
      <c r="S244" s="15"/>
      <c r="T244" s="15"/>
      <c r="U244" s="15"/>
      <c r="V244" s="15"/>
      <c r="W244" s="15"/>
      <c r="X244" s="15"/>
      <c r="Y244" s="15"/>
      <c r="Z244" s="15"/>
      <c r="AA244" s="15"/>
      <c r="AB244" s="15"/>
    </row>
    <row r="245" spans="3:28" x14ac:dyDescent="0.15">
      <c r="C245" s="23" t="str">
        <f t="shared" si="290"/>
        <v>Beginning balance</v>
      </c>
      <c r="D245" s="504"/>
      <c r="E245" s="535"/>
      <c r="F245" s="661">
        <f>+F121</f>
        <v>5050000</v>
      </c>
      <c r="G245" s="661">
        <f ca="1">+G121</f>
        <v>5048176.79</v>
      </c>
      <c r="H245" s="661">
        <f ca="1">+H121</f>
        <v>4633971.1652999995</v>
      </c>
      <c r="I245" s="15"/>
      <c r="J245" s="15"/>
      <c r="K245" s="15"/>
      <c r="L245" s="15"/>
      <c r="M245" s="15"/>
      <c r="N245" s="15"/>
      <c r="O245" s="15"/>
      <c r="P245" s="15"/>
      <c r="Q245" s="15"/>
      <c r="R245" s="15"/>
      <c r="S245" s="15"/>
      <c r="T245" s="15"/>
      <c r="U245" s="15"/>
      <c r="V245" s="15"/>
      <c r="W245" s="15"/>
      <c r="X245" s="15"/>
      <c r="Y245" s="15"/>
      <c r="Z245" s="15"/>
      <c r="AA245" s="15"/>
      <c r="AB245" s="15"/>
    </row>
    <row r="246" spans="3:28" x14ac:dyDescent="0.15">
      <c r="C246" s="23" t="str">
        <f t="shared" si="290"/>
        <v>Preferred return</v>
      </c>
      <c r="D246" s="504"/>
      <c r="E246" s="535"/>
      <c r="F246" s="661">
        <f>+F245*InvestorPref</f>
        <v>252500</v>
      </c>
      <c r="G246" s="661">
        <f ca="1">+G245*InvestorPref</f>
        <v>252408.8395</v>
      </c>
      <c r="H246" s="661">
        <f ca="1">+H245*InvestorPref</f>
        <v>231698.558265</v>
      </c>
      <c r="I246" s="15"/>
      <c r="J246" s="15"/>
      <c r="K246" s="15"/>
      <c r="L246" s="15"/>
      <c r="M246" s="15"/>
      <c r="N246" s="15"/>
      <c r="O246" s="15"/>
      <c r="P246" s="15"/>
      <c r="Q246" s="15"/>
      <c r="R246" s="15"/>
      <c r="S246" s="15"/>
      <c r="T246" s="15"/>
      <c r="U246" s="15"/>
      <c r="V246" s="15"/>
      <c r="W246" s="15"/>
      <c r="X246" s="15"/>
      <c r="Y246" s="15"/>
      <c r="Z246" s="15"/>
      <c r="AA246" s="15"/>
      <c r="AB246" s="15"/>
    </row>
    <row r="247" spans="3:28" x14ac:dyDescent="0.15">
      <c r="C247" s="23" t="str">
        <f t="shared" si="290"/>
        <v>Payment</v>
      </c>
      <c r="D247" s="504"/>
      <c r="E247" s="535"/>
      <c r="F247" s="661">
        <f ca="1">MAX(-F245-F246,-F239)</f>
        <v>-254323.21000000005</v>
      </c>
      <c r="G247" s="661">
        <f t="shared" ref="G247:H247" ca="1" si="291">MAX(-G245-G246,-G239)</f>
        <v>-666614.46420000016</v>
      </c>
      <c r="H247" s="661">
        <f t="shared" ca="1" si="291"/>
        <v>-4865669.7235649992</v>
      </c>
      <c r="I247" s="15"/>
      <c r="J247" s="15"/>
      <c r="K247" s="15"/>
      <c r="L247" s="15"/>
      <c r="M247" s="15"/>
      <c r="N247" s="15"/>
      <c r="O247" s="15"/>
      <c r="P247" s="15"/>
      <c r="Q247" s="15"/>
      <c r="R247" s="15"/>
      <c r="S247" s="15"/>
      <c r="T247" s="15"/>
      <c r="U247" s="15"/>
      <c r="V247" s="15"/>
      <c r="W247" s="15"/>
      <c r="X247" s="15"/>
      <c r="Y247" s="15"/>
      <c r="Z247" s="15"/>
      <c r="AA247" s="15"/>
      <c r="AB247" s="15"/>
    </row>
    <row r="248" spans="3:28" x14ac:dyDescent="0.15">
      <c r="C248" s="23" t="str">
        <f t="shared" si="290"/>
        <v>Ending balance</v>
      </c>
      <c r="D248" s="504"/>
      <c r="E248" s="535"/>
      <c r="F248" s="720">
        <f ca="1">SUM(F245:F247)</f>
        <v>5048176.79</v>
      </c>
      <c r="G248" s="720">
        <f t="shared" ref="G248:H248" ca="1" si="292">SUM(G245:G247)</f>
        <v>4633971.1652999995</v>
      </c>
      <c r="H248" s="720">
        <f t="shared" ca="1" si="292"/>
        <v>0</v>
      </c>
      <c r="I248" s="15"/>
      <c r="J248" s="15"/>
      <c r="K248" s="15"/>
      <c r="L248" s="15"/>
      <c r="M248" s="15"/>
      <c r="N248" s="15"/>
      <c r="O248" s="15"/>
      <c r="P248" s="15"/>
      <c r="Q248" s="15"/>
      <c r="R248" s="15"/>
      <c r="S248" s="15"/>
      <c r="T248" s="15"/>
      <c r="U248" s="15"/>
      <c r="V248" s="15"/>
      <c r="W248" s="15"/>
      <c r="X248" s="15"/>
      <c r="Y248" s="15"/>
      <c r="Z248" s="15"/>
      <c r="AA248" s="15"/>
      <c r="AB248" s="15"/>
    </row>
    <row r="249" spans="3:28" x14ac:dyDescent="0.15">
      <c r="C249" s="507" t="s">
        <v>294</v>
      </c>
      <c r="D249" s="504"/>
      <c r="E249" s="535"/>
      <c r="F249" s="661">
        <f ca="1">+F239+F247</f>
        <v>0</v>
      </c>
      <c r="G249" s="661">
        <f t="shared" ref="G249:H249" ca="1" si="293">+G239+G247</f>
        <v>0</v>
      </c>
      <c r="H249" s="661">
        <f t="shared" ca="1" si="293"/>
        <v>4045335.6226802301</v>
      </c>
      <c r="I249" s="15"/>
      <c r="J249" s="15"/>
      <c r="K249" s="15"/>
      <c r="L249" s="15"/>
      <c r="M249" s="15"/>
      <c r="N249" s="15"/>
      <c r="O249" s="15"/>
      <c r="P249" s="15"/>
      <c r="Q249" s="15"/>
      <c r="R249" s="15"/>
      <c r="S249" s="15"/>
      <c r="T249" s="15"/>
      <c r="U249" s="15"/>
      <c r="V249" s="15"/>
      <c r="W249" s="15"/>
      <c r="X249" s="15"/>
      <c r="Y249" s="15"/>
      <c r="Z249" s="15"/>
      <c r="AA249" s="15"/>
      <c r="AB249" s="15"/>
    </row>
    <row r="250" spans="3:28" x14ac:dyDescent="0.15">
      <c r="C250" s="41" t="str">
        <f t="shared" ref="C250:C256" si="294">+C126</f>
        <v>Split</v>
      </c>
      <c r="D250" s="504"/>
      <c r="E250" s="535"/>
      <c r="F250" s="661"/>
      <c r="G250" s="661"/>
      <c r="H250" s="661"/>
      <c r="I250" s="15"/>
      <c r="J250" s="15"/>
      <c r="K250" s="15"/>
      <c r="L250" s="15"/>
      <c r="M250" s="15"/>
      <c r="N250" s="15"/>
      <c r="O250" s="15"/>
      <c r="P250" s="15"/>
      <c r="Q250" s="15"/>
      <c r="R250" s="15"/>
      <c r="S250" s="15"/>
      <c r="T250" s="15"/>
      <c r="U250" s="15"/>
      <c r="V250" s="15"/>
      <c r="W250" s="15"/>
      <c r="X250" s="15"/>
      <c r="Y250" s="15"/>
      <c r="Z250" s="15"/>
      <c r="AA250" s="15"/>
      <c r="AB250" s="15"/>
    </row>
    <row r="251" spans="3:28" x14ac:dyDescent="0.15">
      <c r="C251" s="541" t="str">
        <f t="shared" si="294"/>
        <v>Investor</v>
      </c>
      <c r="D251" s="504"/>
      <c r="E251" s="535"/>
      <c r="F251" s="661">
        <f ca="1">+F249*InvestorPromote</f>
        <v>0</v>
      </c>
      <c r="G251" s="661">
        <f ca="1">+G249*InvestorPromote</f>
        <v>0</v>
      </c>
      <c r="H251" s="661">
        <f ca="1">+H249*InvestorPromote</f>
        <v>2022667.811340115</v>
      </c>
      <c r="I251" s="15"/>
      <c r="J251" s="15"/>
      <c r="K251" s="15"/>
      <c r="L251" s="15"/>
      <c r="M251" s="15"/>
      <c r="N251" s="15"/>
      <c r="O251" s="15"/>
      <c r="P251" s="15"/>
      <c r="Q251" s="15"/>
      <c r="R251" s="15"/>
      <c r="S251" s="15"/>
      <c r="T251" s="15"/>
      <c r="U251" s="15"/>
      <c r="V251" s="15"/>
      <c r="W251" s="15"/>
      <c r="X251" s="15"/>
      <c r="Y251" s="15"/>
      <c r="Z251" s="15"/>
      <c r="AA251" s="15"/>
      <c r="AB251" s="15"/>
    </row>
    <row r="252" spans="3:28" x14ac:dyDescent="0.15">
      <c r="C252" s="541" t="str">
        <f t="shared" si="294"/>
        <v>BVG</v>
      </c>
      <c r="D252" s="504"/>
      <c r="E252" s="535"/>
      <c r="F252" s="661">
        <f ca="1">+F249*BVGPromote</f>
        <v>0</v>
      </c>
      <c r="G252" s="661">
        <f ca="1">+G249*BVGPromote</f>
        <v>0</v>
      </c>
      <c r="H252" s="661">
        <f ca="1">+H249*BVGPromote</f>
        <v>2022667.811340115</v>
      </c>
      <c r="I252" s="15"/>
      <c r="J252" s="15"/>
      <c r="K252" s="15"/>
      <c r="L252" s="15"/>
      <c r="M252" s="15"/>
      <c r="N252" s="15"/>
      <c r="O252" s="15"/>
      <c r="P252" s="15"/>
      <c r="Q252" s="15"/>
      <c r="R252" s="15"/>
      <c r="S252" s="15"/>
      <c r="T252" s="15"/>
      <c r="U252" s="15"/>
      <c r="V252" s="15"/>
      <c r="W252" s="15"/>
      <c r="X252" s="15"/>
      <c r="Y252" s="15"/>
      <c r="Z252" s="15"/>
      <c r="AA252" s="15"/>
      <c r="AB252" s="15"/>
    </row>
    <row r="253" spans="3:28" x14ac:dyDescent="0.15">
      <c r="C253" s="41" t="str">
        <f t="shared" si="294"/>
        <v>Total</v>
      </c>
      <c r="D253" s="504"/>
      <c r="E253" s="535"/>
      <c r="F253" s="661"/>
      <c r="G253" s="661"/>
      <c r="H253" s="661"/>
      <c r="I253" s="15"/>
      <c r="J253" s="15"/>
      <c r="K253" s="15"/>
      <c r="L253" s="15"/>
      <c r="M253" s="15"/>
      <c r="N253" s="15"/>
      <c r="O253" s="15"/>
      <c r="P253" s="15"/>
      <c r="Q253" s="15"/>
      <c r="R253" s="15"/>
      <c r="S253" s="15"/>
      <c r="T253" s="15"/>
      <c r="U253" s="15"/>
      <c r="V253" s="15"/>
      <c r="W253" s="15"/>
      <c r="X253" s="15"/>
      <c r="Y253" s="15"/>
      <c r="Z253" s="15"/>
      <c r="AA253" s="15"/>
      <c r="AB253" s="15"/>
    </row>
    <row r="254" spans="3:28" x14ac:dyDescent="0.15">
      <c r="C254" s="541" t="str">
        <f t="shared" si="294"/>
        <v>Investor</v>
      </c>
      <c r="D254" s="504"/>
      <c r="E254" s="535"/>
      <c r="F254" s="661">
        <f ca="1">-F247+F251</f>
        <v>254323.21000000005</v>
      </c>
      <c r="G254" s="661">
        <f t="shared" ref="G254:H254" ca="1" si="295">-G247+G251</f>
        <v>666614.46420000016</v>
      </c>
      <c r="H254" s="661">
        <f t="shared" ca="1" si="295"/>
        <v>6888337.5349051142</v>
      </c>
      <c r="I254" s="15"/>
      <c r="J254" s="15"/>
      <c r="K254" s="15"/>
      <c r="L254" s="15"/>
      <c r="M254" s="15"/>
      <c r="N254" s="15"/>
      <c r="O254" s="15"/>
      <c r="P254" s="15"/>
      <c r="Q254" s="15"/>
      <c r="R254" s="15"/>
      <c r="S254" s="15"/>
      <c r="T254" s="15"/>
      <c r="U254" s="15"/>
      <c r="V254" s="15"/>
      <c r="W254" s="15"/>
      <c r="X254" s="15"/>
      <c r="Y254" s="15"/>
      <c r="Z254" s="15"/>
      <c r="AA254" s="15"/>
      <c r="AB254" s="15"/>
    </row>
    <row r="255" spans="3:28" x14ac:dyDescent="0.15">
      <c r="C255" s="541" t="str">
        <f t="shared" si="294"/>
        <v>BVG</v>
      </c>
      <c r="D255" s="504"/>
      <c r="E255" s="535"/>
      <c r="F255" s="661">
        <f ca="1">+F252</f>
        <v>0</v>
      </c>
      <c r="G255" s="661">
        <f t="shared" ref="G255:H255" ca="1" si="296">+G252</f>
        <v>0</v>
      </c>
      <c r="H255" s="661">
        <f t="shared" ca="1" si="296"/>
        <v>2022667.811340115</v>
      </c>
      <c r="I255" s="15"/>
      <c r="J255" s="15"/>
      <c r="K255" s="15"/>
      <c r="L255" s="15"/>
      <c r="M255" s="15"/>
      <c r="N255" s="15"/>
      <c r="O255" s="15"/>
      <c r="P255" s="15"/>
      <c r="Q255" s="15"/>
      <c r="R255" s="15"/>
      <c r="S255" s="15"/>
      <c r="T255" s="15"/>
      <c r="U255" s="15"/>
      <c r="V255" s="15"/>
      <c r="W255" s="15"/>
      <c r="X255" s="15"/>
      <c r="Y255" s="15"/>
      <c r="Z255" s="15"/>
      <c r="AA255" s="15"/>
      <c r="AB255" s="15"/>
    </row>
    <row r="256" spans="3:28" x14ac:dyDescent="0.15">
      <c r="C256" s="41" t="str">
        <f t="shared" si="294"/>
        <v>Total Project Cash Flow</v>
      </c>
      <c r="D256" s="504"/>
      <c r="E256" s="586">
        <f>E239</f>
        <v>-5050000</v>
      </c>
      <c r="F256" s="663">
        <f ca="1">+F254</f>
        <v>254323.21000000005</v>
      </c>
      <c r="G256" s="663">
        <f t="shared" ref="G256:H256" ca="1" si="297">+G254</f>
        <v>666614.46420000016</v>
      </c>
      <c r="H256" s="663">
        <f t="shared" ca="1" si="297"/>
        <v>6888337.5349051142</v>
      </c>
      <c r="I256" s="15"/>
      <c r="J256" s="15"/>
      <c r="K256" s="15"/>
      <c r="L256" s="15"/>
      <c r="M256" s="15"/>
      <c r="N256" s="15"/>
      <c r="O256" s="15"/>
      <c r="P256" s="15"/>
      <c r="Q256" s="15"/>
      <c r="R256" s="15"/>
      <c r="S256" s="15"/>
      <c r="T256" s="15"/>
      <c r="U256" s="15"/>
      <c r="V256" s="15"/>
      <c r="W256" s="15"/>
      <c r="X256" s="15"/>
      <c r="Y256" s="15"/>
      <c r="Z256" s="15"/>
      <c r="AA256" s="15"/>
      <c r="AB256" s="15"/>
    </row>
    <row r="257" spans="3:28" x14ac:dyDescent="0.15">
      <c r="C257" s="278"/>
      <c r="D257" s="504"/>
      <c r="E257" s="504"/>
      <c r="F257" s="15"/>
      <c r="G257" s="15"/>
      <c r="H257" s="15"/>
      <c r="I257" s="15"/>
      <c r="J257" s="15"/>
      <c r="K257" s="15"/>
      <c r="L257" s="15"/>
      <c r="M257" s="15"/>
      <c r="N257" s="15"/>
      <c r="O257" s="15"/>
      <c r="P257" s="15"/>
      <c r="Q257" s="15"/>
      <c r="R257" s="15"/>
      <c r="S257" s="15"/>
      <c r="T257" s="15"/>
      <c r="U257" s="15"/>
      <c r="V257" s="15"/>
      <c r="W257" s="15"/>
      <c r="X257" s="15"/>
      <c r="Y257" s="15"/>
      <c r="Z257" s="15"/>
      <c r="AA257" s="15"/>
      <c r="AB257" s="15"/>
    </row>
    <row r="258" spans="3:28" x14ac:dyDescent="0.15">
      <c r="C258" s="11" t="s">
        <v>295</v>
      </c>
      <c r="D258" s="504"/>
      <c r="E258" s="533">
        <f ca="1">IRR(E256:H256)</f>
        <v>0.16630517937820666</v>
      </c>
      <c r="F258" s="15"/>
      <c r="G258" s="15"/>
      <c r="H258" s="15"/>
      <c r="I258" s="15"/>
      <c r="J258" s="15"/>
      <c r="K258" s="15"/>
      <c r="L258" s="15"/>
      <c r="M258" s="15"/>
      <c r="N258" s="15"/>
      <c r="O258" s="15"/>
      <c r="P258" s="15"/>
      <c r="Q258" s="15"/>
      <c r="R258" s="15"/>
      <c r="S258" s="15"/>
      <c r="T258" s="15"/>
      <c r="U258" s="15"/>
      <c r="V258" s="15"/>
      <c r="W258" s="15"/>
      <c r="X258" s="15"/>
      <c r="Y258" s="15"/>
      <c r="Z258" s="15"/>
      <c r="AA258" s="15"/>
      <c r="AB258" s="15"/>
    </row>
    <row r="259" spans="3:28" x14ac:dyDescent="0.15">
      <c r="C259" s="504" t="s">
        <v>273</v>
      </c>
      <c r="D259" s="504"/>
      <c r="E259" s="553">
        <f ca="1">SUM(F256:H256)/-E256</f>
        <v>1.5463911305158642</v>
      </c>
      <c r="F259" s="15"/>
      <c r="G259" s="15"/>
      <c r="H259" s="15"/>
      <c r="I259" s="15"/>
      <c r="J259" s="15"/>
      <c r="K259" s="15"/>
      <c r="L259" s="15"/>
      <c r="M259" s="15"/>
      <c r="N259" s="15"/>
      <c r="O259" s="15"/>
      <c r="P259" s="15"/>
      <c r="Q259" s="15"/>
      <c r="R259" s="15"/>
      <c r="S259" s="15"/>
      <c r="T259" s="15"/>
      <c r="U259" s="15"/>
      <c r="V259" s="15"/>
      <c r="W259" s="15"/>
      <c r="X259" s="15"/>
      <c r="Y259" s="15"/>
      <c r="Z259" s="15"/>
      <c r="AA259" s="15"/>
      <c r="AB259" s="15"/>
    </row>
    <row r="260" spans="3:28" x14ac:dyDescent="0.15">
      <c r="C260" s="504" t="s">
        <v>296</v>
      </c>
      <c r="D260" s="504"/>
      <c r="E260" s="535">
        <f ca="1">SUM(F256:H256)</f>
        <v>7809275.2091051145</v>
      </c>
      <c r="F260" s="15"/>
      <c r="G260" s="15"/>
      <c r="H260" s="15"/>
      <c r="I260" s="15"/>
      <c r="J260" s="15"/>
      <c r="K260" s="15"/>
      <c r="L260" s="15"/>
      <c r="M260" s="15"/>
      <c r="N260" s="15"/>
      <c r="O260" s="15"/>
      <c r="P260" s="15"/>
      <c r="Q260" s="15"/>
      <c r="R260" s="15"/>
      <c r="S260" s="15"/>
      <c r="T260" s="15"/>
      <c r="U260" s="15"/>
      <c r="V260" s="15"/>
      <c r="W260" s="15"/>
      <c r="X260" s="15"/>
      <c r="Y260" s="15"/>
      <c r="Z260" s="15"/>
      <c r="AA260" s="15"/>
      <c r="AB260" s="15"/>
    </row>
    <row r="261" spans="3:28" x14ac:dyDescent="0.15">
      <c r="C261" s="504"/>
      <c r="D261" s="504"/>
      <c r="E261" s="504"/>
      <c r="F261" s="15"/>
      <c r="G261" s="15"/>
      <c r="H261" s="15"/>
      <c r="I261" s="15"/>
      <c r="J261" s="15"/>
      <c r="K261" s="15"/>
      <c r="L261" s="15"/>
      <c r="M261" s="15"/>
      <c r="N261" s="15"/>
      <c r="O261" s="15"/>
      <c r="P261" s="15"/>
      <c r="Q261" s="15"/>
      <c r="R261" s="15"/>
      <c r="S261" s="15"/>
      <c r="T261" s="15"/>
      <c r="U261" s="15"/>
      <c r="V261" s="15"/>
      <c r="W261" s="15"/>
      <c r="X261" s="15"/>
      <c r="Y261" s="15"/>
      <c r="Z261" s="15"/>
      <c r="AA261" s="15"/>
      <c r="AB261" s="15"/>
    </row>
    <row r="262" spans="3:28" x14ac:dyDescent="0.15">
      <c r="C262" s="504"/>
      <c r="D262" s="504"/>
      <c r="E262" s="504"/>
      <c r="F262" s="15"/>
      <c r="G262" s="15"/>
      <c r="H262" s="15"/>
      <c r="I262" s="15"/>
      <c r="J262" s="15"/>
      <c r="K262" s="15"/>
      <c r="L262" s="15"/>
      <c r="M262" s="15"/>
      <c r="N262" s="15"/>
      <c r="O262" s="15"/>
      <c r="P262" s="15"/>
      <c r="Q262" s="15"/>
      <c r="R262" s="15"/>
      <c r="S262" s="15"/>
      <c r="T262" s="15"/>
      <c r="U262" s="15"/>
      <c r="V262" s="15"/>
      <c r="W262" s="15"/>
      <c r="X262" s="15"/>
      <c r="Y262" s="15"/>
      <c r="Z262" s="15"/>
      <c r="AA262" s="15"/>
      <c r="AB262" s="15"/>
    </row>
    <row r="264" spans="3:28" ht="16" x14ac:dyDescent="0.2">
      <c r="C264" s="762" t="s">
        <v>297</v>
      </c>
      <c r="D264" s="762"/>
      <c r="E264" s="762"/>
      <c r="F264" s="762"/>
      <c r="G264" s="762"/>
      <c r="H264" s="762"/>
      <c r="I264" s="762"/>
      <c r="J264" s="762"/>
      <c r="K264" s="15"/>
      <c r="L264" s="15"/>
      <c r="M264" s="15"/>
      <c r="N264" s="15"/>
      <c r="O264" s="15"/>
      <c r="P264" s="15"/>
      <c r="Q264" s="15"/>
      <c r="R264" s="15"/>
      <c r="S264" s="15"/>
      <c r="T264" s="15"/>
      <c r="U264" s="15"/>
      <c r="V264" s="504"/>
      <c r="W264" s="504"/>
      <c r="X264" s="504"/>
      <c r="Y264" s="504"/>
      <c r="Z264" s="504"/>
      <c r="AA264" s="504"/>
      <c r="AB264" s="504"/>
    </row>
    <row r="265" spans="3:28" ht="15" x14ac:dyDescent="0.2">
      <c r="C265" s="304"/>
      <c r="D265" s="304"/>
      <c r="E265" s="304"/>
      <c r="F265" s="660" t="s">
        <v>22</v>
      </c>
      <c r="G265" s="660" t="s">
        <v>23</v>
      </c>
      <c r="H265" s="660" t="s">
        <v>24</v>
      </c>
      <c r="I265" s="660" t="s">
        <v>25</v>
      </c>
      <c r="J265" s="660" t="s">
        <v>39</v>
      </c>
      <c r="K265" s="305"/>
      <c r="L265" s="305"/>
      <c r="M265" s="305"/>
      <c r="N265" s="305"/>
      <c r="O265" s="305"/>
      <c r="P265" s="305"/>
      <c r="Q265" s="305"/>
      <c r="R265" s="305"/>
      <c r="S265" s="305"/>
      <c r="T265" s="305"/>
      <c r="U265" s="305"/>
      <c r="V265" s="504"/>
      <c r="W265" s="504"/>
      <c r="X265" s="504"/>
      <c r="Y265" s="504"/>
      <c r="Z265" s="504"/>
      <c r="AA265" s="504"/>
      <c r="AB265" s="504"/>
    </row>
    <row r="266" spans="3:28" x14ac:dyDescent="0.15">
      <c r="C266" s="504" t="s">
        <v>141</v>
      </c>
      <c r="D266" s="504"/>
      <c r="E266" s="535"/>
      <c r="F266" s="661">
        <f ca="1">+F85</f>
        <v>242342.71000000005</v>
      </c>
      <c r="G266" s="661">
        <f ca="1">+G85</f>
        <v>564633.96420000016</v>
      </c>
      <c r="H266" s="661">
        <f ca="1">+H85</f>
        <v>886702.04348400002</v>
      </c>
      <c r="I266" s="661">
        <f ca="1">+I85</f>
        <v>1000347.0203536805</v>
      </c>
      <c r="J266" s="661">
        <f ca="1">+J85</f>
        <v>1050105.9634807534</v>
      </c>
      <c r="K266" s="15"/>
      <c r="L266" s="15"/>
      <c r="M266" s="15"/>
      <c r="N266" s="15"/>
      <c r="O266" s="15"/>
      <c r="P266" s="15"/>
      <c r="Q266" s="15"/>
      <c r="R266" s="15"/>
      <c r="S266" s="15"/>
      <c r="T266" s="15"/>
      <c r="U266" s="15"/>
      <c r="V266" s="504"/>
      <c r="W266" s="504"/>
      <c r="X266" s="504"/>
      <c r="Y266" s="504"/>
      <c r="Z266" s="504"/>
      <c r="AA266" s="504"/>
      <c r="AB266" s="504"/>
    </row>
    <row r="267" spans="3:28" x14ac:dyDescent="0.15">
      <c r="C267" s="504"/>
      <c r="D267" s="504"/>
      <c r="E267" s="535"/>
      <c r="F267" s="661"/>
      <c r="G267" s="661"/>
      <c r="H267" s="661"/>
      <c r="I267" s="661"/>
      <c r="J267" s="661"/>
      <c r="K267" s="15"/>
      <c r="L267" s="15"/>
      <c r="M267" s="15"/>
      <c r="N267" s="15"/>
      <c r="O267" s="15"/>
      <c r="P267" s="15"/>
      <c r="Q267" s="15"/>
      <c r="R267" s="15"/>
      <c r="S267" s="15"/>
      <c r="T267" s="15"/>
      <c r="U267" s="15"/>
      <c r="V267" s="504"/>
      <c r="W267" s="504"/>
      <c r="X267" s="504"/>
      <c r="Y267" s="504"/>
      <c r="Z267" s="504"/>
      <c r="AA267" s="504"/>
      <c r="AB267" s="504"/>
    </row>
    <row r="268" spans="3:28" x14ac:dyDescent="0.15">
      <c r="C268" s="11" t="str">
        <f t="shared" ref="C268:C274" si="298">+C215</f>
        <v>Debt service</v>
      </c>
      <c r="D268" s="504"/>
      <c r="E268" s="535"/>
      <c r="F268" s="661"/>
      <c r="G268" s="661"/>
      <c r="H268" s="661"/>
      <c r="I268" s="661"/>
      <c r="J268" s="661"/>
      <c r="K268" s="15"/>
      <c r="L268" s="15"/>
      <c r="M268" s="15"/>
      <c r="N268" s="15"/>
      <c r="O268" s="15"/>
      <c r="P268" s="15"/>
      <c r="Q268" s="15"/>
      <c r="R268" s="15"/>
      <c r="S268" s="15"/>
      <c r="T268" s="15"/>
      <c r="U268" s="15"/>
      <c r="V268" s="504"/>
      <c r="W268" s="504"/>
      <c r="X268" s="504"/>
      <c r="Y268" s="504"/>
      <c r="Z268" s="504"/>
      <c r="AA268" s="504"/>
      <c r="AB268" s="504"/>
    </row>
    <row r="269" spans="3:28" x14ac:dyDescent="0.15">
      <c r="C269" s="32" t="str">
        <f t="shared" si="298"/>
        <v>Additional debt/Refinance</v>
      </c>
      <c r="D269" s="504"/>
      <c r="E269" s="535"/>
      <c r="F269" s="535">
        <f t="shared" ref="F269:J274" si="299">F92</f>
        <v>5400000</v>
      </c>
      <c r="G269" s="535">
        <f t="shared" si="299"/>
        <v>5400000</v>
      </c>
      <c r="H269" s="535">
        <f t="shared" si="299"/>
        <v>5400000</v>
      </c>
      <c r="I269" s="535">
        <f t="shared" si="299"/>
        <v>5341804.9684915757</v>
      </c>
      <c r="J269" s="535">
        <f t="shared" si="299"/>
        <v>5279807.5221202504</v>
      </c>
      <c r="K269" s="15"/>
      <c r="L269" s="15"/>
      <c r="M269" s="15"/>
      <c r="N269" s="15"/>
      <c r="O269" s="15"/>
      <c r="P269" s="15"/>
      <c r="Q269" s="15"/>
      <c r="R269" s="15"/>
      <c r="S269" s="15"/>
      <c r="T269" s="15"/>
      <c r="U269" s="15"/>
      <c r="V269" s="504"/>
      <c r="W269" s="504"/>
      <c r="X269" s="504"/>
      <c r="Y269" s="504"/>
      <c r="Z269" s="504"/>
      <c r="AA269" s="504"/>
      <c r="AB269" s="504"/>
    </row>
    <row r="270" spans="3:28" x14ac:dyDescent="0.15">
      <c r="C270" s="507" t="str">
        <f t="shared" si="298"/>
        <v>Additional debt/Refinance</v>
      </c>
      <c r="D270" s="504"/>
      <c r="E270" s="535"/>
      <c r="F270" s="535">
        <f t="shared" si="299"/>
        <v>0</v>
      </c>
      <c r="G270" s="535">
        <f t="shared" si="299"/>
        <v>0</v>
      </c>
      <c r="H270" s="535">
        <f t="shared" si="299"/>
        <v>0</v>
      </c>
      <c r="I270" s="535">
        <f t="shared" si="299"/>
        <v>0</v>
      </c>
      <c r="J270" s="535">
        <f t="shared" ca="1" si="299"/>
        <v>4723662.6814165544</v>
      </c>
      <c r="K270" s="15"/>
      <c r="L270" s="15"/>
      <c r="M270" s="15"/>
      <c r="N270" s="15"/>
      <c r="O270" s="15"/>
      <c r="P270" s="15"/>
      <c r="Q270" s="15"/>
      <c r="R270" s="15"/>
      <c r="S270" s="15"/>
      <c r="T270" s="15"/>
      <c r="U270" s="15"/>
      <c r="V270" s="504"/>
      <c r="W270" s="504"/>
      <c r="X270" s="504"/>
      <c r="Y270" s="504"/>
      <c r="Z270" s="504"/>
      <c r="AA270" s="504"/>
      <c r="AB270" s="504"/>
    </row>
    <row r="271" spans="3:28" x14ac:dyDescent="0.15">
      <c r="C271" s="32" t="str">
        <f t="shared" si="298"/>
        <v>Payment</v>
      </c>
      <c r="D271" s="504"/>
      <c r="E271" s="535"/>
      <c r="F271" s="535">
        <f t="shared" si="299"/>
        <v>352831.5</v>
      </c>
      <c r="G271" s="535">
        <f t="shared" si="299"/>
        <v>352831.5</v>
      </c>
      <c r="H271" s="535">
        <f t="shared" si="299"/>
        <v>411026.53150842432</v>
      </c>
      <c r="I271" s="535">
        <f t="shared" si="299"/>
        <v>411026.53150842432</v>
      </c>
      <c r="J271" s="535">
        <f t="shared" ca="1" si="299"/>
        <v>766243.62333598279</v>
      </c>
      <c r="K271" s="15"/>
      <c r="L271" s="15"/>
      <c r="M271" s="15"/>
      <c r="N271" s="15"/>
      <c r="O271" s="15"/>
      <c r="P271" s="15"/>
      <c r="Q271" s="15"/>
      <c r="R271" s="15"/>
      <c r="S271" s="15"/>
      <c r="T271" s="15"/>
      <c r="U271" s="15"/>
      <c r="V271" s="504"/>
      <c r="W271" s="504"/>
      <c r="X271" s="504"/>
      <c r="Y271" s="504"/>
      <c r="Z271" s="504"/>
      <c r="AA271" s="504"/>
      <c r="AB271" s="504"/>
    </row>
    <row r="272" spans="3:28" x14ac:dyDescent="0.15">
      <c r="C272" s="32" t="str">
        <f t="shared" si="298"/>
        <v>Principal</v>
      </c>
      <c r="D272" s="504"/>
      <c r="E272" s="535"/>
      <c r="F272" s="535">
        <f t="shared" si="299"/>
        <v>0</v>
      </c>
      <c r="G272" s="535">
        <f t="shared" si="299"/>
        <v>0</v>
      </c>
      <c r="H272" s="535">
        <f t="shared" si="299"/>
        <v>58195.031508424319</v>
      </c>
      <c r="I272" s="535">
        <f t="shared" si="299"/>
        <v>61997.446371325175</v>
      </c>
      <c r="J272" s="535">
        <f t="shared" ca="1" si="299"/>
        <v>106535.60397565446</v>
      </c>
      <c r="K272" s="15"/>
      <c r="L272" s="15"/>
      <c r="M272" s="15"/>
      <c r="N272" s="15"/>
      <c r="O272" s="15"/>
      <c r="P272" s="15"/>
      <c r="Q272" s="15"/>
      <c r="R272" s="15"/>
      <c r="S272" s="15"/>
      <c r="T272" s="15"/>
      <c r="U272" s="15"/>
      <c r="V272" s="504"/>
      <c r="W272" s="504"/>
      <c r="X272" s="504"/>
      <c r="Y272" s="504"/>
      <c r="Z272" s="504"/>
      <c r="AA272" s="504"/>
      <c r="AB272" s="504"/>
    </row>
    <row r="273" spans="3:28" x14ac:dyDescent="0.15">
      <c r="C273" s="32" t="str">
        <f t="shared" si="298"/>
        <v>Interest</v>
      </c>
      <c r="D273" s="504"/>
      <c r="E273" s="535"/>
      <c r="F273" s="535">
        <f t="shared" si="299"/>
        <v>352831.5</v>
      </c>
      <c r="G273" s="535">
        <f t="shared" si="299"/>
        <v>352831.5</v>
      </c>
      <c r="H273" s="535">
        <f t="shared" si="299"/>
        <v>352831.5</v>
      </c>
      <c r="I273" s="535">
        <f t="shared" si="299"/>
        <v>349029.08513709914</v>
      </c>
      <c r="J273" s="535">
        <f t="shared" ca="1" si="299"/>
        <v>659708.01936032833</v>
      </c>
      <c r="K273" s="15"/>
      <c r="L273" s="15"/>
      <c r="M273" s="15"/>
      <c r="N273" s="15"/>
      <c r="O273" s="15"/>
      <c r="P273" s="15"/>
      <c r="Q273" s="15"/>
      <c r="R273" s="15"/>
      <c r="S273" s="15"/>
      <c r="T273" s="15"/>
      <c r="U273" s="15"/>
      <c r="V273" s="504"/>
      <c r="W273" s="504"/>
      <c r="X273" s="504"/>
      <c r="Y273" s="504"/>
      <c r="Z273" s="504"/>
      <c r="AA273" s="504"/>
      <c r="AB273" s="504"/>
    </row>
    <row r="274" spans="3:28" x14ac:dyDescent="0.15">
      <c r="C274" s="32" t="str">
        <f t="shared" si="298"/>
        <v>Ending balance</v>
      </c>
      <c r="D274" s="504"/>
      <c r="E274" s="535"/>
      <c r="F274" s="535">
        <f t="shared" si="299"/>
        <v>5400000</v>
      </c>
      <c r="G274" s="535">
        <f t="shared" si="299"/>
        <v>5400000</v>
      </c>
      <c r="H274" s="535">
        <f t="shared" si="299"/>
        <v>5341804.9684915757</v>
      </c>
      <c r="I274" s="535">
        <f t="shared" si="299"/>
        <v>5279807.5221202504</v>
      </c>
      <c r="J274" s="535">
        <f t="shared" ca="1" si="299"/>
        <v>9896934.5995611511</v>
      </c>
      <c r="K274" s="15"/>
      <c r="L274" s="15"/>
      <c r="M274" s="15"/>
      <c r="N274" s="15"/>
      <c r="O274" s="15"/>
      <c r="P274" s="15"/>
      <c r="Q274" s="15"/>
      <c r="R274" s="15"/>
      <c r="S274" s="15"/>
      <c r="T274" s="15"/>
      <c r="U274" s="15"/>
      <c r="V274" s="504"/>
      <c r="W274" s="504"/>
      <c r="X274" s="504"/>
      <c r="Y274" s="504"/>
      <c r="Z274" s="504"/>
      <c r="AA274" s="504"/>
      <c r="AB274" s="504"/>
    </row>
    <row r="275" spans="3:28" x14ac:dyDescent="0.15">
      <c r="C275" s="504"/>
      <c r="D275" s="504"/>
      <c r="E275" s="535"/>
      <c r="F275" s="535"/>
      <c r="G275" s="535"/>
      <c r="H275" s="535"/>
      <c r="I275" s="661"/>
      <c r="J275" s="661"/>
      <c r="K275" s="15"/>
      <c r="L275" s="15"/>
      <c r="M275" s="15"/>
      <c r="N275" s="15"/>
      <c r="O275" s="15"/>
      <c r="P275" s="15"/>
      <c r="Q275" s="15"/>
      <c r="R275" s="15"/>
      <c r="S275" s="15"/>
      <c r="T275" s="15"/>
      <c r="U275" s="15"/>
      <c r="V275" s="504"/>
      <c r="W275" s="504"/>
      <c r="X275" s="504"/>
      <c r="Y275" s="504"/>
      <c r="Z275" s="504"/>
      <c r="AA275" s="504"/>
      <c r="AB275" s="504"/>
    </row>
    <row r="276" spans="3:28" x14ac:dyDescent="0.15">
      <c r="C276" s="269">
        <f>+C223</f>
        <v>0</v>
      </c>
      <c r="D276" s="504"/>
      <c r="E276" s="535"/>
      <c r="F276" s="535"/>
      <c r="G276" s="535"/>
      <c r="H276" s="535"/>
      <c r="I276" s="661"/>
      <c r="J276" s="661"/>
      <c r="K276" s="15"/>
      <c r="L276" s="15"/>
      <c r="M276" s="15"/>
      <c r="N276" s="15"/>
      <c r="O276" s="15"/>
      <c r="P276" s="15"/>
      <c r="Q276" s="15"/>
      <c r="R276" s="15"/>
      <c r="S276" s="15"/>
      <c r="T276" s="15"/>
      <c r="U276" s="15"/>
      <c r="V276" s="504"/>
      <c r="W276" s="504"/>
      <c r="X276" s="504"/>
      <c r="Y276" s="504"/>
      <c r="Z276" s="504"/>
      <c r="AA276" s="504"/>
      <c r="AB276" s="504"/>
    </row>
    <row r="277" spans="3:28" x14ac:dyDescent="0.15">
      <c r="C277" s="504"/>
      <c r="D277" s="504"/>
      <c r="E277" s="535"/>
      <c r="F277" s="535"/>
      <c r="G277" s="535"/>
      <c r="H277" s="535"/>
      <c r="I277" s="661"/>
      <c r="J277" s="661"/>
      <c r="K277" s="15"/>
      <c r="L277" s="15"/>
      <c r="M277" s="15"/>
      <c r="N277" s="15"/>
      <c r="O277" s="15"/>
      <c r="P277" s="15"/>
      <c r="Q277" s="15"/>
      <c r="R277" s="15"/>
      <c r="S277" s="15"/>
      <c r="T277" s="15"/>
      <c r="U277" s="15"/>
      <c r="V277" s="504"/>
      <c r="W277" s="504"/>
      <c r="X277" s="504"/>
      <c r="Y277" s="504"/>
      <c r="Z277" s="504"/>
      <c r="AA277" s="504"/>
      <c r="AB277" s="504"/>
    </row>
    <row r="278" spans="3:28" x14ac:dyDescent="0.15">
      <c r="C278" s="36" t="str">
        <f>+C225</f>
        <v>Refinance Valuation (from Proforma above)</v>
      </c>
      <c r="D278" s="504"/>
      <c r="E278" s="535"/>
      <c r="F278" s="535">
        <f ca="1">F102</f>
        <v>3728349.3846153854</v>
      </c>
      <c r="G278" s="535">
        <f ca="1">G102</f>
        <v>8686676.3723076936</v>
      </c>
      <c r="H278" s="535">
        <f ca="1">H102</f>
        <v>13641569.899753846</v>
      </c>
      <c r="I278" s="535">
        <f ca="1">I102</f>
        <v>15389954.159287391</v>
      </c>
      <c r="J278" s="535">
        <f ca="1">J102</f>
        <v>16155476.36124236</v>
      </c>
      <c r="K278" s="15"/>
      <c r="L278" s="15"/>
      <c r="M278" s="15"/>
      <c r="N278" s="15"/>
      <c r="O278" s="15"/>
      <c r="P278" s="15"/>
      <c r="Q278" s="15"/>
      <c r="R278" s="15"/>
      <c r="S278" s="15"/>
      <c r="T278" s="15"/>
      <c r="U278" s="15"/>
      <c r="V278" s="504"/>
      <c r="W278" s="504"/>
      <c r="X278" s="504"/>
      <c r="Y278" s="504"/>
      <c r="Z278" s="504"/>
      <c r="AA278" s="504"/>
      <c r="AB278" s="504"/>
    </row>
    <row r="279" spans="3:28" x14ac:dyDescent="0.15">
      <c r="C279" s="35"/>
      <c r="D279" s="504"/>
      <c r="E279" s="535"/>
      <c r="F279" s="535"/>
      <c r="G279" s="535"/>
      <c r="H279" s="535"/>
      <c r="I279" s="661"/>
      <c r="J279" s="661"/>
      <c r="K279" s="15"/>
      <c r="L279" s="15"/>
      <c r="M279" s="15"/>
      <c r="N279" s="15"/>
      <c r="O279" s="15"/>
      <c r="P279" s="15"/>
      <c r="Q279" s="15"/>
      <c r="R279" s="15"/>
      <c r="S279" s="15"/>
      <c r="T279" s="15"/>
      <c r="U279" s="15"/>
      <c r="V279" s="504"/>
      <c r="W279" s="504"/>
      <c r="X279" s="504"/>
      <c r="Y279" s="504"/>
      <c r="Z279" s="504"/>
      <c r="AA279" s="504"/>
      <c r="AB279" s="504"/>
    </row>
    <row r="280" spans="3:28" x14ac:dyDescent="0.15">
      <c r="C280" s="507" t="str">
        <f>+C227</f>
        <v>Net Cash Flow after Debt Service</v>
      </c>
      <c r="D280" s="504"/>
      <c r="E280" s="535"/>
      <c r="F280" s="535">
        <f t="shared" ref="F280:J283" ca="1" si="300">F104</f>
        <v>-110488.78999999995</v>
      </c>
      <c r="G280" s="535">
        <f t="shared" ca="1" si="300"/>
        <v>211802.46420000016</v>
      </c>
      <c r="H280" s="535">
        <f t="shared" ca="1" si="300"/>
        <v>475675.5119755757</v>
      </c>
      <c r="I280" s="535">
        <f t="shared" ca="1" si="300"/>
        <v>589320.48884525616</v>
      </c>
      <c r="J280" s="535">
        <f t="shared" ca="1" si="300"/>
        <v>283862.34014477057</v>
      </c>
      <c r="K280" s="15"/>
      <c r="L280" s="15"/>
      <c r="M280" s="15"/>
      <c r="N280" s="15"/>
      <c r="O280" s="15"/>
      <c r="P280" s="15"/>
      <c r="Q280" s="15"/>
      <c r="R280" s="15"/>
      <c r="S280" s="15"/>
      <c r="T280" s="15"/>
      <c r="U280" s="15"/>
      <c r="V280" s="504"/>
      <c r="W280" s="504"/>
      <c r="X280" s="504"/>
      <c r="Y280" s="504"/>
      <c r="Z280" s="504"/>
      <c r="AA280" s="504"/>
      <c r="AB280" s="504"/>
    </row>
    <row r="281" spans="3:28" x14ac:dyDescent="0.15">
      <c r="C281" s="507" t="str">
        <f>+C228</f>
        <v>Cash from Sale of POH</v>
      </c>
      <c r="D281" s="504"/>
      <c r="E281" s="535"/>
      <c r="F281" s="535">
        <f t="shared" si="300"/>
        <v>0</v>
      </c>
      <c r="G281" s="535">
        <f>G107</f>
        <v>0</v>
      </c>
      <c r="H281" s="535">
        <f>H107</f>
        <v>0</v>
      </c>
      <c r="I281" s="535">
        <f>I107</f>
        <v>0</v>
      </c>
      <c r="J281" s="535">
        <f>J107</f>
        <v>0</v>
      </c>
      <c r="K281" s="15"/>
      <c r="L281" s="15"/>
      <c r="M281" s="15"/>
      <c r="N281" s="15"/>
      <c r="O281" s="15"/>
      <c r="P281" s="15"/>
      <c r="Q281" s="15"/>
      <c r="R281" s="15"/>
      <c r="S281" s="15"/>
      <c r="T281" s="15"/>
      <c r="U281" s="15"/>
      <c r="V281" s="504"/>
      <c r="W281" s="504"/>
      <c r="X281" s="504"/>
      <c r="Y281" s="504"/>
      <c r="Z281" s="504"/>
      <c r="AA281" s="504"/>
      <c r="AB281" s="504"/>
    </row>
    <row r="282" spans="3:28" x14ac:dyDescent="0.15">
      <c r="C282" s="507" t="str">
        <f>+C229</f>
        <v>Net Operating Cash Flow From POH</v>
      </c>
      <c r="D282" s="504"/>
      <c r="E282" s="535"/>
      <c r="F282" s="535">
        <f t="shared" si="300"/>
        <v>364812</v>
      </c>
      <c r="G282" s="535">
        <f t="shared" si="300"/>
        <v>454812</v>
      </c>
      <c r="H282" s="535">
        <f t="shared" si="300"/>
        <v>544812</v>
      </c>
      <c r="I282" s="535">
        <f t="shared" si="300"/>
        <v>562632</v>
      </c>
      <c r="J282" s="535">
        <f t="shared" si="300"/>
        <v>562632</v>
      </c>
      <c r="K282" s="15"/>
      <c r="L282" s="15"/>
      <c r="M282" s="15"/>
      <c r="N282" s="15"/>
      <c r="O282" s="15"/>
      <c r="P282" s="15"/>
      <c r="Q282" s="15"/>
      <c r="R282" s="15"/>
      <c r="S282" s="15"/>
      <c r="T282" s="15"/>
      <c r="U282" s="15"/>
      <c r="V282" s="504"/>
      <c r="W282" s="504"/>
      <c r="X282" s="504"/>
      <c r="Y282" s="504"/>
      <c r="Z282" s="504"/>
      <c r="AA282" s="504"/>
      <c r="AB282" s="504"/>
    </row>
    <row r="283" spans="3:28" x14ac:dyDescent="0.15">
      <c r="C283" s="507" t="str">
        <f>+C230</f>
        <v>Income from rehabbin and filling vacant POH</v>
      </c>
      <c r="D283" s="504"/>
      <c r="E283" s="535"/>
      <c r="F283" s="535">
        <f t="shared" si="300"/>
        <v>0</v>
      </c>
      <c r="G283" s="535">
        <f t="shared" si="300"/>
        <v>0</v>
      </c>
      <c r="H283" s="535">
        <f t="shared" si="300"/>
        <v>0</v>
      </c>
      <c r="I283" s="535">
        <f t="shared" si="300"/>
        <v>0</v>
      </c>
      <c r="J283" s="535">
        <f t="shared" si="300"/>
        <v>0</v>
      </c>
      <c r="K283" s="15"/>
      <c r="L283" s="15"/>
      <c r="M283" s="15"/>
      <c r="N283" s="15"/>
      <c r="O283" s="15"/>
      <c r="P283" s="15"/>
      <c r="Q283" s="15"/>
      <c r="R283" s="15"/>
      <c r="S283" s="15"/>
      <c r="T283" s="15"/>
      <c r="U283" s="15"/>
      <c r="V283" s="504"/>
      <c r="W283" s="504"/>
      <c r="X283" s="504"/>
      <c r="Y283" s="504"/>
      <c r="Z283" s="504"/>
      <c r="AA283" s="504"/>
      <c r="AB283" s="504"/>
    </row>
    <row r="284" spans="3:28" x14ac:dyDescent="0.15">
      <c r="C284" s="507" t="str">
        <f>+C231</f>
        <v>POH Seller Carry Note</v>
      </c>
      <c r="D284" s="504"/>
      <c r="E284" s="535"/>
      <c r="F284" s="535">
        <f>F108</f>
        <v>0</v>
      </c>
      <c r="G284" s="535">
        <f t="shared" ref="G284:J284" si="301">G108</f>
        <v>0</v>
      </c>
      <c r="H284" s="535">
        <f t="shared" si="301"/>
        <v>0</v>
      </c>
      <c r="I284" s="535">
        <f t="shared" si="301"/>
        <v>0</v>
      </c>
      <c r="J284" s="535">
        <f t="shared" si="301"/>
        <v>0</v>
      </c>
      <c r="K284" s="15"/>
      <c r="L284" s="15"/>
      <c r="M284" s="15"/>
      <c r="N284" s="15"/>
      <c r="O284" s="15"/>
      <c r="P284" s="15"/>
      <c r="Q284" s="15"/>
      <c r="R284" s="15"/>
      <c r="S284" s="15"/>
      <c r="T284" s="15"/>
      <c r="U284" s="15"/>
      <c r="V284" s="504"/>
      <c r="W284" s="504"/>
      <c r="X284" s="504"/>
      <c r="Y284" s="504"/>
      <c r="Z284" s="504"/>
      <c r="AA284" s="504"/>
      <c r="AB284" s="504"/>
    </row>
    <row r="285" spans="3:28" x14ac:dyDescent="0.15">
      <c r="C285" s="507" t="str">
        <f t="shared" ref="C285:C288" si="302">+C232</f>
        <v>Acquisition Fee</v>
      </c>
      <c r="D285" s="504"/>
      <c r="E285" s="535"/>
      <c r="F285" s="535">
        <f t="shared" ref="F285:J288" si="303">F109</f>
        <v>0</v>
      </c>
      <c r="G285" s="535">
        <f t="shared" si="303"/>
        <v>0</v>
      </c>
      <c r="H285" s="535">
        <f t="shared" si="303"/>
        <v>0</v>
      </c>
      <c r="I285" s="535">
        <f t="shared" si="303"/>
        <v>0</v>
      </c>
      <c r="J285" s="535">
        <f t="shared" si="303"/>
        <v>0</v>
      </c>
      <c r="K285" s="15"/>
      <c r="L285" s="15"/>
      <c r="M285" s="15"/>
      <c r="N285" s="15"/>
      <c r="O285" s="15"/>
      <c r="P285" s="15"/>
      <c r="Q285" s="15"/>
      <c r="R285" s="15"/>
      <c r="S285" s="15"/>
      <c r="T285" s="15"/>
      <c r="U285" s="15"/>
      <c r="V285" s="504"/>
      <c r="W285" s="504"/>
      <c r="X285" s="504"/>
      <c r="Y285" s="504"/>
      <c r="Z285" s="504"/>
      <c r="AA285" s="504"/>
      <c r="AB285" s="504"/>
    </row>
    <row r="286" spans="3:28" x14ac:dyDescent="0.15">
      <c r="C286" s="507" t="str">
        <f t="shared" si="302"/>
        <v>Asset Management Fee</v>
      </c>
      <c r="D286" s="504"/>
      <c r="E286" s="535"/>
      <c r="F286" s="535">
        <f t="shared" si="303"/>
        <v>0</v>
      </c>
      <c r="G286" s="535">
        <f t="shared" si="303"/>
        <v>0</v>
      </c>
      <c r="H286" s="535">
        <f t="shared" si="303"/>
        <v>0</v>
      </c>
      <c r="I286" s="535">
        <f t="shared" si="303"/>
        <v>0</v>
      </c>
      <c r="J286" s="535">
        <f t="shared" si="303"/>
        <v>0</v>
      </c>
      <c r="K286" s="15"/>
      <c r="L286" s="15"/>
      <c r="M286" s="15"/>
      <c r="N286" s="15"/>
      <c r="O286" s="15"/>
      <c r="P286" s="15"/>
      <c r="Q286" s="15"/>
      <c r="R286" s="15"/>
      <c r="S286" s="15"/>
      <c r="T286" s="15"/>
      <c r="U286" s="15"/>
      <c r="V286" s="504"/>
      <c r="W286" s="504"/>
      <c r="X286" s="504"/>
      <c r="Y286" s="504"/>
      <c r="Z286" s="504"/>
      <c r="AA286" s="504"/>
      <c r="AB286" s="504"/>
    </row>
    <row r="287" spans="3:28" x14ac:dyDescent="0.15">
      <c r="C287" s="507" t="str">
        <f t="shared" si="302"/>
        <v>Refinance Fee</v>
      </c>
      <c r="D287" s="504"/>
      <c r="E287" s="535"/>
      <c r="F287" s="535">
        <f t="shared" si="303"/>
        <v>0</v>
      </c>
      <c r="G287" s="535">
        <f t="shared" si="303"/>
        <v>0</v>
      </c>
      <c r="H287" s="535">
        <f t="shared" si="303"/>
        <v>0</v>
      </c>
      <c r="I287" s="535">
        <f t="shared" ca="1" si="303"/>
        <v>0</v>
      </c>
      <c r="J287" s="535">
        <f t="shared" ca="1" si="303"/>
        <v>0</v>
      </c>
      <c r="K287" s="15"/>
      <c r="L287" s="15"/>
      <c r="M287" s="15"/>
      <c r="N287" s="15"/>
      <c r="O287" s="15"/>
      <c r="P287" s="15"/>
      <c r="Q287" s="15"/>
      <c r="R287" s="15"/>
      <c r="S287" s="15"/>
      <c r="T287" s="15"/>
      <c r="U287" s="15"/>
      <c r="V287" s="504"/>
      <c r="W287" s="504"/>
      <c r="X287" s="504"/>
      <c r="Y287" s="504"/>
      <c r="Z287" s="504"/>
      <c r="AA287" s="504"/>
      <c r="AB287" s="504"/>
    </row>
    <row r="288" spans="3:28" x14ac:dyDescent="0.15">
      <c r="C288" s="507" t="str">
        <f t="shared" si="302"/>
        <v>Disposition Fee</v>
      </c>
      <c r="D288" s="504"/>
      <c r="E288" s="535"/>
      <c r="F288" s="535">
        <f t="shared" si="303"/>
        <v>0</v>
      </c>
      <c r="G288" s="535">
        <f t="shared" si="303"/>
        <v>0</v>
      </c>
      <c r="H288" s="535">
        <f t="shared" si="303"/>
        <v>0</v>
      </c>
      <c r="I288" s="535">
        <f t="shared" si="303"/>
        <v>0</v>
      </c>
      <c r="J288" s="535">
        <f t="shared" si="303"/>
        <v>0</v>
      </c>
      <c r="K288" s="15"/>
      <c r="L288" s="15"/>
      <c r="M288" s="15"/>
      <c r="N288" s="15"/>
      <c r="O288" s="15"/>
      <c r="P288" s="15"/>
      <c r="Q288" s="15"/>
      <c r="R288" s="15"/>
      <c r="S288" s="15"/>
      <c r="T288" s="15"/>
      <c r="U288" s="15"/>
      <c r="V288" s="504"/>
      <c r="W288" s="504"/>
      <c r="X288" s="504"/>
      <c r="Y288" s="504"/>
      <c r="Z288" s="504"/>
      <c r="AA288" s="504"/>
      <c r="AB288" s="504"/>
    </row>
    <row r="289" spans="3:28" x14ac:dyDescent="0.15">
      <c r="C289" s="507" t="str">
        <f>+C236</f>
        <v>Return of Capital (other)</v>
      </c>
      <c r="D289" s="504"/>
      <c r="E289" s="535"/>
      <c r="F289" s="535">
        <f t="shared" ref="F289:I290" si="304">F113</f>
        <v>0</v>
      </c>
      <c r="G289" s="535">
        <f t="shared" si="304"/>
        <v>0</v>
      </c>
      <c r="H289" s="535">
        <f t="shared" si="304"/>
        <v>0</v>
      </c>
      <c r="I289" s="535">
        <f t="shared" ca="1" si="304"/>
        <v>4723662.6814165544</v>
      </c>
      <c r="J289" s="535"/>
      <c r="K289" s="15"/>
      <c r="L289" s="15"/>
      <c r="M289" s="15"/>
      <c r="N289" s="15"/>
      <c r="O289" s="15"/>
      <c r="P289" s="15"/>
      <c r="Q289" s="15"/>
      <c r="R289" s="15"/>
      <c r="S289" s="15"/>
      <c r="T289" s="15"/>
      <c r="U289" s="15"/>
      <c r="V289" s="504"/>
      <c r="W289" s="504"/>
      <c r="X289" s="504"/>
      <c r="Y289" s="504"/>
      <c r="Z289" s="504"/>
      <c r="AA289" s="504"/>
      <c r="AB289" s="504"/>
    </row>
    <row r="290" spans="3:28" x14ac:dyDescent="0.15">
      <c r="C290" s="507" t="str">
        <f>+C237</f>
        <v>Sale Proceeds at Exit</v>
      </c>
      <c r="D290" s="504"/>
      <c r="E290" s="535"/>
      <c r="F290" s="535">
        <f t="shared" si="304"/>
        <v>0</v>
      </c>
      <c r="G290" s="535">
        <f t="shared" si="304"/>
        <v>0</v>
      </c>
      <c r="H290" s="535">
        <f t="shared" si="304"/>
        <v>0</v>
      </c>
      <c r="I290" s="535">
        <f t="shared" si="304"/>
        <v>0</v>
      </c>
      <c r="J290" s="535">
        <f ca="1">+(J266/RefiCap)*(1-Cost_of_Sale)</f>
        <v>15670812.070405088</v>
      </c>
      <c r="K290" s="15"/>
      <c r="L290" s="15"/>
      <c r="M290" s="15"/>
      <c r="N290" s="15"/>
      <c r="O290" s="15"/>
      <c r="P290" s="15"/>
      <c r="Q290" s="15"/>
      <c r="R290" s="15"/>
      <c r="S290" s="15"/>
      <c r="T290" s="15"/>
      <c r="U290" s="15"/>
      <c r="V290" s="504"/>
      <c r="W290" s="504"/>
      <c r="X290" s="504"/>
      <c r="Y290" s="504"/>
      <c r="Z290" s="504"/>
      <c r="AA290" s="504"/>
      <c r="AB290" s="504"/>
    </row>
    <row r="291" spans="3:28" x14ac:dyDescent="0.15">
      <c r="C291" s="507" t="str">
        <f>+C238</f>
        <v>Repay Outstanding Loan</v>
      </c>
      <c r="D291" s="504"/>
      <c r="E291" s="535"/>
      <c r="F291" s="535"/>
      <c r="G291" s="535"/>
      <c r="H291" s="535"/>
      <c r="I291" s="535"/>
      <c r="J291" s="535">
        <f ca="1">-J274</f>
        <v>-9896934.5995611511</v>
      </c>
      <c r="K291" s="15"/>
      <c r="L291" s="15"/>
      <c r="M291" s="15"/>
      <c r="N291" s="15"/>
      <c r="O291" s="15"/>
      <c r="P291" s="15"/>
      <c r="Q291" s="15"/>
      <c r="R291" s="15"/>
      <c r="S291" s="15"/>
      <c r="T291" s="15"/>
      <c r="U291" s="15"/>
      <c r="V291" s="504"/>
      <c r="W291" s="504"/>
      <c r="X291" s="504"/>
      <c r="Y291" s="504"/>
      <c r="Z291" s="504"/>
      <c r="AA291" s="504"/>
      <c r="AB291" s="504"/>
    </row>
    <row r="292" spans="3:28" ht="14" thickBot="1" x14ac:dyDescent="0.2">
      <c r="C292" s="579" t="str">
        <f>+C239</f>
        <v>Pretax Income Available for Distribution</v>
      </c>
      <c r="D292" s="504"/>
      <c r="E292" s="535">
        <f>E239</f>
        <v>-5050000</v>
      </c>
      <c r="F292" s="535">
        <f ca="1">SUM(F280:F291)</f>
        <v>254323.21000000005</v>
      </c>
      <c r="G292" s="535">
        <f t="shared" ref="G292:J292" ca="1" si="305">SUM(G280:G291)</f>
        <v>666614.46420000016</v>
      </c>
      <c r="H292" s="535">
        <f t="shared" ca="1" si="305"/>
        <v>1020487.5119755757</v>
      </c>
      <c r="I292" s="535">
        <f t="shared" ca="1" si="305"/>
        <v>5875615.1702618105</v>
      </c>
      <c r="J292" s="535">
        <f t="shared" ca="1" si="305"/>
        <v>6620371.8109887075</v>
      </c>
      <c r="K292" s="15"/>
      <c r="L292" s="15"/>
      <c r="M292" s="15"/>
      <c r="N292" s="15"/>
      <c r="O292" s="15"/>
      <c r="P292" s="15"/>
      <c r="Q292" s="15"/>
      <c r="R292" s="15"/>
      <c r="S292" s="15"/>
      <c r="T292" s="15"/>
      <c r="U292" s="15"/>
      <c r="V292" s="504"/>
      <c r="W292" s="504"/>
      <c r="X292" s="504"/>
      <c r="Y292" s="504"/>
      <c r="Z292" s="504"/>
      <c r="AA292" s="504"/>
      <c r="AB292" s="504"/>
    </row>
    <row r="293" spans="3:28" ht="14" thickTop="1" x14ac:dyDescent="0.15">
      <c r="C293" s="504"/>
      <c r="D293" s="504"/>
      <c r="E293" s="504"/>
      <c r="F293" s="15"/>
      <c r="G293" s="15"/>
      <c r="H293" s="15"/>
      <c r="I293" s="15"/>
      <c r="J293" s="15"/>
      <c r="K293" s="15"/>
      <c r="L293" s="15"/>
      <c r="M293" s="15"/>
      <c r="N293" s="15"/>
      <c r="O293" s="15"/>
      <c r="P293" s="15"/>
      <c r="Q293" s="15"/>
      <c r="R293" s="15"/>
      <c r="S293" s="15"/>
      <c r="T293" s="15"/>
      <c r="U293" s="15"/>
      <c r="V293" s="15"/>
      <c r="W293" s="15"/>
      <c r="X293" s="15"/>
      <c r="Y293" s="15"/>
      <c r="Z293" s="15"/>
      <c r="AA293" s="15"/>
      <c r="AB293" s="15"/>
    </row>
    <row r="294" spans="3:28" x14ac:dyDescent="0.15">
      <c r="C294" s="11" t="s">
        <v>298</v>
      </c>
      <c r="D294" s="504"/>
      <c r="E294" s="533">
        <f ca="1">IRR(E292:J292)</f>
        <v>0.28987941888278512</v>
      </c>
      <c r="F294" s="15"/>
      <c r="G294" s="15"/>
      <c r="H294" s="15"/>
      <c r="I294" s="15"/>
      <c r="J294" s="15"/>
      <c r="K294" s="15"/>
      <c r="L294" s="15"/>
      <c r="M294" s="15"/>
      <c r="N294" s="15"/>
      <c r="O294" s="15"/>
      <c r="P294" s="15"/>
      <c r="Q294" s="15"/>
      <c r="R294" s="15"/>
      <c r="S294" s="15"/>
      <c r="T294" s="15"/>
      <c r="U294" s="15"/>
      <c r="V294" s="15"/>
      <c r="W294" s="15"/>
      <c r="X294" s="15"/>
      <c r="Y294" s="15"/>
      <c r="Z294" s="15"/>
      <c r="AA294" s="15"/>
      <c r="AB294" s="15"/>
    </row>
    <row r="295" spans="3:28" x14ac:dyDescent="0.15">
      <c r="C295" s="507"/>
      <c r="D295" s="504"/>
      <c r="E295" s="504"/>
      <c r="F295" s="15"/>
      <c r="G295" s="15"/>
      <c r="H295" s="15"/>
      <c r="I295" s="15"/>
      <c r="J295" s="15"/>
      <c r="K295" s="15"/>
      <c r="L295" s="15"/>
      <c r="M295" s="15"/>
      <c r="N295" s="15"/>
      <c r="O295" s="15"/>
      <c r="P295" s="15"/>
      <c r="Q295" s="15"/>
      <c r="R295" s="15"/>
      <c r="S295" s="15"/>
      <c r="T295" s="15"/>
      <c r="U295" s="15"/>
      <c r="V295" s="15"/>
      <c r="W295" s="15"/>
      <c r="X295" s="15"/>
      <c r="Y295" s="15"/>
      <c r="Z295" s="15"/>
      <c r="AA295" s="15"/>
      <c r="AB295" s="15"/>
    </row>
    <row r="296" spans="3:28" x14ac:dyDescent="0.15">
      <c r="C296" s="11" t="str">
        <f t="shared" ref="C296:C309" si="306">+C243</f>
        <v>Distributions</v>
      </c>
      <c r="D296" s="504"/>
      <c r="E296" s="504"/>
      <c r="F296" s="13"/>
      <c r="G296" s="15"/>
      <c r="H296" s="15"/>
      <c r="I296" s="15"/>
      <c r="J296" s="15"/>
      <c r="K296" s="15"/>
      <c r="L296" s="15"/>
      <c r="M296" s="15"/>
      <c r="N296" s="15"/>
      <c r="O296" s="15"/>
      <c r="P296" s="15"/>
      <c r="Q296" s="15"/>
      <c r="R296" s="15"/>
      <c r="S296" s="15"/>
      <c r="T296" s="15"/>
      <c r="U296" s="15"/>
      <c r="V296" s="15"/>
      <c r="W296" s="15"/>
      <c r="X296" s="15"/>
      <c r="Y296" s="15"/>
      <c r="Z296" s="15"/>
      <c r="AA296" s="15"/>
      <c r="AB296" s="15"/>
    </row>
    <row r="297" spans="3:28" x14ac:dyDescent="0.15">
      <c r="C297" s="507" t="str">
        <f t="shared" si="306"/>
        <v>Investor Preferred Return</v>
      </c>
      <c r="D297" s="504"/>
      <c r="E297" s="504"/>
      <c r="F297" s="13"/>
      <c r="G297" s="15"/>
      <c r="H297" s="15"/>
      <c r="I297" s="15"/>
      <c r="J297" s="15"/>
      <c r="K297" s="15"/>
      <c r="L297" s="15"/>
      <c r="M297" s="15"/>
      <c r="N297" s="15"/>
      <c r="O297" s="15"/>
      <c r="P297" s="15"/>
      <c r="Q297" s="15"/>
      <c r="R297" s="15"/>
      <c r="S297" s="15"/>
      <c r="T297" s="15"/>
      <c r="U297" s="15"/>
      <c r="V297" s="15"/>
      <c r="W297" s="15"/>
      <c r="X297" s="15"/>
      <c r="Y297" s="15"/>
      <c r="Z297" s="15"/>
      <c r="AA297" s="15"/>
      <c r="AB297" s="15"/>
    </row>
    <row r="298" spans="3:28" x14ac:dyDescent="0.15">
      <c r="C298" s="23" t="str">
        <f t="shared" si="306"/>
        <v>Beginning balance</v>
      </c>
      <c r="D298" s="504"/>
      <c r="E298" s="535"/>
      <c r="F298" s="661">
        <f>-E292</f>
        <v>5050000</v>
      </c>
      <c r="G298" s="661">
        <f ca="1">+F301</f>
        <v>5048176.79</v>
      </c>
      <c r="H298" s="661">
        <f t="shared" ref="H298:J298" ca="1" si="307">+G301</f>
        <v>4633971.1652999995</v>
      </c>
      <c r="I298" s="661">
        <f t="shared" ca="1" si="307"/>
        <v>3845182.2115894235</v>
      </c>
      <c r="J298" s="661">
        <f t="shared" ca="1" si="307"/>
        <v>0</v>
      </c>
      <c r="K298" s="15"/>
      <c r="L298" s="15"/>
      <c r="M298" s="15"/>
      <c r="N298" s="15"/>
      <c r="O298" s="15"/>
      <c r="P298" s="15"/>
      <c r="Q298" s="15"/>
      <c r="R298" s="15"/>
      <c r="S298" s="15"/>
      <c r="T298" s="15"/>
      <c r="U298" s="15"/>
      <c r="V298" s="15"/>
      <c r="W298" s="15"/>
      <c r="X298" s="15"/>
      <c r="Y298" s="15"/>
      <c r="Z298" s="15"/>
      <c r="AA298" s="15"/>
      <c r="AB298" s="15"/>
    </row>
    <row r="299" spans="3:28" x14ac:dyDescent="0.15">
      <c r="C299" s="23" t="str">
        <f t="shared" si="306"/>
        <v>Preferred return</v>
      </c>
      <c r="D299" s="504"/>
      <c r="E299" s="535"/>
      <c r="F299" s="661">
        <f>+F298*InvestorPref</f>
        <v>252500</v>
      </c>
      <c r="G299" s="661">
        <f ca="1">+G298*InvestorPref</f>
        <v>252408.8395</v>
      </c>
      <c r="H299" s="661">
        <f ca="1">+H298*InvestorPref</f>
        <v>231698.558265</v>
      </c>
      <c r="I299" s="661">
        <f ca="1">+I298*InvestorPref</f>
        <v>192259.11057947119</v>
      </c>
      <c r="J299" s="661">
        <f ca="1">+J298*InvestorPref</f>
        <v>0</v>
      </c>
      <c r="K299" s="15"/>
      <c r="L299" s="15"/>
      <c r="M299" s="15"/>
      <c r="N299" s="15"/>
      <c r="O299" s="15"/>
      <c r="P299" s="15"/>
      <c r="Q299" s="15"/>
      <c r="R299" s="15"/>
      <c r="S299" s="15"/>
      <c r="T299" s="15"/>
      <c r="U299" s="15"/>
      <c r="V299" s="15"/>
      <c r="W299" s="15"/>
      <c r="X299" s="15"/>
      <c r="Y299" s="15"/>
      <c r="Z299" s="15"/>
      <c r="AA299" s="15"/>
      <c r="AB299" s="15"/>
    </row>
    <row r="300" spans="3:28" x14ac:dyDescent="0.15">
      <c r="C300" s="23" t="str">
        <f t="shared" si="306"/>
        <v>Payment</v>
      </c>
      <c r="D300" s="504"/>
      <c r="E300" s="535"/>
      <c r="F300" s="661">
        <f ca="1">MAX(-F298-F299,-F292)</f>
        <v>-254323.21000000005</v>
      </c>
      <c r="G300" s="661">
        <f t="shared" ref="G300:J300" ca="1" si="308">MAX(-G298-G299,-G292)</f>
        <v>-666614.46420000016</v>
      </c>
      <c r="H300" s="661">
        <f t="shared" ca="1" si="308"/>
        <v>-1020487.5119755757</v>
      </c>
      <c r="I300" s="661">
        <f t="shared" ca="1" si="308"/>
        <v>-4037441.3221688946</v>
      </c>
      <c r="J300" s="661">
        <f t="shared" ca="1" si="308"/>
        <v>0</v>
      </c>
      <c r="K300" s="15"/>
      <c r="L300" s="15"/>
      <c r="M300" s="15"/>
      <c r="N300" s="15"/>
      <c r="O300" s="15"/>
      <c r="P300" s="15"/>
      <c r="Q300" s="15"/>
      <c r="R300" s="15"/>
      <c r="S300" s="15"/>
      <c r="T300" s="15"/>
      <c r="U300" s="15"/>
      <c r="V300" s="15"/>
      <c r="W300" s="15"/>
      <c r="X300" s="15"/>
      <c r="Y300" s="15"/>
      <c r="Z300" s="15"/>
      <c r="AA300" s="15"/>
      <c r="AB300" s="15"/>
    </row>
    <row r="301" spans="3:28" x14ac:dyDescent="0.15">
      <c r="C301" s="23" t="str">
        <f t="shared" si="306"/>
        <v>Ending balance</v>
      </c>
      <c r="D301" s="504"/>
      <c r="E301" s="535"/>
      <c r="F301" s="720">
        <f ca="1">SUM(F298:F300)</f>
        <v>5048176.79</v>
      </c>
      <c r="G301" s="720">
        <f t="shared" ref="G301:J301" ca="1" si="309">SUM(G298:G300)</f>
        <v>4633971.1652999995</v>
      </c>
      <c r="H301" s="720">
        <f t="shared" ca="1" si="309"/>
        <v>3845182.2115894235</v>
      </c>
      <c r="I301" s="720">
        <f t="shared" ca="1" si="309"/>
        <v>0</v>
      </c>
      <c r="J301" s="720">
        <f t="shared" ca="1" si="309"/>
        <v>0</v>
      </c>
      <c r="K301" s="15"/>
      <c r="L301" s="15"/>
      <c r="M301" s="15"/>
      <c r="N301" s="15"/>
      <c r="O301" s="15"/>
      <c r="P301" s="15"/>
      <c r="Q301" s="15"/>
      <c r="R301" s="15"/>
      <c r="S301" s="15"/>
      <c r="T301" s="15"/>
      <c r="U301" s="15"/>
      <c r="V301" s="15"/>
      <c r="W301" s="15"/>
      <c r="X301" s="15"/>
      <c r="Y301" s="15"/>
      <c r="Z301" s="15"/>
      <c r="AA301" s="15"/>
      <c r="AB301" s="15"/>
    </row>
    <row r="302" spans="3:28" x14ac:dyDescent="0.15">
      <c r="C302" s="507" t="str">
        <f t="shared" si="306"/>
        <v>Available After Pref / Return Of Capital</v>
      </c>
      <c r="D302" s="504"/>
      <c r="E302" s="535"/>
      <c r="F302" s="661">
        <f ca="1">+F292+F300</f>
        <v>0</v>
      </c>
      <c r="G302" s="661">
        <f t="shared" ref="G302:J302" ca="1" si="310">+G292+G300</f>
        <v>0</v>
      </c>
      <c r="H302" s="661">
        <f t="shared" ca="1" si="310"/>
        <v>0</v>
      </c>
      <c r="I302" s="661">
        <f t="shared" ca="1" si="310"/>
        <v>1838173.848092916</v>
      </c>
      <c r="J302" s="661">
        <f t="shared" ca="1" si="310"/>
        <v>6620371.8109887075</v>
      </c>
      <c r="K302" s="15"/>
      <c r="L302" s="15"/>
      <c r="M302" s="15"/>
      <c r="N302" s="15"/>
      <c r="O302" s="15"/>
      <c r="P302" s="15"/>
      <c r="Q302" s="15"/>
      <c r="R302" s="15"/>
      <c r="S302" s="15"/>
      <c r="T302" s="15"/>
      <c r="U302" s="15"/>
      <c r="V302" s="15"/>
      <c r="W302" s="15"/>
      <c r="X302" s="15"/>
      <c r="Y302" s="15"/>
      <c r="Z302" s="15"/>
      <c r="AA302" s="15"/>
      <c r="AB302" s="15"/>
    </row>
    <row r="303" spans="3:28" x14ac:dyDescent="0.15">
      <c r="C303" s="41" t="str">
        <f t="shared" si="306"/>
        <v>Split</v>
      </c>
      <c r="D303" s="504"/>
      <c r="E303" s="535"/>
      <c r="F303" s="661"/>
      <c r="G303" s="661"/>
      <c r="H303" s="661"/>
      <c r="I303" s="661"/>
      <c r="J303" s="661"/>
      <c r="K303" s="15"/>
      <c r="L303" s="15"/>
      <c r="M303" s="15"/>
      <c r="N303" s="15"/>
      <c r="O303" s="15"/>
      <c r="P303" s="15"/>
      <c r="Q303" s="15"/>
      <c r="R303" s="15"/>
      <c r="S303" s="15"/>
      <c r="T303" s="15"/>
      <c r="U303" s="15"/>
      <c r="V303" s="15"/>
      <c r="W303" s="15"/>
      <c r="X303" s="15"/>
      <c r="Y303" s="15"/>
      <c r="Z303" s="15"/>
      <c r="AA303" s="15"/>
      <c r="AB303" s="15"/>
    </row>
    <row r="304" spans="3:28" x14ac:dyDescent="0.15">
      <c r="C304" s="541" t="str">
        <f t="shared" si="306"/>
        <v>Investor</v>
      </c>
      <c r="D304" s="504"/>
      <c r="E304" s="535"/>
      <c r="F304" s="661">
        <f ca="1">+F302*InvestorPromote</f>
        <v>0</v>
      </c>
      <c r="G304" s="661">
        <f ca="1">+G302*InvestorPromote</f>
        <v>0</v>
      </c>
      <c r="H304" s="661">
        <f ca="1">+H302*InvestorPromote</f>
        <v>0</v>
      </c>
      <c r="I304" s="661">
        <f ca="1">+I302*InvestorPromote</f>
        <v>919086.92404645798</v>
      </c>
      <c r="J304" s="661">
        <f ca="1">+J302*InvestorPromote</f>
        <v>3310185.9054943537</v>
      </c>
      <c r="K304" s="15"/>
      <c r="L304" s="15"/>
      <c r="M304" s="15"/>
      <c r="N304" s="15"/>
      <c r="O304" s="15"/>
      <c r="P304" s="15"/>
      <c r="Q304" s="15"/>
      <c r="R304" s="15"/>
      <c r="S304" s="15"/>
      <c r="T304" s="15"/>
      <c r="U304" s="15"/>
      <c r="V304" s="15"/>
      <c r="W304" s="15"/>
      <c r="X304" s="15"/>
      <c r="Y304" s="15"/>
      <c r="Z304" s="15"/>
      <c r="AA304" s="15"/>
      <c r="AB304" s="15"/>
    </row>
    <row r="305" spans="3:28" x14ac:dyDescent="0.15">
      <c r="C305" s="541" t="str">
        <f t="shared" si="306"/>
        <v>BVG</v>
      </c>
      <c r="D305" s="504"/>
      <c r="E305" s="535"/>
      <c r="F305" s="661">
        <f ca="1">+F302*BVGPromote</f>
        <v>0</v>
      </c>
      <c r="G305" s="661">
        <f ca="1">+G302*BVGPromote</f>
        <v>0</v>
      </c>
      <c r="H305" s="661">
        <f ca="1">+H302*BVGPromote</f>
        <v>0</v>
      </c>
      <c r="I305" s="661">
        <f ca="1">+I302*BVGPromote</f>
        <v>919086.92404645798</v>
      </c>
      <c r="J305" s="661">
        <f ca="1">+J302*BVGPromote</f>
        <v>3310185.9054943537</v>
      </c>
      <c r="K305" s="15"/>
      <c r="L305" s="15"/>
      <c r="M305" s="15"/>
      <c r="N305" s="15"/>
      <c r="O305" s="15"/>
      <c r="P305" s="15"/>
      <c r="Q305" s="15"/>
      <c r="R305" s="15"/>
      <c r="S305" s="15"/>
      <c r="T305" s="15"/>
      <c r="U305" s="15"/>
      <c r="V305" s="15"/>
      <c r="W305" s="15"/>
      <c r="X305" s="15"/>
      <c r="Y305" s="15"/>
      <c r="Z305" s="15"/>
      <c r="AA305" s="15"/>
      <c r="AB305" s="15"/>
    </row>
    <row r="306" spans="3:28" x14ac:dyDescent="0.15">
      <c r="C306" s="41" t="str">
        <f t="shared" si="306"/>
        <v>Total</v>
      </c>
      <c r="D306" s="504"/>
      <c r="E306" s="535"/>
      <c r="F306" s="661"/>
      <c r="G306" s="661"/>
      <c r="H306" s="661"/>
      <c r="I306" s="661"/>
      <c r="J306" s="661"/>
      <c r="K306" s="15"/>
      <c r="L306" s="15"/>
      <c r="M306" s="15"/>
      <c r="N306" s="15"/>
      <c r="O306" s="15"/>
      <c r="P306" s="15"/>
      <c r="Q306" s="15"/>
      <c r="R306" s="15"/>
      <c r="S306" s="15"/>
      <c r="T306" s="15"/>
      <c r="U306" s="15"/>
      <c r="V306" s="15"/>
      <c r="W306" s="15"/>
      <c r="X306" s="15"/>
      <c r="Y306" s="15"/>
      <c r="Z306" s="15"/>
      <c r="AA306" s="15"/>
      <c r="AB306" s="15"/>
    </row>
    <row r="307" spans="3:28" x14ac:dyDescent="0.15">
      <c r="C307" s="541" t="str">
        <f t="shared" si="306"/>
        <v>Investor</v>
      </c>
      <c r="D307" s="504"/>
      <c r="E307" s="535"/>
      <c r="F307" s="661">
        <f ca="1">-F300+F304</f>
        <v>254323.21000000005</v>
      </c>
      <c r="G307" s="661">
        <f t="shared" ref="G307:H307" ca="1" si="311">-G300+G304</f>
        <v>666614.46420000016</v>
      </c>
      <c r="H307" s="661">
        <f t="shared" ca="1" si="311"/>
        <v>1020487.5119755757</v>
      </c>
      <c r="I307" s="661">
        <f t="shared" ref="I307:J307" ca="1" si="312">-I300+I304</f>
        <v>4956528.2462153528</v>
      </c>
      <c r="J307" s="661">
        <f t="shared" ca="1" si="312"/>
        <v>3310185.9054943537</v>
      </c>
      <c r="K307" s="15"/>
      <c r="L307" s="15"/>
      <c r="M307" s="15"/>
      <c r="N307" s="15"/>
      <c r="O307" s="15"/>
      <c r="P307" s="15"/>
      <c r="Q307" s="15"/>
      <c r="R307" s="15"/>
      <c r="S307" s="15"/>
      <c r="T307" s="15"/>
      <c r="U307" s="15"/>
      <c r="V307" s="15"/>
      <c r="W307" s="15"/>
      <c r="X307" s="15"/>
      <c r="Y307" s="15"/>
      <c r="Z307" s="15"/>
      <c r="AA307" s="15"/>
      <c r="AB307" s="15"/>
    </row>
    <row r="308" spans="3:28" x14ac:dyDescent="0.15">
      <c r="C308" s="541" t="str">
        <f t="shared" si="306"/>
        <v>BVG</v>
      </c>
      <c r="D308" s="504"/>
      <c r="E308" s="535"/>
      <c r="F308" s="661">
        <f ca="1">+F305</f>
        <v>0</v>
      </c>
      <c r="G308" s="661">
        <f t="shared" ref="G308:H308" ca="1" si="313">+G305</f>
        <v>0</v>
      </c>
      <c r="H308" s="661">
        <f t="shared" ca="1" si="313"/>
        <v>0</v>
      </c>
      <c r="I308" s="661">
        <f t="shared" ref="I308:J308" ca="1" si="314">+I305</f>
        <v>919086.92404645798</v>
      </c>
      <c r="J308" s="661">
        <f t="shared" ca="1" si="314"/>
        <v>3310185.9054943537</v>
      </c>
      <c r="K308" s="15"/>
      <c r="L308" s="15"/>
      <c r="M308" s="15"/>
      <c r="N308" s="15"/>
      <c r="O308" s="15"/>
      <c r="P308" s="15"/>
      <c r="Q308" s="15"/>
      <c r="R308" s="15"/>
      <c r="S308" s="15"/>
      <c r="T308" s="15"/>
      <c r="U308" s="15"/>
      <c r="V308" s="15"/>
      <c r="W308" s="15"/>
      <c r="X308" s="15"/>
      <c r="Y308" s="15"/>
      <c r="Z308" s="15"/>
      <c r="AA308" s="15"/>
      <c r="AB308" s="15"/>
    </row>
    <row r="309" spans="3:28" x14ac:dyDescent="0.15">
      <c r="C309" s="41" t="str">
        <f t="shared" si="306"/>
        <v>Total Project Cash Flow</v>
      </c>
      <c r="D309" s="504"/>
      <c r="E309" s="586">
        <f>E292</f>
        <v>-5050000</v>
      </c>
      <c r="F309" s="663">
        <f ca="1">+F307</f>
        <v>254323.21000000005</v>
      </c>
      <c r="G309" s="663">
        <f t="shared" ref="G309:H309" ca="1" si="315">+G307</f>
        <v>666614.46420000016</v>
      </c>
      <c r="H309" s="663">
        <f t="shared" ca="1" si="315"/>
        <v>1020487.5119755757</v>
      </c>
      <c r="I309" s="663">
        <f t="shared" ref="I309:J309" ca="1" si="316">+I307</f>
        <v>4956528.2462153528</v>
      </c>
      <c r="J309" s="663">
        <f t="shared" ca="1" si="316"/>
        <v>3310185.9054943537</v>
      </c>
      <c r="K309" s="15"/>
      <c r="L309" s="15"/>
      <c r="M309" s="15"/>
      <c r="N309" s="15"/>
      <c r="O309" s="15"/>
      <c r="P309" s="15"/>
      <c r="Q309" s="15"/>
      <c r="R309" s="15"/>
      <c r="S309" s="15"/>
      <c r="T309" s="15"/>
      <c r="U309" s="15"/>
      <c r="V309" s="15"/>
      <c r="W309" s="15"/>
      <c r="X309" s="15"/>
      <c r="Y309" s="15"/>
      <c r="Z309" s="15"/>
      <c r="AA309" s="15"/>
      <c r="AB309" s="15"/>
    </row>
    <row r="310" spans="3:28" x14ac:dyDescent="0.15">
      <c r="C310" s="504"/>
      <c r="D310" s="504"/>
      <c r="E310" s="504"/>
      <c r="F310" s="15"/>
      <c r="G310" s="15"/>
      <c r="H310" s="15"/>
      <c r="I310" s="15"/>
      <c r="J310" s="15"/>
      <c r="K310" s="15"/>
      <c r="L310" s="15"/>
      <c r="M310" s="15"/>
      <c r="N310" s="15"/>
      <c r="O310" s="15"/>
      <c r="P310" s="15"/>
      <c r="Q310" s="15"/>
      <c r="R310" s="15"/>
      <c r="S310" s="15"/>
      <c r="T310" s="15"/>
      <c r="U310" s="15"/>
      <c r="V310" s="15"/>
      <c r="W310" s="15"/>
      <c r="X310" s="15"/>
      <c r="Y310" s="15"/>
      <c r="Z310" s="15"/>
      <c r="AA310" s="15"/>
      <c r="AB310" s="15"/>
    </row>
    <row r="311" spans="3:28" x14ac:dyDescent="0.15">
      <c r="C311" s="504" t="s">
        <v>299</v>
      </c>
      <c r="D311" s="504"/>
      <c r="E311" s="533">
        <f ca="1">IRR(E309:J309)</f>
        <v>0.19601861975284596</v>
      </c>
      <c r="F311" s="15"/>
      <c r="G311" s="15"/>
      <c r="H311" s="15"/>
      <c r="I311" s="15"/>
      <c r="J311" s="15"/>
      <c r="K311" s="15"/>
      <c r="L311" s="15"/>
      <c r="M311" s="15"/>
      <c r="N311" s="15"/>
      <c r="O311" s="15"/>
      <c r="P311" s="15"/>
      <c r="Q311" s="15"/>
      <c r="R311" s="15"/>
      <c r="S311" s="15"/>
      <c r="T311" s="15"/>
      <c r="U311" s="15"/>
      <c r="V311" s="15"/>
      <c r="W311" s="15"/>
      <c r="X311" s="15"/>
      <c r="Y311" s="15"/>
      <c r="Z311" s="15"/>
      <c r="AA311" s="15"/>
      <c r="AB311" s="15"/>
    </row>
    <row r="312" spans="3:28" x14ac:dyDescent="0.15">
      <c r="C312" s="504" t="str">
        <f>+C259</f>
        <v>Investor Equity Multiple</v>
      </c>
      <c r="D312" s="504"/>
      <c r="E312" s="535">
        <f ca="1">SUM(F309:J309)/-E309</f>
        <v>2.0214137302743134</v>
      </c>
      <c r="F312" s="15"/>
      <c r="G312" s="15"/>
      <c r="H312" s="15"/>
      <c r="I312" s="15"/>
      <c r="J312" s="15"/>
      <c r="K312" s="15"/>
      <c r="L312" s="15"/>
      <c r="M312" s="15"/>
      <c r="N312" s="15"/>
      <c r="O312" s="15"/>
      <c r="P312" s="15"/>
      <c r="Q312" s="15"/>
      <c r="R312" s="15"/>
      <c r="S312" s="15"/>
      <c r="T312" s="15"/>
      <c r="U312" s="15"/>
      <c r="V312" s="15"/>
      <c r="W312" s="15"/>
      <c r="X312" s="15"/>
      <c r="Y312" s="15"/>
      <c r="Z312" s="15"/>
      <c r="AA312" s="15"/>
      <c r="AB312" s="15"/>
    </row>
    <row r="313" spans="3:28" x14ac:dyDescent="0.15">
      <c r="C313" s="504" t="str">
        <f>+C260</f>
        <v>Total Investor Cash Flow</v>
      </c>
      <c r="D313" s="504"/>
      <c r="E313" s="535">
        <f ca="1">SUM(F309:J309)</f>
        <v>10208139.337885283</v>
      </c>
      <c r="F313" s="15"/>
      <c r="G313" s="15"/>
      <c r="H313" s="15"/>
      <c r="I313" s="15"/>
      <c r="J313" s="15"/>
      <c r="K313" s="15"/>
      <c r="L313" s="15"/>
      <c r="M313" s="15"/>
      <c r="N313" s="15"/>
      <c r="O313" s="15"/>
      <c r="P313" s="15"/>
      <c r="Q313" s="15"/>
      <c r="R313" s="15"/>
      <c r="S313" s="15"/>
      <c r="T313" s="15"/>
      <c r="U313" s="15"/>
      <c r="V313" s="15"/>
      <c r="W313" s="15"/>
      <c r="X313" s="15"/>
      <c r="Y313" s="15"/>
      <c r="Z313" s="15"/>
      <c r="AA313" s="15"/>
      <c r="AB313" s="15"/>
    </row>
    <row r="314" spans="3:28" x14ac:dyDescent="0.15">
      <c r="C314" s="504" t="s">
        <v>300</v>
      </c>
      <c r="E314" s="535">
        <f ca="1">SUM(F308:J308)</f>
        <v>4229272.8295408115</v>
      </c>
      <c r="F314" s="504"/>
      <c r="G314" s="504"/>
      <c r="H314" s="504"/>
      <c r="I314" s="504"/>
      <c r="J314" s="504"/>
      <c r="K314" s="504"/>
      <c r="L314" s="504"/>
      <c r="M314" s="504"/>
      <c r="N314" s="504"/>
      <c r="O314" s="504"/>
      <c r="P314" s="504"/>
      <c r="Q314" s="504"/>
      <c r="R314" s="504"/>
      <c r="S314" s="504"/>
      <c r="T314" s="504"/>
      <c r="U314" s="504"/>
      <c r="V314" s="504"/>
      <c r="W314" s="504"/>
      <c r="X314" s="504"/>
      <c r="Y314" s="504"/>
      <c r="Z314" s="504"/>
      <c r="AA314" s="504"/>
      <c r="AB314" s="504"/>
    </row>
    <row r="316" spans="3:28" ht="12" customHeight="1" x14ac:dyDescent="0.15">
      <c r="C316" s="504"/>
      <c r="E316" s="504"/>
      <c r="F316" s="504"/>
      <c r="G316" s="504"/>
      <c r="H316" s="504"/>
      <c r="I316" s="504"/>
      <c r="J316" s="504"/>
      <c r="K316" s="504"/>
      <c r="L316" s="504"/>
      <c r="M316" s="504"/>
      <c r="N316" s="504"/>
      <c r="O316" s="504"/>
      <c r="P316" s="504"/>
      <c r="Q316" s="504"/>
      <c r="R316" s="504"/>
      <c r="S316" s="504"/>
      <c r="T316" s="504"/>
      <c r="U316" s="504"/>
      <c r="V316" s="504"/>
      <c r="W316" s="504"/>
      <c r="X316" s="504"/>
      <c r="Y316" s="504"/>
      <c r="Z316" s="504"/>
      <c r="AA316" s="504"/>
      <c r="AB316" s="504"/>
    </row>
    <row r="317" spans="3:28" ht="16" x14ac:dyDescent="0.2">
      <c r="C317" s="762" t="s">
        <v>301</v>
      </c>
      <c r="D317" s="762"/>
      <c r="E317" s="762"/>
      <c r="F317" s="762"/>
      <c r="G317" s="762"/>
      <c r="H317" s="762"/>
      <c r="I317" s="762"/>
      <c r="J317" s="762"/>
      <c r="K317" s="762"/>
      <c r="L317" s="762"/>
      <c r="M317" s="762"/>
      <c r="N317" s="762"/>
      <c r="O317" s="762"/>
      <c r="P317" s="15"/>
      <c r="Q317" s="15"/>
      <c r="R317" s="15"/>
      <c r="S317" s="15"/>
      <c r="T317" s="15"/>
      <c r="U317" s="15"/>
      <c r="V317" s="504"/>
      <c r="W317" s="504"/>
      <c r="X317" s="504"/>
      <c r="Y317" s="504"/>
      <c r="Z317" s="504"/>
      <c r="AA317" s="504"/>
      <c r="AB317" s="504"/>
    </row>
    <row r="318" spans="3:28" ht="15" x14ac:dyDescent="0.2">
      <c r="C318" s="304"/>
      <c r="D318" s="304"/>
      <c r="E318" s="304"/>
      <c r="F318" s="660" t="s">
        <v>22</v>
      </c>
      <c r="G318" s="660" t="s">
        <v>23</v>
      </c>
      <c r="H318" s="660" t="s">
        <v>24</v>
      </c>
      <c r="I318" s="660" t="s">
        <v>25</v>
      </c>
      <c r="J318" s="660" t="s">
        <v>39</v>
      </c>
      <c r="K318" s="660" t="s">
        <v>40</v>
      </c>
      <c r="L318" s="660" t="s">
        <v>276</v>
      </c>
      <c r="M318" s="660" t="s">
        <v>277</v>
      </c>
      <c r="N318" s="660" t="s">
        <v>278</v>
      </c>
      <c r="O318" s="660" t="s">
        <v>279</v>
      </c>
      <c r="P318" s="305"/>
      <c r="Q318" s="305"/>
      <c r="R318" s="305"/>
      <c r="S318" s="305"/>
      <c r="T318" s="305"/>
      <c r="U318" s="305"/>
      <c r="V318" s="504"/>
      <c r="W318" s="504"/>
      <c r="X318" s="504"/>
      <c r="Y318" s="504"/>
      <c r="Z318" s="504"/>
      <c r="AA318" s="504"/>
      <c r="AB318" s="504"/>
    </row>
    <row r="319" spans="3:28" x14ac:dyDescent="0.15">
      <c r="C319" s="504" t="s">
        <v>141</v>
      </c>
      <c r="D319" s="504"/>
      <c r="E319" s="535"/>
      <c r="F319" s="661">
        <f t="shared" ref="F319:O319" ca="1" si="317">+F85</f>
        <v>242342.71000000005</v>
      </c>
      <c r="G319" s="661">
        <f t="shared" ca="1" si="317"/>
        <v>564633.96420000016</v>
      </c>
      <c r="H319" s="661">
        <f t="shared" ca="1" si="317"/>
        <v>886702.04348400002</v>
      </c>
      <c r="I319" s="661">
        <f t="shared" ca="1" si="317"/>
        <v>1000347.0203536805</v>
      </c>
      <c r="J319" s="661">
        <f t="shared" ca="1" si="317"/>
        <v>1050105.9634807534</v>
      </c>
      <c r="K319" s="661">
        <f t="shared" ca="1" si="317"/>
        <v>1102092.0993391685</v>
      </c>
      <c r="L319" s="661">
        <f t="shared" ca="1" si="317"/>
        <v>1156399.2523383042</v>
      </c>
      <c r="M319" s="661">
        <f t="shared" ca="1" si="317"/>
        <v>1213125.0945979166</v>
      </c>
      <c r="N319" s="661">
        <f t="shared" ca="1" si="317"/>
        <v>1272371.301751235</v>
      </c>
      <c r="O319" s="661">
        <f t="shared" ca="1" si="317"/>
        <v>1334243.7150180743</v>
      </c>
      <c r="P319" s="15"/>
      <c r="Q319" s="15"/>
      <c r="R319" s="15"/>
      <c r="S319" s="15"/>
      <c r="T319" s="15"/>
      <c r="U319" s="15"/>
      <c r="V319" s="504"/>
      <c r="W319" s="504"/>
      <c r="X319" s="504"/>
      <c r="Y319" s="504"/>
      <c r="Z319" s="504"/>
      <c r="AA319" s="504"/>
      <c r="AB319" s="504"/>
    </row>
    <row r="320" spans="3:28" x14ac:dyDescent="0.15">
      <c r="C320" s="504"/>
      <c r="D320" s="504"/>
      <c r="E320" s="535"/>
      <c r="F320" s="661"/>
      <c r="G320" s="661"/>
      <c r="H320" s="661"/>
      <c r="I320" s="661"/>
      <c r="J320" s="661"/>
      <c r="K320" s="661"/>
      <c r="L320" s="661"/>
      <c r="M320" s="661"/>
      <c r="N320" s="661"/>
      <c r="O320" s="661"/>
      <c r="P320" s="15"/>
      <c r="Q320" s="15"/>
      <c r="R320" s="15"/>
      <c r="S320" s="15"/>
      <c r="T320" s="15"/>
      <c r="U320" s="15"/>
      <c r="V320" s="504"/>
      <c r="W320" s="504"/>
      <c r="X320" s="504"/>
      <c r="Y320" s="504"/>
      <c r="Z320" s="504"/>
      <c r="AA320" s="504"/>
      <c r="AB320" s="504"/>
    </row>
    <row r="321" spans="3:28" x14ac:dyDescent="0.15">
      <c r="C321" s="11" t="str">
        <f t="shared" ref="C321:C327" si="318">+C268</f>
        <v>Debt service</v>
      </c>
      <c r="D321" s="504"/>
      <c r="E321" s="535"/>
      <c r="F321" s="661"/>
      <c r="G321" s="661"/>
      <c r="H321" s="661"/>
      <c r="I321" s="661"/>
      <c r="J321" s="661"/>
      <c r="K321" s="661"/>
      <c r="L321" s="661"/>
      <c r="M321" s="661"/>
      <c r="N321" s="661"/>
      <c r="O321" s="661"/>
      <c r="P321" s="15"/>
      <c r="Q321" s="15"/>
      <c r="R321" s="15"/>
      <c r="S321" s="15"/>
      <c r="T321" s="15"/>
      <c r="U321" s="15"/>
      <c r="V321" s="504"/>
      <c r="W321" s="504"/>
      <c r="X321" s="504"/>
      <c r="Y321" s="504"/>
      <c r="Z321" s="504"/>
      <c r="AA321" s="504"/>
      <c r="AB321" s="504"/>
    </row>
    <row r="322" spans="3:28" x14ac:dyDescent="0.15">
      <c r="C322" s="32" t="str">
        <f t="shared" si="318"/>
        <v>Additional debt/Refinance</v>
      </c>
      <c r="D322" s="504"/>
      <c r="E322" s="535"/>
      <c r="F322" s="535">
        <f t="shared" ref="F322:O322" si="319">F92</f>
        <v>5400000</v>
      </c>
      <c r="G322" s="535">
        <f t="shared" si="319"/>
        <v>5400000</v>
      </c>
      <c r="H322" s="535">
        <f t="shared" si="319"/>
        <v>5400000</v>
      </c>
      <c r="I322" s="535">
        <f t="shared" si="319"/>
        <v>5341804.9684915757</v>
      </c>
      <c r="J322" s="535">
        <f t="shared" si="319"/>
        <v>5279807.5221202504</v>
      </c>
      <c r="K322" s="535">
        <f t="shared" ca="1" si="319"/>
        <v>9896934.5995611511</v>
      </c>
      <c r="L322" s="535">
        <f t="shared" ca="1" si="319"/>
        <v>9783373.1944524776</v>
      </c>
      <c r="M322" s="535">
        <f t="shared" ca="1" si="319"/>
        <v>9662322.6512631476</v>
      </c>
      <c r="N322" s="535">
        <f t="shared" ca="1" si="319"/>
        <v>9533289.0769391134</v>
      </c>
      <c r="O322" s="535">
        <f t="shared" ca="1" si="319"/>
        <v>9395746.0072083548</v>
      </c>
      <c r="P322" s="15"/>
      <c r="Q322" s="15"/>
      <c r="R322" s="15"/>
      <c r="S322" s="15"/>
      <c r="T322" s="15"/>
      <c r="U322" s="15"/>
      <c r="V322" s="504"/>
      <c r="W322" s="504"/>
      <c r="X322" s="504"/>
      <c r="Y322" s="504"/>
      <c r="Z322" s="504"/>
      <c r="AA322" s="504"/>
      <c r="AB322" s="504"/>
    </row>
    <row r="323" spans="3:28" x14ac:dyDescent="0.15">
      <c r="C323" s="507" t="str">
        <f t="shared" si="318"/>
        <v>Additional debt/Refinance</v>
      </c>
      <c r="D323" s="504"/>
      <c r="E323" s="535"/>
      <c r="F323" s="535">
        <f t="shared" ref="F323:O323" si="320">F93</f>
        <v>0</v>
      </c>
      <c r="G323" s="535">
        <f t="shared" si="320"/>
        <v>0</v>
      </c>
      <c r="H323" s="535">
        <f t="shared" si="320"/>
        <v>0</v>
      </c>
      <c r="I323" s="535">
        <f t="shared" si="320"/>
        <v>0</v>
      </c>
      <c r="J323" s="535">
        <f t="shared" ca="1" si="320"/>
        <v>4723662.6814165544</v>
      </c>
      <c r="K323" s="535">
        <f t="shared" si="320"/>
        <v>0</v>
      </c>
      <c r="L323" s="535">
        <f t="shared" si="320"/>
        <v>0</v>
      </c>
      <c r="M323" s="535">
        <f t="shared" si="320"/>
        <v>0</v>
      </c>
      <c r="N323" s="535">
        <f t="shared" si="320"/>
        <v>0</v>
      </c>
      <c r="O323" s="535">
        <f t="shared" si="320"/>
        <v>0</v>
      </c>
      <c r="P323" s="15"/>
      <c r="Q323" s="15"/>
      <c r="R323" s="15"/>
      <c r="S323" s="15"/>
      <c r="T323" s="15"/>
      <c r="U323" s="15"/>
      <c r="V323" s="504"/>
      <c r="W323" s="504"/>
      <c r="X323" s="504"/>
      <c r="Y323" s="504"/>
      <c r="Z323" s="504"/>
      <c r="AA323" s="504"/>
      <c r="AB323" s="504"/>
    </row>
    <row r="324" spans="3:28" x14ac:dyDescent="0.15">
      <c r="C324" s="32" t="str">
        <f t="shared" si="318"/>
        <v>Payment</v>
      </c>
      <c r="D324" s="504"/>
      <c r="E324" s="535"/>
      <c r="F324" s="535">
        <f t="shared" ref="F324:O324" si="321">F94</f>
        <v>352831.5</v>
      </c>
      <c r="G324" s="535">
        <f t="shared" si="321"/>
        <v>352831.5</v>
      </c>
      <c r="H324" s="535">
        <f t="shared" si="321"/>
        <v>411026.53150842432</v>
      </c>
      <c r="I324" s="535">
        <f t="shared" si="321"/>
        <v>411026.53150842432</v>
      </c>
      <c r="J324" s="535">
        <f t="shared" ca="1" si="321"/>
        <v>766243.62333598279</v>
      </c>
      <c r="K324" s="535">
        <f t="shared" ca="1" si="321"/>
        <v>766243.62333598279</v>
      </c>
      <c r="L324" s="535">
        <f t="shared" ca="1" si="321"/>
        <v>766243.62333598279</v>
      </c>
      <c r="M324" s="535">
        <f t="shared" ca="1" si="321"/>
        <v>766243.62333598279</v>
      </c>
      <c r="N324" s="535">
        <f t="shared" ca="1" si="321"/>
        <v>766243.62333598279</v>
      </c>
      <c r="O324" s="535">
        <f t="shared" ca="1" si="321"/>
        <v>766243.62333598279</v>
      </c>
      <c r="P324" s="15"/>
      <c r="Q324" s="15"/>
      <c r="R324" s="15"/>
      <c r="S324" s="15"/>
      <c r="T324" s="15"/>
      <c r="U324" s="15"/>
      <c r="V324" s="504"/>
      <c r="W324" s="504"/>
      <c r="X324" s="504"/>
      <c r="Y324" s="504"/>
      <c r="Z324" s="504"/>
      <c r="AA324" s="504"/>
      <c r="AB324" s="504"/>
    </row>
    <row r="325" spans="3:28" x14ac:dyDescent="0.15">
      <c r="C325" s="32" t="str">
        <f t="shared" si="318"/>
        <v>Principal</v>
      </c>
      <c r="D325" s="504"/>
      <c r="E325" s="535"/>
      <c r="F325" s="535">
        <f t="shared" ref="F325:O325" si="322">F95</f>
        <v>0</v>
      </c>
      <c r="G325" s="535">
        <f t="shared" si="322"/>
        <v>0</v>
      </c>
      <c r="H325" s="535">
        <f t="shared" si="322"/>
        <v>58195.031508424319</v>
      </c>
      <c r="I325" s="535">
        <f t="shared" si="322"/>
        <v>61997.446371325175</v>
      </c>
      <c r="J325" s="535">
        <f t="shared" ca="1" si="322"/>
        <v>106535.60397565446</v>
      </c>
      <c r="K325" s="535">
        <f t="shared" ca="1" si="322"/>
        <v>113561.40510867385</v>
      </c>
      <c r="L325" s="535">
        <f t="shared" ca="1" si="322"/>
        <v>121050.54318933026</v>
      </c>
      <c r="M325" s="535">
        <f t="shared" ca="1" si="322"/>
        <v>129033.57432403497</v>
      </c>
      <c r="N325" s="535">
        <f t="shared" ca="1" si="322"/>
        <v>137543.06973075843</v>
      </c>
      <c r="O325" s="535">
        <f t="shared" ca="1" si="322"/>
        <v>146613.7486314401</v>
      </c>
      <c r="P325" s="15"/>
      <c r="Q325" s="15"/>
      <c r="R325" s="15"/>
      <c r="S325" s="15"/>
      <c r="T325" s="15"/>
      <c r="U325" s="15"/>
      <c r="V325" s="504"/>
      <c r="W325" s="504"/>
      <c r="X325" s="504"/>
      <c r="Y325" s="504"/>
      <c r="Z325" s="504"/>
      <c r="AA325" s="504"/>
      <c r="AB325" s="504"/>
    </row>
    <row r="326" spans="3:28" x14ac:dyDescent="0.15">
      <c r="C326" s="32" t="str">
        <f t="shared" si="318"/>
        <v>Interest</v>
      </c>
      <c r="D326" s="504"/>
      <c r="E326" s="535"/>
      <c r="F326" s="535">
        <f t="shared" ref="F326:O326" si="323">F96</f>
        <v>352831.5</v>
      </c>
      <c r="G326" s="535">
        <f t="shared" si="323"/>
        <v>352831.5</v>
      </c>
      <c r="H326" s="535">
        <f t="shared" si="323"/>
        <v>352831.5</v>
      </c>
      <c r="I326" s="535">
        <f t="shared" si="323"/>
        <v>349029.08513709914</v>
      </c>
      <c r="J326" s="535">
        <f t="shared" ca="1" si="323"/>
        <v>659708.01936032833</v>
      </c>
      <c r="K326" s="535">
        <f t="shared" ca="1" si="323"/>
        <v>652682.21822730894</v>
      </c>
      <c r="L326" s="535">
        <f t="shared" ca="1" si="323"/>
        <v>645193.08014665253</v>
      </c>
      <c r="M326" s="535">
        <f t="shared" ca="1" si="323"/>
        <v>637210.04901194782</v>
      </c>
      <c r="N326" s="535">
        <f t="shared" ca="1" si="323"/>
        <v>628700.55360522436</v>
      </c>
      <c r="O326" s="535">
        <f t="shared" ca="1" si="323"/>
        <v>619629.87470454269</v>
      </c>
      <c r="P326" s="15"/>
      <c r="Q326" s="15"/>
      <c r="R326" s="15"/>
      <c r="S326" s="15"/>
      <c r="T326" s="15"/>
      <c r="U326" s="15"/>
      <c r="V326" s="504"/>
      <c r="W326" s="504"/>
      <c r="X326" s="504"/>
      <c r="Y326" s="504"/>
      <c r="Z326" s="504"/>
      <c r="AA326" s="504"/>
      <c r="AB326" s="504"/>
    </row>
    <row r="327" spans="3:28" x14ac:dyDescent="0.15">
      <c r="C327" s="32" t="str">
        <f t="shared" si="318"/>
        <v>Ending balance</v>
      </c>
      <c r="D327" s="504"/>
      <c r="E327" s="535"/>
      <c r="F327" s="719">
        <f t="shared" ref="F327:O327" si="324">F97</f>
        <v>5400000</v>
      </c>
      <c r="G327" s="719">
        <f t="shared" si="324"/>
        <v>5400000</v>
      </c>
      <c r="H327" s="719">
        <f t="shared" si="324"/>
        <v>5341804.9684915757</v>
      </c>
      <c r="I327" s="719">
        <f t="shared" si="324"/>
        <v>5279807.5221202504</v>
      </c>
      <c r="J327" s="719">
        <f t="shared" ca="1" si="324"/>
        <v>9896934.5995611511</v>
      </c>
      <c r="K327" s="719">
        <f t="shared" ca="1" si="324"/>
        <v>9783373.1944524776</v>
      </c>
      <c r="L327" s="719">
        <f t="shared" ca="1" si="324"/>
        <v>9662322.6512631476</v>
      </c>
      <c r="M327" s="719">
        <f t="shared" ca="1" si="324"/>
        <v>9533289.0769391134</v>
      </c>
      <c r="N327" s="719">
        <f t="shared" ca="1" si="324"/>
        <v>9395746.0072083548</v>
      </c>
      <c r="O327" s="719">
        <f t="shared" ca="1" si="324"/>
        <v>9249132.2585769147</v>
      </c>
      <c r="P327" s="15"/>
      <c r="Q327" s="15"/>
      <c r="R327" s="15"/>
      <c r="S327" s="15"/>
      <c r="T327" s="15"/>
      <c r="U327" s="15"/>
      <c r="V327" s="504"/>
      <c r="W327" s="504"/>
      <c r="X327" s="504"/>
      <c r="Y327" s="504"/>
      <c r="Z327" s="504"/>
      <c r="AA327" s="504"/>
      <c r="AB327" s="504"/>
    </row>
    <row r="328" spans="3:28" x14ac:dyDescent="0.15">
      <c r="C328" s="504"/>
      <c r="D328" s="504"/>
      <c r="E328" s="535"/>
      <c r="F328" s="535"/>
      <c r="G328" s="535"/>
      <c r="H328" s="535"/>
      <c r="I328" s="661"/>
      <c r="J328" s="661"/>
      <c r="K328" s="661"/>
      <c r="L328" s="661"/>
      <c r="M328" s="661"/>
      <c r="N328" s="661"/>
      <c r="O328" s="661"/>
      <c r="P328" s="15"/>
      <c r="Q328" s="15"/>
      <c r="R328" s="15"/>
      <c r="S328" s="15"/>
      <c r="T328" s="15"/>
      <c r="U328" s="15"/>
      <c r="V328" s="504"/>
      <c r="W328" s="504"/>
      <c r="X328" s="504"/>
      <c r="Y328" s="504"/>
      <c r="Z328" s="504"/>
      <c r="AA328" s="504"/>
      <c r="AB328" s="504"/>
    </row>
    <row r="329" spans="3:28" x14ac:dyDescent="0.15">
      <c r="C329" s="269">
        <f>+C276</f>
        <v>0</v>
      </c>
      <c r="D329" s="504"/>
      <c r="E329" s="535"/>
      <c r="F329" s="535"/>
      <c r="G329" s="535"/>
      <c r="H329" s="535"/>
      <c r="I329" s="661"/>
      <c r="J329" s="661"/>
      <c r="K329" s="661"/>
      <c r="L329" s="661"/>
      <c r="M329" s="661"/>
      <c r="N329" s="661"/>
      <c r="O329" s="661"/>
      <c r="P329" s="15"/>
      <c r="Q329" s="15"/>
      <c r="R329" s="15"/>
      <c r="S329" s="15"/>
      <c r="T329" s="15"/>
      <c r="U329" s="15"/>
      <c r="V329" s="504"/>
      <c r="W329" s="504"/>
      <c r="X329" s="504"/>
      <c r="Y329" s="504"/>
      <c r="Z329" s="504"/>
      <c r="AA329" s="504"/>
      <c r="AB329" s="504"/>
    </row>
    <row r="330" spans="3:28" x14ac:dyDescent="0.15">
      <c r="C330" s="504"/>
      <c r="D330" s="504"/>
      <c r="E330" s="535"/>
      <c r="F330" s="535"/>
      <c r="G330" s="535"/>
      <c r="H330" s="535"/>
      <c r="I330" s="661"/>
      <c r="J330" s="661"/>
      <c r="K330" s="661"/>
      <c r="L330" s="661"/>
      <c r="M330" s="661"/>
      <c r="N330" s="661"/>
      <c r="O330" s="661"/>
      <c r="P330" s="15"/>
      <c r="Q330" s="15"/>
      <c r="R330" s="15"/>
      <c r="S330" s="15"/>
      <c r="T330" s="15"/>
      <c r="U330" s="15"/>
      <c r="V330" s="504"/>
      <c r="W330" s="504"/>
      <c r="X330" s="504"/>
      <c r="Y330" s="504"/>
      <c r="Z330" s="504"/>
      <c r="AA330" s="504"/>
      <c r="AB330" s="504"/>
    </row>
    <row r="331" spans="3:28" x14ac:dyDescent="0.15">
      <c r="C331" s="36" t="str">
        <f>+C278</f>
        <v>Refinance Valuation (from Proforma above)</v>
      </c>
      <c r="D331" s="504"/>
      <c r="E331" s="535"/>
      <c r="F331" s="535">
        <f t="shared" ref="F331:O331" ca="1" si="325">F102</f>
        <v>3728349.3846153854</v>
      </c>
      <c r="G331" s="535">
        <f t="shared" ca="1" si="325"/>
        <v>8686676.3723076936</v>
      </c>
      <c r="H331" s="535">
        <f t="shared" ca="1" si="325"/>
        <v>13641569.899753846</v>
      </c>
      <c r="I331" s="535">
        <f t="shared" ca="1" si="325"/>
        <v>15389954.159287391</v>
      </c>
      <c r="J331" s="535">
        <f t="shared" ca="1" si="325"/>
        <v>16155476.36124236</v>
      </c>
      <c r="K331" s="535">
        <f t="shared" ca="1" si="325"/>
        <v>16955263.066756438</v>
      </c>
      <c r="L331" s="535">
        <f t="shared" ca="1" si="325"/>
        <v>17790757.728281602</v>
      </c>
      <c r="M331" s="535">
        <f t="shared" ca="1" si="325"/>
        <v>18663462.9938141</v>
      </c>
      <c r="N331" s="535">
        <f t="shared" ca="1" si="325"/>
        <v>19574943.103865154</v>
      </c>
      <c r="O331" s="535">
        <f t="shared" ca="1" si="325"/>
        <v>20526826.384893451</v>
      </c>
      <c r="P331" s="15"/>
      <c r="Q331" s="15"/>
      <c r="R331" s="15"/>
      <c r="S331" s="15"/>
      <c r="T331" s="15"/>
      <c r="U331" s="15"/>
      <c r="V331" s="504"/>
      <c r="W331" s="504"/>
      <c r="X331" s="504"/>
      <c r="Y331" s="504"/>
      <c r="Z331" s="504"/>
      <c r="AA331" s="504"/>
      <c r="AB331" s="504"/>
    </row>
    <row r="332" spans="3:28" x14ac:dyDescent="0.15">
      <c r="C332" s="35"/>
      <c r="D332" s="504"/>
      <c r="E332" s="535"/>
      <c r="F332" s="535"/>
      <c r="G332" s="535"/>
      <c r="H332" s="535"/>
      <c r="I332" s="661"/>
      <c r="J332" s="661"/>
      <c r="K332" s="661"/>
      <c r="L332" s="661"/>
      <c r="M332" s="661"/>
      <c r="N332" s="661"/>
      <c r="O332" s="661"/>
      <c r="P332" s="15"/>
      <c r="Q332" s="15"/>
      <c r="R332" s="15"/>
      <c r="S332" s="15"/>
      <c r="T332" s="15"/>
      <c r="U332" s="15"/>
      <c r="V332" s="504"/>
      <c r="W332" s="504"/>
      <c r="X332" s="504"/>
      <c r="Y332" s="504"/>
      <c r="Z332" s="504"/>
      <c r="AA332" s="504"/>
      <c r="AB332" s="504"/>
    </row>
    <row r="333" spans="3:28" x14ac:dyDescent="0.15">
      <c r="C333" s="507" t="str">
        <f>+C280</f>
        <v>Net Cash Flow after Debt Service</v>
      </c>
      <c r="D333" s="504"/>
      <c r="E333" s="535"/>
      <c r="F333" s="535">
        <f t="shared" ref="F333:O333" ca="1" si="326">F104</f>
        <v>-110488.78999999995</v>
      </c>
      <c r="G333" s="535">
        <f t="shared" ca="1" si="326"/>
        <v>211802.46420000016</v>
      </c>
      <c r="H333" s="535">
        <f t="shared" ca="1" si="326"/>
        <v>475675.5119755757</v>
      </c>
      <c r="I333" s="535">
        <f t="shared" ca="1" si="326"/>
        <v>589320.48884525616</v>
      </c>
      <c r="J333" s="535">
        <f t="shared" ca="1" si="326"/>
        <v>283862.34014477057</v>
      </c>
      <c r="K333" s="535">
        <f t="shared" ca="1" si="326"/>
        <v>335848.47600318573</v>
      </c>
      <c r="L333" s="535">
        <f t="shared" ca="1" si="326"/>
        <v>390155.6290023214</v>
      </c>
      <c r="M333" s="535">
        <f t="shared" ca="1" si="326"/>
        <v>446881.4712619338</v>
      </c>
      <c r="N333" s="535">
        <f t="shared" ca="1" si="326"/>
        <v>506127.67841525225</v>
      </c>
      <c r="O333" s="535">
        <f t="shared" ca="1" si="326"/>
        <v>568000.09168209147</v>
      </c>
      <c r="P333" s="15"/>
      <c r="Q333" s="15"/>
      <c r="R333" s="15"/>
      <c r="S333" s="15"/>
      <c r="T333" s="15"/>
      <c r="U333" s="15"/>
      <c r="V333" s="504"/>
      <c r="W333" s="504"/>
      <c r="X333" s="504"/>
      <c r="Y333" s="504"/>
      <c r="Z333" s="504"/>
      <c r="AA333" s="504"/>
      <c r="AB333" s="504"/>
    </row>
    <row r="334" spans="3:28" x14ac:dyDescent="0.15">
      <c r="C334" s="507" t="str">
        <f>+C281</f>
        <v>Cash from Sale of POH</v>
      </c>
      <c r="D334" s="504"/>
      <c r="E334" s="535"/>
      <c r="F334" s="535">
        <f t="shared" ref="F334:O334" si="327">F105</f>
        <v>0</v>
      </c>
      <c r="G334" s="535">
        <f t="shared" ref="G334:L334" si="328">G107</f>
        <v>0</v>
      </c>
      <c r="H334" s="535">
        <f t="shared" si="328"/>
        <v>0</v>
      </c>
      <c r="I334" s="535">
        <f t="shared" si="328"/>
        <v>0</v>
      </c>
      <c r="J334" s="535">
        <f t="shared" si="328"/>
        <v>0</v>
      </c>
      <c r="K334" s="535">
        <f t="shared" si="328"/>
        <v>0</v>
      </c>
      <c r="L334" s="535">
        <f t="shared" si="328"/>
        <v>0</v>
      </c>
      <c r="M334" s="535">
        <f t="shared" si="327"/>
        <v>0</v>
      </c>
      <c r="N334" s="535">
        <f t="shared" si="327"/>
        <v>0</v>
      </c>
      <c r="O334" s="535">
        <f t="shared" si="327"/>
        <v>0</v>
      </c>
      <c r="P334" s="15"/>
      <c r="Q334" s="15"/>
      <c r="R334" s="15"/>
      <c r="S334" s="15"/>
      <c r="T334" s="15"/>
      <c r="U334" s="15"/>
      <c r="V334" s="504"/>
      <c r="W334" s="504"/>
      <c r="X334" s="504"/>
      <c r="Y334" s="504"/>
      <c r="Z334" s="504"/>
      <c r="AA334" s="504"/>
      <c r="AB334" s="504"/>
    </row>
    <row r="335" spans="3:28" x14ac:dyDescent="0.15">
      <c r="C335" s="507" t="str">
        <f>+C282</f>
        <v>Net Operating Cash Flow From POH</v>
      </c>
      <c r="D335" s="504"/>
      <c r="E335" s="535"/>
      <c r="F335" s="535">
        <f t="shared" ref="F335:O335" si="329">F106</f>
        <v>364812</v>
      </c>
      <c r="G335" s="535">
        <f t="shared" si="329"/>
        <v>454812</v>
      </c>
      <c r="H335" s="535">
        <f t="shared" si="329"/>
        <v>544812</v>
      </c>
      <c r="I335" s="535">
        <f t="shared" si="329"/>
        <v>562632</v>
      </c>
      <c r="J335" s="535">
        <f t="shared" si="329"/>
        <v>562632</v>
      </c>
      <c r="K335" s="535">
        <f t="shared" si="329"/>
        <v>562632</v>
      </c>
      <c r="L335" s="535">
        <f t="shared" si="329"/>
        <v>562632</v>
      </c>
      <c r="M335" s="535">
        <f t="shared" si="329"/>
        <v>562632</v>
      </c>
      <c r="N335" s="535">
        <f t="shared" si="329"/>
        <v>562632</v>
      </c>
      <c r="O335" s="535">
        <f t="shared" si="329"/>
        <v>562632</v>
      </c>
      <c r="P335" s="15"/>
      <c r="Q335" s="15"/>
      <c r="R335" s="15"/>
      <c r="S335" s="15"/>
      <c r="T335" s="15"/>
      <c r="U335" s="15"/>
      <c r="V335" s="504"/>
      <c r="W335" s="504"/>
      <c r="X335" s="504"/>
      <c r="Y335" s="504"/>
      <c r="Z335" s="504"/>
      <c r="AA335" s="504"/>
      <c r="AB335" s="504"/>
    </row>
    <row r="336" spans="3:28" x14ac:dyDescent="0.15">
      <c r="C336" s="507" t="str">
        <f>+C283</f>
        <v>Income from rehabbin and filling vacant POH</v>
      </c>
      <c r="D336" s="504"/>
      <c r="E336" s="535"/>
      <c r="F336" s="535">
        <f t="shared" ref="F336:O336" si="330">F107</f>
        <v>0</v>
      </c>
      <c r="G336" s="535">
        <f t="shared" si="330"/>
        <v>0</v>
      </c>
      <c r="H336" s="535">
        <f t="shared" si="330"/>
        <v>0</v>
      </c>
      <c r="I336" s="535">
        <f t="shared" si="330"/>
        <v>0</v>
      </c>
      <c r="J336" s="535">
        <f t="shared" si="330"/>
        <v>0</v>
      </c>
      <c r="K336" s="535">
        <f t="shared" si="330"/>
        <v>0</v>
      </c>
      <c r="L336" s="535">
        <f t="shared" si="330"/>
        <v>0</v>
      </c>
      <c r="M336" s="535">
        <f t="shared" si="330"/>
        <v>0</v>
      </c>
      <c r="N336" s="535">
        <f t="shared" si="330"/>
        <v>0</v>
      </c>
      <c r="O336" s="535">
        <f t="shared" si="330"/>
        <v>0</v>
      </c>
      <c r="P336" s="15"/>
      <c r="Q336" s="15"/>
      <c r="R336" s="15"/>
      <c r="S336" s="15"/>
      <c r="T336" s="15"/>
      <c r="U336" s="15"/>
      <c r="V336" s="504"/>
      <c r="W336" s="504"/>
      <c r="X336" s="504"/>
      <c r="Y336" s="504"/>
      <c r="Z336" s="504"/>
      <c r="AA336" s="504"/>
      <c r="AB336" s="504"/>
    </row>
    <row r="337" spans="3:28" x14ac:dyDescent="0.15">
      <c r="C337" s="507" t="str">
        <f>+C284</f>
        <v>POH Seller Carry Note</v>
      </c>
      <c r="D337" s="504"/>
      <c r="E337" s="535"/>
      <c r="F337" s="535">
        <f>F108</f>
        <v>0</v>
      </c>
      <c r="G337" s="535">
        <f t="shared" ref="G337:O337" si="331">G108</f>
        <v>0</v>
      </c>
      <c r="H337" s="535">
        <f t="shared" si="331"/>
        <v>0</v>
      </c>
      <c r="I337" s="535">
        <f t="shared" si="331"/>
        <v>0</v>
      </c>
      <c r="J337" s="535">
        <f t="shared" si="331"/>
        <v>0</v>
      </c>
      <c r="K337" s="535">
        <f t="shared" si="331"/>
        <v>0</v>
      </c>
      <c r="L337" s="535">
        <f t="shared" si="331"/>
        <v>0</v>
      </c>
      <c r="M337" s="535">
        <f t="shared" si="331"/>
        <v>0</v>
      </c>
      <c r="N337" s="535">
        <f t="shared" si="331"/>
        <v>0</v>
      </c>
      <c r="O337" s="535">
        <f t="shared" si="331"/>
        <v>0</v>
      </c>
      <c r="P337" s="15"/>
      <c r="Q337" s="15"/>
      <c r="R337" s="15"/>
      <c r="S337" s="15"/>
      <c r="T337" s="15"/>
      <c r="U337" s="15"/>
      <c r="V337" s="504"/>
      <c r="W337" s="504"/>
      <c r="X337" s="504"/>
      <c r="Y337" s="504"/>
      <c r="Z337" s="504"/>
      <c r="AA337" s="504"/>
      <c r="AB337" s="504"/>
    </row>
    <row r="338" spans="3:28" x14ac:dyDescent="0.15">
      <c r="C338" s="507" t="str">
        <f t="shared" ref="C338:C341" si="332">+C285</f>
        <v>Acquisition Fee</v>
      </c>
      <c r="D338" s="504"/>
      <c r="E338" s="535"/>
      <c r="F338" s="535">
        <f t="shared" ref="F338:O341" si="333">F109</f>
        <v>0</v>
      </c>
      <c r="G338" s="535">
        <f t="shared" si="333"/>
        <v>0</v>
      </c>
      <c r="H338" s="535">
        <f t="shared" si="333"/>
        <v>0</v>
      </c>
      <c r="I338" s="535">
        <f t="shared" si="333"/>
        <v>0</v>
      </c>
      <c r="J338" s="535">
        <f t="shared" si="333"/>
        <v>0</v>
      </c>
      <c r="K338" s="535">
        <f t="shared" si="333"/>
        <v>0</v>
      </c>
      <c r="L338" s="535">
        <f t="shared" si="333"/>
        <v>0</v>
      </c>
      <c r="M338" s="535">
        <f t="shared" si="333"/>
        <v>0</v>
      </c>
      <c r="N338" s="535">
        <f t="shared" si="333"/>
        <v>0</v>
      </c>
      <c r="O338" s="535">
        <f t="shared" si="333"/>
        <v>0</v>
      </c>
      <c r="P338" s="15"/>
      <c r="Q338" s="15"/>
      <c r="R338" s="15"/>
      <c r="S338" s="15"/>
      <c r="T338" s="15"/>
      <c r="U338" s="15"/>
      <c r="V338" s="504"/>
      <c r="W338" s="504"/>
      <c r="X338" s="504"/>
      <c r="Y338" s="504"/>
      <c r="Z338" s="504"/>
      <c r="AA338" s="504"/>
      <c r="AB338" s="504"/>
    </row>
    <row r="339" spans="3:28" x14ac:dyDescent="0.15">
      <c r="C339" s="507" t="str">
        <f t="shared" si="332"/>
        <v>Asset Management Fee</v>
      </c>
      <c r="D339" s="504"/>
      <c r="E339" s="535"/>
      <c r="F339" s="535">
        <f t="shared" si="333"/>
        <v>0</v>
      </c>
      <c r="G339" s="535">
        <f t="shared" si="333"/>
        <v>0</v>
      </c>
      <c r="H339" s="535">
        <f t="shared" si="333"/>
        <v>0</v>
      </c>
      <c r="I339" s="535">
        <f t="shared" si="333"/>
        <v>0</v>
      </c>
      <c r="J339" s="535">
        <f t="shared" si="333"/>
        <v>0</v>
      </c>
      <c r="K339" s="535">
        <f t="shared" si="333"/>
        <v>0</v>
      </c>
      <c r="L339" s="535">
        <f t="shared" si="333"/>
        <v>0</v>
      </c>
      <c r="M339" s="535">
        <f t="shared" si="333"/>
        <v>0</v>
      </c>
      <c r="N339" s="535">
        <f t="shared" si="333"/>
        <v>0</v>
      </c>
      <c r="O339" s="535">
        <f t="shared" si="333"/>
        <v>0</v>
      </c>
      <c r="P339" s="15"/>
      <c r="Q339" s="15"/>
      <c r="R339" s="15"/>
      <c r="S339" s="15"/>
      <c r="T339" s="15"/>
      <c r="U339" s="15"/>
      <c r="V339" s="504"/>
      <c r="W339" s="504"/>
      <c r="X339" s="504"/>
      <c r="Y339" s="504"/>
      <c r="Z339" s="504"/>
      <c r="AA339" s="504"/>
      <c r="AB339" s="504"/>
    </row>
    <row r="340" spans="3:28" x14ac:dyDescent="0.15">
      <c r="C340" s="507" t="str">
        <f t="shared" si="332"/>
        <v>Refinance Fee</v>
      </c>
      <c r="D340" s="504"/>
      <c r="E340" s="535"/>
      <c r="F340" s="535">
        <f t="shared" si="333"/>
        <v>0</v>
      </c>
      <c r="G340" s="535">
        <f t="shared" si="333"/>
        <v>0</v>
      </c>
      <c r="H340" s="535">
        <f t="shared" si="333"/>
        <v>0</v>
      </c>
      <c r="I340" s="535">
        <f t="shared" ca="1" si="333"/>
        <v>0</v>
      </c>
      <c r="J340" s="535">
        <f t="shared" ca="1" si="333"/>
        <v>0</v>
      </c>
      <c r="K340" s="535">
        <f t="shared" si="333"/>
        <v>0</v>
      </c>
      <c r="L340" s="535">
        <f t="shared" si="333"/>
        <v>0</v>
      </c>
      <c r="M340" s="535">
        <f t="shared" si="333"/>
        <v>0</v>
      </c>
      <c r="N340" s="535">
        <f t="shared" si="333"/>
        <v>0</v>
      </c>
      <c r="O340" s="535">
        <f t="shared" si="333"/>
        <v>0</v>
      </c>
      <c r="P340" s="15"/>
      <c r="Q340" s="15"/>
      <c r="R340" s="15"/>
      <c r="S340" s="15"/>
      <c r="T340" s="15"/>
      <c r="U340" s="15"/>
      <c r="V340" s="504"/>
      <c r="W340" s="504"/>
      <c r="X340" s="504"/>
      <c r="Y340" s="504"/>
      <c r="Z340" s="504"/>
      <c r="AA340" s="504"/>
      <c r="AB340" s="504"/>
    </row>
    <row r="341" spans="3:28" x14ac:dyDescent="0.15">
      <c r="C341" s="507" t="str">
        <f t="shared" si="332"/>
        <v>Disposition Fee</v>
      </c>
      <c r="D341" s="504"/>
      <c r="E341" s="535"/>
      <c r="F341" s="535">
        <f t="shared" si="333"/>
        <v>0</v>
      </c>
      <c r="G341" s="535">
        <f t="shared" si="333"/>
        <v>0</v>
      </c>
      <c r="H341" s="535">
        <f t="shared" si="333"/>
        <v>0</v>
      </c>
      <c r="I341" s="535">
        <f t="shared" si="333"/>
        <v>0</v>
      </c>
      <c r="J341" s="535">
        <f t="shared" si="333"/>
        <v>0</v>
      </c>
      <c r="K341" s="535">
        <f t="shared" si="333"/>
        <v>0</v>
      </c>
      <c r="L341" s="535">
        <f t="shared" si="333"/>
        <v>0</v>
      </c>
      <c r="M341" s="535">
        <f t="shared" si="333"/>
        <v>0</v>
      </c>
      <c r="N341" s="535">
        <f t="shared" si="333"/>
        <v>0</v>
      </c>
      <c r="O341" s="535">
        <f t="shared" si="333"/>
        <v>0</v>
      </c>
      <c r="P341" s="15"/>
      <c r="Q341" s="15"/>
      <c r="R341" s="15"/>
      <c r="S341" s="15"/>
      <c r="T341" s="15"/>
      <c r="U341" s="15"/>
      <c r="V341" s="504"/>
      <c r="W341" s="504"/>
      <c r="X341" s="504"/>
      <c r="Y341" s="504"/>
      <c r="Z341" s="504"/>
      <c r="AA341" s="504"/>
      <c r="AB341" s="504"/>
    </row>
    <row r="342" spans="3:28" x14ac:dyDescent="0.15">
      <c r="C342" s="507" t="str">
        <f>+C289</f>
        <v>Return of Capital (other)</v>
      </c>
      <c r="D342" s="504"/>
      <c r="E342" s="535"/>
      <c r="F342" s="535">
        <f t="shared" ref="F342:N342" si="334">F113</f>
        <v>0</v>
      </c>
      <c r="G342" s="535">
        <f t="shared" si="334"/>
        <v>0</v>
      </c>
      <c r="H342" s="535">
        <f t="shared" si="334"/>
        <v>0</v>
      </c>
      <c r="I342" s="535">
        <f t="shared" ca="1" si="334"/>
        <v>4723662.6814165544</v>
      </c>
      <c r="J342" s="535">
        <f t="shared" si="334"/>
        <v>0</v>
      </c>
      <c r="K342" s="535">
        <f t="shared" si="334"/>
        <v>0</v>
      </c>
      <c r="L342" s="535">
        <f t="shared" si="334"/>
        <v>0</v>
      </c>
      <c r="M342" s="535">
        <f t="shared" si="334"/>
        <v>0</v>
      </c>
      <c r="N342" s="535">
        <f t="shared" si="334"/>
        <v>0</v>
      </c>
      <c r="O342" s="535">
        <f>IF(FirstRefiYear=10,0,O113)</f>
        <v>0</v>
      </c>
      <c r="P342" s="15"/>
      <c r="Q342" s="15"/>
      <c r="R342" s="15"/>
      <c r="S342" s="15"/>
      <c r="T342" s="15"/>
      <c r="U342" s="15"/>
      <c r="V342" s="504"/>
      <c r="W342" s="504"/>
      <c r="X342" s="504"/>
      <c r="Y342" s="504"/>
      <c r="Z342" s="504"/>
      <c r="AA342" s="504"/>
      <c r="AB342" s="504"/>
    </row>
    <row r="343" spans="3:28" x14ac:dyDescent="0.15">
      <c r="C343" s="507" t="str">
        <f>+C290</f>
        <v>Sale Proceeds at Exit</v>
      </c>
      <c r="D343" s="504"/>
      <c r="E343" s="535"/>
      <c r="F343" s="535">
        <f t="shared" ref="F343:N343" si="335">F114</f>
        <v>0</v>
      </c>
      <c r="G343" s="535">
        <f t="shared" si="335"/>
        <v>0</v>
      </c>
      <c r="H343" s="535">
        <f t="shared" si="335"/>
        <v>0</v>
      </c>
      <c r="I343" s="535">
        <f t="shared" si="335"/>
        <v>0</v>
      </c>
      <c r="J343" s="535">
        <f t="shared" si="335"/>
        <v>0</v>
      </c>
      <c r="K343" s="535">
        <f t="shared" si="335"/>
        <v>0</v>
      </c>
      <c r="L343" s="535">
        <f t="shared" si="335"/>
        <v>0</v>
      </c>
      <c r="M343" s="535">
        <f t="shared" si="335"/>
        <v>0</v>
      </c>
      <c r="N343" s="535">
        <f t="shared" si="335"/>
        <v>0</v>
      </c>
      <c r="O343" s="535">
        <f ca="1">+(O319/RefiCap)*(1-Cost_of_Sale)</f>
        <v>19911021.593346648</v>
      </c>
      <c r="P343" s="15"/>
      <c r="Q343" s="15"/>
      <c r="R343" s="15"/>
      <c r="S343" s="15"/>
      <c r="T343" s="15"/>
      <c r="U343" s="15"/>
      <c r="V343" s="504"/>
      <c r="W343" s="504"/>
      <c r="X343" s="504"/>
      <c r="Y343" s="504"/>
      <c r="Z343" s="504"/>
      <c r="AA343" s="504"/>
      <c r="AB343" s="504"/>
    </row>
    <row r="344" spans="3:28" x14ac:dyDescent="0.15">
      <c r="C344" s="507" t="str">
        <f>+C291</f>
        <v>Repay Outstanding Loan</v>
      </c>
      <c r="D344" s="504"/>
      <c r="E344" s="535"/>
      <c r="F344" s="535"/>
      <c r="G344" s="535"/>
      <c r="H344" s="535"/>
      <c r="I344" s="535"/>
      <c r="J344" s="535"/>
      <c r="K344" s="535"/>
      <c r="L344" s="535"/>
      <c r="M344" s="535"/>
      <c r="N344" s="535"/>
      <c r="O344" s="535">
        <f ca="1">-O327</f>
        <v>-9249132.2585769147</v>
      </c>
      <c r="P344" s="15"/>
      <c r="Q344" s="15"/>
      <c r="R344" s="15"/>
      <c r="S344" s="15"/>
      <c r="T344" s="15"/>
      <c r="U344" s="15"/>
      <c r="V344" s="504"/>
      <c r="W344" s="504"/>
      <c r="X344" s="504"/>
      <c r="Y344" s="504"/>
      <c r="Z344" s="504"/>
      <c r="AA344" s="504"/>
      <c r="AB344" s="504"/>
    </row>
    <row r="345" spans="3:28" ht="14" thickBot="1" x14ac:dyDescent="0.2">
      <c r="C345" s="579" t="str">
        <f>+C292</f>
        <v>Pretax Income Available for Distribution</v>
      </c>
      <c r="D345" s="504"/>
      <c r="E345" s="535">
        <f>E292</f>
        <v>-5050000</v>
      </c>
      <c r="F345" s="535">
        <f ca="1">SUM(F333:F344)</f>
        <v>254323.21000000005</v>
      </c>
      <c r="G345" s="535">
        <f t="shared" ref="G345:O345" ca="1" si="336">SUM(G333:G344)</f>
        <v>666614.46420000016</v>
      </c>
      <c r="H345" s="535">
        <f t="shared" ca="1" si="336"/>
        <v>1020487.5119755757</v>
      </c>
      <c r="I345" s="535">
        <f t="shared" ca="1" si="336"/>
        <v>5875615.1702618105</v>
      </c>
      <c r="J345" s="535">
        <f t="shared" ca="1" si="336"/>
        <v>846494.34014477057</v>
      </c>
      <c r="K345" s="535">
        <f t="shared" ca="1" si="336"/>
        <v>898480.47600318573</v>
      </c>
      <c r="L345" s="535">
        <f t="shared" ca="1" si="336"/>
        <v>952787.6290023214</v>
      </c>
      <c r="M345" s="535">
        <f t="shared" ca="1" si="336"/>
        <v>1009513.4712619338</v>
      </c>
      <c r="N345" s="535">
        <f t="shared" ca="1" si="336"/>
        <v>1068759.6784152524</v>
      </c>
      <c r="O345" s="535">
        <f t="shared" ca="1" si="336"/>
        <v>11792521.426451825</v>
      </c>
      <c r="P345" s="15"/>
      <c r="Q345" s="15"/>
      <c r="R345" s="15"/>
      <c r="S345" s="15"/>
      <c r="T345" s="15"/>
      <c r="U345" s="15"/>
      <c r="V345" s="504"/>
      <c r="W345" s="504"/>
      <c r="X345" s="504"/>
      <c r="Y345" s="504"/>
      <c r="Z345" s="504"/>
      <c r="AA345" s="504"/>
      <c r="AB345" s="504"/>
    </row>
    <row r="346" spans="3:28" ht="14" thickTop="1" x14ac:dyDescent="0.15">
      <c r="C346" s="504"/>
      <c r="D346" s="504"/>
      <c r="E346" s="504"/>
      <c r="F346" s="15"/>
      <c r="G346" s="15"/>
      <c r="H346" s="15"/>
      <c r="I346" s="15"/>
      <c r="J346" s="15"/>
      <c r="K346" s="15"/>
      <c r="L346" s="15"/>
      <c r="M346" s="15"/>
      <c r="N346" s="15"/>
      <c r="O346" s="15"/>
      <c r="P346" s="15"/>
      <c r="Q346" s="15"/>
      <c r="R346" s="15"/>
      <c r="S346" s="15"/>
      <c r="T346" s="15"/>
      <c r="U346" s="15"/>
      <c r="V346" s="15"/>
      <c r="W346" s="15"/>
      <c r="X346" s="15"/>
      <c r="Y346" s="15"/>
      <c r="Z346" s="15"/>
      <c r="AA346" s="15"/>
      <c r="AB346" s="15"/>
    </row>
    <row r="347" spans="3:28" x14ac:dyDescent="0.15">
      <c r="C347" s="11" t="s">
        <v>302</v>
      </c>
      <c r="D347" s="504"/>
      <c r="E347" s="533">
        <f ca="1">IRR(E345:O345)</f>
        <v>0.28508579329902051</v>
      </c>
      <c r="F347" s="15"/>
      <c r="G347" s="15"/>
      <c r="H347" s="15"/>
      <c r="I347" s="15"/>
      <c r="J347" s="15"/>
      <c r="K347" s="15"/>
      <c r="L347" s="15"/>
      <c r="M347" s="15"/>
      <c r="N347" s="15"/>
      <c r="O347" s="15"/>
      <c r="P347" s="15"/>
      <c r="Q347" s="15"/>
      <c r="R347" s="15"/>
      <c r="S347" s="15"/>
      <c r="T347" s="15"/>
      <c r="U347" s="15"/>
      <c r="V347" s="15"/>
      <c r="W347" s="15"/>
      <c r="X347" s="15"/>
      <c r="Y347" s="15"/>
      <c r="Z347" s="15"/>
      <c r="AA347" s="15"/>
      <c r="AB347" s="15"/>
    </row>
    <row r="348" spans="3:28" x14ac:dyDescent="0.15">
      <c r="C348" s="507"/>
      <c r="D348" s="504"/>
      <c r="E348" s="504"/>
      <c r="F348" s="15"/>
      <c r="G348" s="15"/>
      <c r="H348" s="15"/>
      <c r="I348" s="15"/>
      <c r="J348" s="15"/>
      <c r="K348" s="15"/>
      <c r="L348" s="15"/>
      <c r="M348" s="15"/>
      <c r="N348" s="15"/>
      <c r="O348" s="15"/>
      <c r="P348" s="15"/>
      <c r="Q348" s="15"/>
      <c r="R348" s="15"/>
      <c r="S348" s="15"/>
      <c r="T348" s="15"/>
      <c r="U348" s="15"/>
      <c r="V348" s="15"/>
      <c r="W348" s="15"/>
      <c r="X348" s="15"/>
      <c r="Y348" s="15"/>
      <c r="Z348" s="15"/>
      <c r="AA348" s="15"/>
      <c r="AB348" s="15"/>
    </row>
    <row r="349" spans="3:28" x14ac:dyDescent="0.15">
      <c r="C349" s="11" t="str">
        <f t="shared" ref="C349:C362" si="337">+C296</f>
        <v>Distributions</v>
      </c>
      <c r="D349" s="504"/>
      <c r="E349" s="535"/>
      <c r="F349" s="661"/>
      <c r="G349" s="661"/>
      <c r="H349" s="661"/>
      <c r="I349" s="661"/>
      <c r="J349" s="661"/>
      <c r="K349" s="661"/>
      <c r="L349" s="661"/>
      <c r="M349" s="661"/>
      <c r="N349" s="661"/>
      <c r="O349" s="661"/>
      <c r="P349" s="15"/>
      <c r="Q349" s="15"/>
      <c r="R349" s="15"/>
      <c r="S349" s="15"/>
      <c r="T349" s="15"/>
      <c r="U349" s="15"/>
      <c r="V349" s="15"/>
      <c r="W349" s="15"/>
      <c r="X349" s="15"/>
      <c r="Y349" s="15"/>
      <c r="Z349" s="15"/>
      <c r="AA349" s="15"/>
      <c r="AB349" s="15"/>
    </row>
    <row r="350" spans="3:28" x14ac:dyDescent="0.15">
      <c r="C350" s="507" t="str">
        <f t="shared" si="337"/>
        <v>Investor Preferred Return</v>
      </c>
      <c r="D350" s="504"/>
      <c r="E350" s="535"/>
      <c r="F350" s="661"/>
      <c r="G350" s="661"/>
      <c r="H350" s="661"/>
      <c r="I350" s="661"/>
      <c r="J350" s="661"/>
      <c r="K350" s="661"/>
      <c r="L350" s="661"/>
      <c r="M350" s="661"/>
      <c r="N350" s="661"/>
      <c r="O350" s="661"/>
      <c r="P350" s="15"/>
      <c r="Q350" s="15"/>
      <c r="R350" s="15"/>
      <c r="S350" s="15"/>
      <c r="T350" s="15"/>
      <c r="U350" s="15"/>
      <c r="V350" s="15"/>
      <c r="W350" s="15"/>
      <c r="X350" s="15"/>
      <c r="Y350" s="15"/>
      <c r="Z350" s="15"/>
      <c r="AA350" s="15"/>
      <c r="AB350" s="15"/>
    </row>
    <row r="351" spans="3:28" x14ac:dyDescent="0.15">
      <c r="C351" s="23" t="str">
        <f t="shared" si="337"/>
        <v>Beginning balance</v>
      </c>
      <c r="D351" s="504"/>
      <c r="E351" s="535"/>
      <c r="F351" s="661">
        <f>-E345</f>
        <v>5050000</v>
      </c>
      <c r="G351" s="661">
        <f ca="1">+F354</f>
        <v>5048176.79</v>
      </c>
      <c r="H351" s="661">
        <f t="shared" ref="H351:O351" ca="1" si="338">+G354</f>
        <v>4633971.1652999995</v>
      </c>
      <c r="I351" s="661">
        <f t="shared" ca="1" si="338"/>
        <v>3845182.2115894235</v>
      </c>
      <c r="J351" s="661">
        <f t="shared" ca="1" si="338"/>
        <v>0</v>
      </c>
      <c r="K351" s="661">
        <f t="shared" ca="1" si="338"/>
        <v>0</v>
      </c>
      <c r="L351" s="661">
        <f t="shared" ca="1" si="338"/>
        <v>0</v>
      </c>
      <c r="M351" s="661">
        <f t="shared" ca="1" si="338"/>
        <v>0</v>
      </c>
      <c r="N351" s="661">
        <f t="shared" ca="1" si="338"/>
        <v>0</v>
      </c>
      <c r="O351" s="661">
        <f t="shared" ca="1" si="338"/>
        <v>0</v>
      </c>
      <c r="P351" s="15"/>
      <c r="Q351" s="15"/>
      <c r="R351" s="15"/>
      <c r="S351" s="15"/>
      <c r="T351" s="15"/>
      <c r="U351" s="15"/>
      <c r="V351" s="15"/>
      <c r="W351" s="15"/>
      <c r="X351" s="15"/>
      <c r="Y351" s="15"/>
      <c r="Z351" s="15"/>
      <c r="AA351" s="15"/>
      <c r="AB351" s="15"/>
    </row>
    <row r="352" spans="3:28" x14ac:dyDescent="0.15">
      <c r="C352" s="23" t="str">
        <f t="shared" si="337"/>
        <v>Preferred return</v>
      </c>
      <c r="D352" s="504"/>
      <c r="E352" s="535"/>
      <c r="F352" s="661">
        <f t="shared" ref="F352:O352" si="339">+F351*InvestorPref</f>
        <v>252500</v>
      </c>
      <c r="G352" s="661">
        <f t="shared" ca="1" si="339"/>
        <v>252408.8395</v>
      </c>
      <c r="H352" s="661">
        <f t="shared" ca="1" si="339"/>
        <v>231698.558265</v>
      </c>
      <c r="I352" s="661">
        <f t="shared" ca="1" si="339"/>
        <v>192259.11057947119</v>
      </c>
      <c r="J352" s="661">
        <f t="shared" ca="1" si="339"/>
        <v>0</v>
      </c>
      <c r="K352" s="661">
        <f t="shared" ca="1" si="339"/>
        <v>0</v>
      </c>
      <c r="L352" s="661">
        <f t="shared" ca="1" si="339"/>
        <v>0</v>
      </c>
      <c r="M352" s="661">
        <f t="shared" ca="1" si="339"/>
        <v>0</v>
      </c>
      <c r="N352" s="661">
        <f t="shared" ca="1" si="339"/>
        <v>0</v>
      </c>
      <c r="O352" s="661">
        <f t="shared" ca="1" si="339"/>
        <v>0</v>
      </c>
      <c r="P352" s="15"/>
      <c r="Q352" s="15"/>
      <c r="R352" s="15"/>
      <c r="S352" s="15"/>
      <c r="T352" s="15"/>
      <c r="U352" s="15"/>
      <c r="V352" s="15"/>
      <c r="W352" s="15"/>
      <c r="X352" s="15"/>
      <c r="Y352" s="15"/>
      <c r="Z352" s="15"/>
      <c r="AA352" s="15"/>
      <c r="AB352" s="15"/>
    </row>
    <row r="353" spans="3:28" x14ac:dyDescent="0.15">
      <c r="C353" s="23" t="str">
        <f t="shared" si="337"/>
        <v>Payment</v>
      </c>
      <c r="D353" s="504"/>
      <c r="E353" s="535"/>
      <c r="F353" s="661">
        <f ca="1">MAX(-F351-F352,-F345)</f>
        <v>-254323.21000000005</v>
      </c>
      <c r="G353" s="661">
        <f t="shared" ref="G353:O353" ca="1" si="340">MAX(-G351-G352,-G345)</f>
        <v>-666614.46420000016</v>
      </c>
      <c r="H353" s="661">
        <f t="shared" ca="1" si="340"/>
        <v>-1020487.5119755757</v>
      </c>
      <c r="I353" s="661">
        <f t="shared" ca="1" si="340"/>
        <v>-4037441.3221688946</v>
      </c>
      <c r="J353" s="661">
        <f t="shared" ca="1" si="340"/>
        <v>0</v>
      </c>
      <c r="K353" s="661">
        <f t="shared" ca="1" si="340"/>
        <v>0</v>
      </c>
      <c r="L353" s="661">
        <f t="shared" ca="1" si="340"/>
        <v>0</v>
      </c>
      <c r="M353" s="661">
        <f t="shared" ca="1" si="340"/>
        <v>0</v>
      </c>
      <c r="N353" s="661">
        <f t="shared" ca="1" si="340"/>
        <v>0</v>
      </c>
      <c r="O353" s="661">
        <f t="shared" ca="1" si="340"/>
        <v>0</v>
      </c>
      <c r="P353" s="15"/>
      <c r="Q353" s="15"/>
      <c r="R353" s="15"/>
      <c r="S353" s="15"/>
      <c r="T353" s="15"/>
      <c r="U353" s="15"/>
      <c r="V353" s="15"/>
      <c r="W353" s="15"/>
      <c r="X353" s="15"/>
      <c r="Y353" s="15"/>
      <c r="Z353" s="15"/>
      <c r="AA353" s="15"/>
      <c r="AB353" s="15"/>
    </row>
    <row r="354" spans="3:28" x14ac:dyDescent="0.15">
      <c r="C354" s="23" t="str">
        <f t="shared" si="337"/>
        <v>Ending balance</v>
      </c>
      <c r="D354" s="504"/>
      <c r="E354" s="535"/>
      <c r="F354" s="720">
        <f ca="1">SUM(F351:F353)</f>
        <v>5048176.79</v>
      </c>
      <c r="G354" s="720">
        <f t="shared" ref="G354:O354" ca="1" si="341">SUM(G351:G353)</f>
        <v>4633971.1652999995</v>
      </c>
      <c r="H354" s="720">
        <f t="shared" ca="1" si="341"/>
        <v>3845182.2115894235</v>
      </c>
      <c r="I354" s="720">
        <f t="shared" ca="1" si="341"/>
        <v>0</v>
      </c>
      <c r="J354" s="720">
        <f t="shared" ca="1" si="341"/>
        <v>0</v>
      </c>
      <c r="K354" s="720">
        <f t="shared" ca="1" si="341"/>
        <v>0</v>
      </c>
      <c r="L354" s="720">
        <f t="shared" ca="1" si="341"/>
        <v>0</v>
      </c>
      <c r="M354" s="720">
        <f t="shared" ca="1" si="341"/>
        <v>0</v>
      </c>
      <c r="N354" s="720">
        <f t="shared" ca="1" si="341"/>
        <v>0</v>
      </c>
      <c r="O354" s="720">
        <f t="shared" ca="1" si="341"/>
        <v>0</v>
      </c>
      <c r="P354" s="15"/>
      <c r="Q354" s="15"/>
      <c r="R354" s="15"/>
      <c r="S354" s="15"/>
      <c r="T354" s="15"/>
      <c r="U354" s="15"/>
      <c r="V354" s="15"/>
      <c r="W354" s="15"/>
      <c r="X354" s="15"/>
      <c r="Y354" s="15"/>
      <c r="Z354" s="15"/>
      <c r="AA354" s="15"/>
      <c r="AB354" s="15"/>
    </row>
    <row r="355" spans="3:28" x14ac:dyDescent="0.15">
      <c r="C355" s="507" t="str">
        <f t="shared" si="337"/>
        <v>Available After Pref / Return Of Capital</v>
      </c>
      <c r="D355" s="504"/>
      <c r="E355" s="535"/>
      <c r="F355" s="661">
        <f ca="1">+F345+F353</f>
        <v>0</v>
      </c>
      <c r="G355" s="661">
        <f t="shared" ref="G355:O355" ca="1" si="342">+G345+G353</f>
        <v>0</v>
      </c>
      <c r="H355" s="661">
        <f t="shared" ca="1" si="342"/>
        <v>0</v>
      </c>
      <c r="I355" s="661">
        <f t="shared" ca="1" si="342"/>
        <v>1838173.848092916</v>
      </c>
      <c r="J355" s="661">
        <f t="shared" ca="1" si="342"/>
        <v>846494.34014477057</v>
      </c>
      <c r="K355" s="661">
        <f t="shared" ca="1" si="342"/>
        <v>898480.47600318573</v>
      </c>
      <c r="L355" s="661">
        <f t="shared" ca="1" si="342"/>
        <v>952787.6290023214</v>
      </c>
      <c r="M355" s="661">
        <f t="shared" ca="1" si="342"/>
        <v>1009513.4712619338</v>
      </c>
      <c r="N355" s="661">
        <f t="shared" ca="1" si="342"/>
        <v>1068759.6784152524</v>
      </c>
      <c r="O355" s="661">
        <f t="shared" ca="1" si="342"/>
        <v>11792521.426451825</v>
      </c>
      <c r="P355" s="15"/>
      <c r="Q355" s="15"/>
      <c r="R355" s="15"/>
      <c r="S355" s="15"/>
      <c r="T355" s="15"/>
      <c r="U355" s="15"/>
      <c r="V355" s="15"/>
      <c r="W355" s="15"/>
      <c r="X355" s="15"/>
      <c r="Y355" s="15"/>
      <c r="Z355" s="15"/>
      <c r="AA355" s="15"/>
      <c r="AB355" s="15"/>
    </row>
    <row r="356" spans="3:28" x14ac:dyDescent="0.15">
      <c r="C356" s="41" t="str">
        <f t="shared" si="337"/>
        <v>Split</v>
      </c>
      <c r="D356" s="504"/>
      <c r="E356" s="535"/>
      <c r="F356" s="661"/>
      <c r="G356" s="661"/>
      <c r="H356" s="661"/>
      <c r="I356" s="661"/>
      <c r="J356" s="661"/>
      <c r="K356" s="661"/>
      <c r="L356" s="661"/>
      <c r="M356" s="661"/>
      <c r="N356" s="661"/>
      <c r="O356" s="661"/>
      <c r="P356" s="15"/>
      <c r="Q356" s="15"/>
      <c r="R356" s="15"/>
      <c r="S356" s="15"/>
      <c r="T356" s="15"/>
      <c r="U356" s="15"/>
      <c r="V356" s="15"/>
      <c r="W356" s="15"/>
      <c r="X356" s="15"/>
      <c r="Y356" s="15"/>
      <c r="Z356" s="15"/>
      <c r="AA356" s="15"/>
      <c r="AB356" s="15"/>
    </row>
    <row r="357" spans="3:28" x14ac:dyDescent="0.15">
      <c r="C357" s="541" t="str">
        <f t="shared" si="337"/>
        <v>Investor</v>
      </c>
      <c r="D357" s="504"/>
      <c r="E357" s="535"/>
      <c r="F357" s="661">
        <f t="shared" ref="F357:O357" ca="1" si="343">+F355*InvestorPromote</f>
        <v>0</v>
      </c>
      <c r="G357" s="661">
        <f t="shared" ca="1" si="343"/>
        <v>0</v>
      </c>
      <c r="H357" s="661">
        <f t="shared" ca="1" si="343"/>
        <v>0</v>
      </c>
      <c r="I357" s="661">
        <f t="shared" ca="1" si="343"/>
        <v>919086.92404645798</v>
      </c>
      <c r="J357" s="661">
        <f t="shared" ca="1" si="343"/>
        <v>423247.17007238528</v>
      </c>
      <c r="K357" s="661">
        <f t="shared" ca="1" si="343"/>
        <v>449240.23800159286</v>
      </c>
      <c r="L357" s="661">
        <f t="shared" ca="1" si="343"/>
        <v>476393.8145011607</v>
      </c>
      <c r="M357" s="661">
        <f t="shared" ca="1" si="343"/>
        <v>504756.7356309669</v>
      </c>
      <c r="N357" s="661">
        <f t="shared" ca="1" si="343"/>
        <v>534379.83920762618</v>
      </c>
      <c r="O357" s="661">
        <f t="shared" ca="1" si="343"/>
        <v>5896260.7132259123</v>
      </c>
      <c r="P357" s="15"/>
      <c r="Q357" s="15"/>
      <c r="R357" s="15"/>
      <c r="S357" s="15"/>
      <c r="T357" s="15"/>
      <c r="U357" s="15"/>
      <c r="V357" s="15"/>
      <c r="W357" s="15"/>
      <c r="X357" s="15"/>
      <c r="Y357" s="15"/>
      <c r="Z357" s="15"/>
      <c r="AA357" s="15"/>
      <c r="AB357" s="15"/>
    </row>
    <row r="358" spans="3:28" x14ac:dyDescent="0.15">
      <c r="C358" s="541" t="str">
        <f t="shared" si="337"/>
        <v>BVG</v>
      </c>
      <c r="D358" s="504"/>
      <c r="E358" s="535"/>
      <c r="F358" s="661">
        <f t="shared" ref="F358:O358" ca="1" si="344">+F355*BVGPromote</f>
        <v>0</v>
      </c>
      <c r="G358" s="661">
        <f t="shared" ca="1" si="344"/>
        <v>0</v>
      </c>
      <c r="H358" s="661">
        <f t="shared" ca="1" si="344"/>
        <v>0</v>
      </c>
      <c r="I358" s="661">
        <f t="shared" ca="1" si="344"/>
        <v>919086.92404645798</v>
      </c>
      <c r="J358" s="661">
        <f t="shared" ca="1" si="344"/>
        <v>423247.17007238528</v>
      </c>
      <c r="K358" s="661">
        <f t="shared" ca="1" si="344"/>
        <v>449240.23800159286</v>
      </c>
      <c r="L358" s="661">
        <f t="shared" ca="1" si="344"/>
        <v>476393.8145011607</v>
      </c>
      <c r="M358" s="661">
        <f t="shared" ca="1" si="344"/>
        <v>504756.7356309669</v>
      </c>
      <c r="N358" s="661">
        <f t="shared" ca="1" si="344"/>
        <v>534379.83920762618</v>
      </c>
      <c r="O358" s="661">
        <f t="shared" ca="1" si="344"/>
        <v>5896260.7132259123</v>
      </c>
      <c r="P358" s="15"/>
      <c r="Q358" s="15"/>
      <c r="R358" s="15"/>
      <c r="S358" s="15"/>
      <c r="T358" s="15"/>
      <c r="U358" s="15"/>
      <c r="V358" s="15"/>
      <c r="W358" s="15"/>
      <c r="X358" s="15"/>
      <c r="Y358" s="15"/>
      <c r="Z358" s="15"/>
      <c r="AA358" s="15"/>
      <c r="AB358" s="15"/>
    </row>
    <row r="359" spans="3:28" x14ac:dyDescent="0.15">
      <c r="C359" s="41" t="str">
        <f t="shared" si="337"/>
        <v>Total</v>
      </c>
      <c r="D359" s="504"/>
      <c r="E359" s="535"/>
      <c r="F359" s="661"/>
      <c r="G359" s="661"/>
      <c r="H359" s="661"/>
      <c r="I359" s="661"/>
      <c r="J359" s="661"/>
      <c r="K359" s="661"/>
      <c r="L359" s="661"/>
      <c r="M359" s="661"/>
      <c r="N359" s="661"/>
      <c r="O359" s="661"/>
      <c r="P359" s="15"/>
      <c r="Q359" s="15"/>
      <c r="R359" s="15"/>
      <c r="S359" s="15"/>
      <c r="T359" s="15"/>
      <c r="U359" s="15"/>
      <c r="V359" s="15"/>
      <c r="W359" s="15"/>
      <c r="X359" s="15"/>
      <c r="Y359" s="15"/>
      <c r="Z359" s="15"/>
      <c r="AA359" s="15"/>
      <c r="AB359" s="15"/>
    </row>
    <row r="360" spans="3:28" x14ac:dyDescent="0.15">
      <c r="C360" s="541" t="str">
        <f t="shared" si="337"/>
        <v>Investor</v>
      </c>
      <c r="D360" s="504"/>
      <c r="E360" s="535"/>
      <c r="F360" s="661">
        <f ca="1">-F353+F357</f>
        <v>254323.21000000005</v>
      </c>
      <c r="G360" s="661">
        <f t="shared" ref="G360:J360" ca="1" si="345">-G353+G357</f>
        <v>666614.46420000016</v>
      </c>
      <c r="H360" s="661">
        <f t="shared" ca="1" si="345"/>
        <v>1020487.5119755757</v>
      </c>
      <c r="I360" s="661">
        <f t="shared" ca="1" si="345"/>
        <v>4956528.2462153528</v>
      </c>
      <c r="J360" s="661">
        <f t="shared" ca="1" si="345"/>
        <v>423247.17007238528</v>
      </c>
      <c r="K360" s="661">
        <f t="shared" ref="K360:O360" ca="1" si="346">-K353+K357</f>
        <v>449240.23800159286</v>
      </c>
      <c r="L360" s="661">
        <f t="shared" ca="1" si="346"/>
        <v>476393.8145011607</v>
      </c>
      <c r="M360" s="661">
        <f t="shared" ca="1" si="346"/>
        <v>504756.7356309669</v>
      </c>
      <c r="N360" s="661">
        <f t="shared" ca="1" si="346"/>
        <v>534379.83920762618</v>
      </c>
      <c r="O360" s="661">
        <f t="shared" ca="1" si="346"/>
        <v>5896260.7132259123</v>
      </c>
      <c r="P360" s="15"/>
      <c r="Q360" s="15"/>
      <c r="R360" s="15"/>
      <c r="S360" s="15"/>
      <c r="T360" s="15"/>
      <c r="U360" s="15"/>
      <c r="V360" s="15"/>
      <c r="W360" s="15"/>
      <c r="X360" s="15"/>
      <c r="Y360" s="15"/>
      <c r="Z360" s="15"/>
      <c r="AA360" s="15"/>
      <c r="AB360" s="15"/>
    </row>
    <row r="361" spans="3:28" x14ac:dyDescent="0.15">
      <c r="C361" s="541" t="str">
        <f t="shared" si="337"/>
        <v>BVG</v>
      </c>
      <c r="D361" s="504"/>
      <c r="E361" s="535"/>
      <c r="F361" s="661">
        <f ca="1">+F358</f>
        <v>0</v>
      </c>
      <c r="G361" s="661">
        <f t="shared" ref="G361:J361" ca="1" si="347">+G358</f>
        <v>0</v>
      </c>
      <c r="H361" s="661">
        <f t="shared" ca="1" si="347"/>
        <v>0</v>
      </c>
      <c r="I361" s="661">
        <f t="shared" ca="1" si="347"/>
        <v>919086.92404645798</v>
      </c>
      <c r="J361" s="661">
        <f t="shared" ca="1" si="347"/>
        <v>423247.17007238528</v>
      </c>
      <c r="K361" s="661">
        <f t="shared" ref="K361:O361" ca="1" si="348">+K358</f>
        <v>449240.23800159286</v>
      </c>
      <c r="L361" s="661">
        <f t="shared" ca="1" si="348"/>
        <v>476393.8145011607</v>
      </c>
      <c r="M361" s="661">
        <f t="shared" ca="1" si="348"/>
        <v>504756.7356309669</v>
      </c>
      <c r="N361" s="661">
        <f t="shared" ca="1" si="348"/>
        <v>534379.83920762618</v>
      </c>
      <c r="O361" s="661">
        <f t="shared" ca="1" si="348"/>
        <v>5896260.7132259123</v>
      </c>
      <c r="P361" s="15"/>
      <c r="Q361" s="15"/>
      <c r="R361" s="15"/>
      <c r="S361" s="15"/>
      <c r="T361" s="15"/>
      <c r="U361" s="15"/>
      <c r="V361" s="15"/>
      <c r="W361" s="15"/>
      <c r="X361" s="15"/>
      <c r="Y361" s="15"/>
      <c r="Z361" s="15"/>
      <c r="AA361" s="15"/>
      <c r="AB361" s="15"/>
    </row>
    <row r="362" spans="3:28" x14ac:dyDescent="0.15">
      <c r="C362" s="41" t="str">
        <f t="shared" si="337"/>
        <v>Total Project Cash Flow</v>
      </c>
      <c r="D362" s="504"/>
      <c r="E362" s="586">
        <f>E345</f>
        <v>-5050000</v>
      </c>
      <c r="F362" s="663">
        <f ca="1">+F360</f>
        <v>254323.21000000005</v>
      </c>
      <c r="G362" s="663">
        <f t="shared" ref="G362:J362" ca="1" si="349">+G360</f>
        <v>666614.46420000016</v>
      </c>
      <c r="H362" s="663">
        <f t="shared" ca="1" si="349"/>
        <v>1020487.5119755757</v>
      </c>
      <c r="I362" s="663">
        <f t="shared" ca="1" si="349"/>
        <v>4956528.2462153528</v>
      </c>
      <c r="J362" s="663">
        <f t="shared" ca="1" si="349"/>
        <v>423247.17007238528</v>
      </c>
      <c r="K362" s="663">
        <f t="shared" ref="K362:O362" ca="1" si="350">+K360</f>
        <v>449240.23800159286</v>
      </c>
      <c r="L362" s="663">
        <f t="shared" ca="1" si="350"/>
        <v>476393.8145011607</v>
      </c>
      <c r="M362" s="663">
        <f t="shared" ca="1" si="350"/>
        <v>504756.7356309669</v>
      </c>
      <c r="N362" s="663">
        <f t="shared" ca="1" si="350"/>
        <v>534379.83920762618</v>
      </c>
      <c r="O362" s="663">
        <f t="shared" ca="1" si="350"/>
        <v>5896260.7132259123</v>
      </c>
      <c r="P362" s="15"/>
      <c r="Q362" s="15"/>
      <c r="R362" s="15"/>
      <c r="S362" s="15"/>
      <c r="T362" s="15"/>
      <c r="U362" s="15"/>
      <c r="V362" s="15"/>
      <c r="W362" s="15"/>
      <c r="X362" s="15"/>
      <c r="Y362" s="15"/>
      <c r="Z362" s="15"/>
      <c r="AA362" s="15"/>
      <c r="AB362" s="15"/>
    </row>
    <row r="363" spans="3:28" x14ac:dyDescent="0.15">
      <c r="C363" s="504"/>
      <c r="D363" s="504"/>
      <c r="E363" s="504"/>
      <c r="F363" s="15"/>
      <c r="G363" s="15"/>
      <c r="H363" s="15"/>
      <c r="I363" s="15"/>
      <c r="J363" s="15"/>
      <c r="K363" s="15"/>
      <c r="L363" s="15"/>
      <c r="M363" s="15"/>
      <c r="N363" s="15"/>
      <c r="O363" s="15"/>
      <c r="P363" s="15"/>
      <c r="Q363" s="15"/>
      <c r="R363" s="15"/>
      <c r="S363" s="15"/>
      <c r="T363" s="15"/>
      <c r="U363" s="15"/>
      <c r="V363" s="15"/>
      <c r="W363" s="15"/>
      <c r="X363" s="15"/>
      <c r="Y363" s="15"/>
      <c r="Z363" s="15"/>
      <c r="AA363" s="15"/>
      <c r="AB363" s="15"/>
    </row>
    <row r="364" spans="3:28" x14ac:dyDescent="0.15">
      <c r="C364" s="504" t="s">
        <v>303</v>
      </c>
      <c r="D364" s="504"/>
      <c r="E364" s="533">
        <f ca="1">IRR(E362:O362)</f>
        <v>0.21086617849890477</v>
      </c>
      <c r="F364" s="15"/>
      <c r="G364" s="15"/>
      <c r="H364" s="15"/>
      <c r="I364" s="15"/>
      <c r="J364" s="15"/>
      <c r="K364" s="15"/>
      <c r="L364" s="15"/>
      <c r="M364" s="15"/>
      <c r="N364" s="15"/>
      <c r="O364" s="15"/>
      <c r="P364" s="15"/>
      <c r="Q364" s="15"/>
      <c r="R364" s="15"/>
      <c r="S364" s="15"/>
      <c r="T364" s="15"/>
      <c r="U364" s="15"/>
      <c r="V364" s="15"/>
      <c r="W364" s="15"/>
      <c r="X364" s="15"/>
      <c r="Y364" s="15"/>
      <c r="Z364" s="15"/>
      <c r="AA364" s="15"/>
      <c r="AB364" s="15"/>
    </row>
    <row r="365" spans="3:28" x14ac:dyDescent="0.15">
      <c r="C365" s="504" t="s">
        <v>273</v>
      </c>
      <c r="D365" s="504"/>
      <c r="E365" s="535">
        <f ca="1">SUM(F362:O362)/-E362</f>
        <v>3.0063825629763512</v>
      </c>
      <c r="F365" s="15"/>
      <c r="G365" s="15"/>
      <c r="H365" s="15"/>
      <c r="I365" s="15"/>
      <c r="J365" s="15"/>
      <c r="K365" s="15"/>
      <c r="L365" s="15"/>
      <c r="M365" s="15"/>
      <c r="N365" s="15"/>
      <c r="O365" s="15"/>
      <c r="P365" s="15"/>
      <c r="Q365" s="15"/>
      <c r="R365" s="15"/>
      <c r="S365" s="15"/>
      <c r="T365" s="15"/>
      <c r="U365" s="15"/>
      <c r="V365" s="15"/>
      <c r="W365" s="15"/>
      <c r="X365" s="15"/>
      <c r="Y365" s="15"/>
      <c r="Z365" s="15"/>
      <c r="AA365" s="15"/>
      <c r="AB365" s="15"/>
    </row>
    <row r="366" spans="3:28" x14ac:dyDescent="0.15">
      <c r="C366" s="504" t="s">
        <v>296</v>
      </c>
      <c r="D366" s="504"/>
      <c r="E366" s="535">
        <f ca="1">SUM(F362:O362)</f>
        <v>15182231.943030573</v>
      </c>
      <c r="F366" s="15"/>
      <c r="G366" s="15"/>
      <c r="H366" s="15"/>
      <c r="I366" s="15"/>
      <c r="J366" s="15"/>
      <c r="K366" s="15"/>
      <c r="L366" s="15"/>
      <c r="M366" s="15"/>
      <c r="N366" s="15"/>
      <c r="O366" s="15"/>
      <c r="P366" s="15"/>
      <c r="Q366" s="15"/>
      <c r="R366" s="15"/>
      <c r="S366" s="15"/>
      <c r="T366" s="15"/>
      <c r="U366" s="15"/>
      <c r="V366" s="15"/>
      <c r="W366" s="15"/>
      <c r="X366" s="15"/>
      <c r="Y366" s="15"/>
      <c r="Z366" s="15"/>
      <c r="AA366" s="15"/>
      <c r="AB366" s="15"/>
    </row>
    <row r="367" spans="3:28" x14ac:dyDescent="0.15">
      <c r="C367" s="504" t="s">
        <v>300</v>
      </c>
      <c r="E367" s="535">
        <f ca="1">SUM(F361:O361)</f>
        <v>9203365.434686102</v>
      </c>
      <c r="F367" s="504"/>
      <c r="G367" s="504"/>
      <c r="H367" s="504"/>
      <c r="I367" s="504"/>
      <c r="J367" s="504"/>
      <c r="K367" s="504"/>
      <c r="L367" s="504"/>
      <c r="M367" s="504"/>
      <c r="N367" s="504"/>
      <c r="O367" s="504"/>
      <c r="P367" s="504"/>
      <c r="Q367" s="504"/>
      <c r="R367" s="504"/>
      <c r="S367" s="504"/>
      <c r="T367" s="504"/>
      <c r="U367" s="504"/>
      <c r="V367" s="504"/>
      <c r="W367" s="504"/>
      <c r="X367" s="504"/>
      <c r="Y367" s="504"/>
      <c r="Z367" s="504"/>
      <c r="AA367" s="504"/>
      <c r="AB367" s="504"/>
    </row>
    <row r="372" spans="2:28" s="309" customFormat="1" x14ac:dyDescent="0.15">
      <c r="B372" s="459"/>
      <c r="C372" s="310" t="s">
        <v>304</v>
      </c>
      <c r="D372" s="308"/>
      <c r="E372" s="664"/>
      <c r="F372" s="664"/>
      <c r="G372" s="664"/>
      <c r="H372" s="664"/>
      <c r="I372" s="664"/>
      <c r="J372" s="664"/>
      <c r="K372" s="664"/>
      <c r="L372" s="664"/>
      <c r="M372" s="664"/>
      <c r="N372" s="664"/>
      <c r="O372" s="664"/>
      <c r="P372" s="664"/>
      <c r="Q372" s="664"/>
      <c r="R372" s="664"/>
      <c r="S372" s="664"/>
      <c r="T372" s="664"/>
      <c r="U372" s="664"/>
      <c r="V372" s="664"/>
      <c r="W372" s="664"/>
      <c r="X372" s="664"/>
      <c r="Y372" s="664"/>
      <c r="Z372" s="664"/>
      <c r="AA372" s="664"/>
      <c r="AB372" s="664"/>
    </row>
  </sheetData>
  <sheetProtection algorithmName="SHA-512" hashValue="TBwEo7EfpKVtEY/zMt6wFhr1N2uqvatRXrk2TfG9n/HPyVv0CDKRgaKgOd1ePSexgJHnHhRDY3tbJUjuZaxHfw==" saltValue="/4MLnUhsscOm31VL5gWmtw==" spinCount="100000" sheet="1" objects="1" scenarios="1"/>
  <mergeCells count="12">
    <mergeCell ref="D1:E1"/>
    <mergeCell ref="C211:H211"/>
    <mergeCell ref="A155:O155"/>
    <mergeCell ref="C176:D176"/>
    <mergeCell ref="C167:F167"/>
    <mergeCell ref="C157:E157"/>
    <mergeCell ref="M17:P17"/>
    <mergeCell ref="R22:S22"/>
    <mergeCell ref="R17:U17"/>
    <mergeCell ref="C264:J264"/>
    <mergeCell ref="C190:O190"/>
    <mergeCell ref="C317:O317"/>
  </mergeCells>
  <phoneticPr fontId="0" type="noConversion"/>
  <conditionalFormatting sqref="D100">
    <cfRule type="cellIs" priority="3" operator="greaterThanOrEqual">
      <formula>$D$97</formula>
    </cfRule>
    <cfRule type="cellIs" dxfId="26" priority="5" operator="greaterThan">
      <formula>$D$97</formula>
    </cfRule>
  </conditionalFormatting>
  <conditionalFormatting sqref="D56:AJ79">
    <cfRule type="expression" dxfId="25" priority="16">
      <formula>IF(_xlfn.ISFORMULA(D56),FALSE,TRUE)</formula>
    </cfRule>
  </conditionalFormatting>
  <conditionalFormatting sqref="E56:E79">
    <cfRule type="expression" dxfId="24" priority="1">
      <formula>$N$4="BVG Defaults"</formula>
    </cfRule>
  </conditionalFormatting>
  <conditionalFormatting sqref="F56:F79">
    <cfRule type="expression" dxfId="23" priority="2">
      <formula>E56&lt;&gt;12*F56</formula>
    </cfRule>
  </conditionalFormatting>
  <conditionalFormatting sqref="F87:M88">
    <cfRule type="expression" dxfId="22" priority="6">
      <formula>IF(_xlfn.ISFORMULA(F87),FALSE,TRUE)</formula>
    </cfRule>
  </conditionalFormatting>
  <conditionalFormatting sqref="F28:AJ31 F34:AJ40 F44:AJ49 F51:AJ51">
    <cfRule type="expression" dxfId="21" priority="29">
      <formula>IF(_xlfn.ISFORMULA(F28),FALSE,TRUE)</formula>
    </cfRule>
  </conditionalFormatting>
  <conditionalFormatting sqref="F91:AJ91">
    <cfRule type="notContainsBlanks" dxfId="20" priority="14">
      <formula>LEN(TRIM(F91))&gt;0</formula>
    </cfRule>
  </conditionalFormatting>
  <dataValidations disablePrompts="1" count="1">
    <dataValidation type="list" allowBlank="1" showInputMessage="1" showErrorMessage="1" sqref="N5" xr:uid="{2193E996-7C81-4AAD-8533-F2C743F15953}">
      <formula1>"Yes, No"</formula1>
    </dataValidation>
  </dataValidations>
  <pageMargins left="0.25" right="0.25" top="0.75" bottom="0.75" header="0.3" footer="0.3"/>
  <pageSetup scale="58" fitToHeight="0" orientation="landscape" r:id="rId1"/>
  <headerFooter alignWithMargins="0"/>
  <legacyDrawing r:id="rId2"/>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857B535-2106-4A67-820C-683114398DF3}">
          <x14:formula1>
            <xm:f>'IE Data Entry'!$Q$2:$Q$6</xm:f>
          </x14:formula1>
          <xm:sqref>N4</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rgb="FF002060"/>
    <pageSetUpPr fitToPage="1"/>
  </sheetPr>
  <dimension ref="A1:U192"/>
  <sheetViews>
    <sheetView workbookViewId="0">
      <selection activeCell="R16" sqref="R16"/>
    </sheetView>
  </sheetViews>
  <sheetFormatPr baseColWidth="10" defaultColWidth="8.83203125" defaultRowHeight="13" x14ac:dyDescent="0.15"/>
  <cols>
    <col min="1" max="1" width="28.5" customWidth="1"/>
    <col min="2" max="2" width="15.33203125" customWidth="1"/>
    <col min="3" max="3" width="15.6640625" bestFit="1" customWidth="1"/>
    <col min="4" max="4" width="15.1640625" customWidth="1"/>
    <col min="5" max="5" width="14.5" customWidth="1"/>
    <col min="6" max="6" width="19.5" customWidth="1"/>
    <col min="7" max="7" width="11.33203125" bestFit="1" customWidth="1"/>
    <col min="8" max="8" width="11.5" customWidth="1"/>
    <col min="9" max="9" width="9.5" bestFit="1" customWidth="1"/>
    <col min="10" max="10" width="16.83203125" customWidth="1"/>
    <col min="11" max="11" width="7.1640625" customWidth="1"/>
    <col min="12" max="12" width="12.33203125" customWidth="1"/>
    <col min="13" max="13" width="19.33203125" customWidth="1"/>
    <col min="17" max="17" width="14.5" bestFit="1" customWidth="1"/>
    <col min="18" max="18" width="13.5" bestFit="1" customWidth="1"/>
    <col min="20" max="20" width="13.5" bestFit="1" customWidth="1"/>
  </cols>
  <sheetData>
    <row r="1" spans="1:21" x14ac:dyDescent="0.15">
      <c r="A1" s="721" t="s">
        <v>305</v>
      </c>
      <c r="B1" s="722"/>
      <c r="C1" s="723"/>
      <c r="D1" s="293"/>
      <c r="F1" s="721" t="s">
        <v>306</v>
      </c>
      <c r="G1" s="721"/>
      <c r="H1" s="721"/>
      <c r="I1" s="721"/>
      <c r="J1" s="721"/>
      <c r="K1" s="721"/>
      <c r="L1" s="721"/>
      <c r="M1" s="721"/>
    </row>
    <row r="2" spans="1:21" ht="12.75" customHeight="1" x14ac:dyDescent="0.2">
      <c r="A2" s="724" t="s">
        <v>307</v>
      </c>
      <c r="B2" s="725"/>
      <c r="C2" s="726"/>
      <c r="D2" s="293"/>
      <c r="E2" s="554"/>
      <c r="F2" s="505"/>
      <c r="G2" s="504"/>
      <c r="H2" s="504"/>
      <c r="I2" s="504"/>
      <c r="J2" s="504"/>
      <c r="K2" s="504"/>
      <c r="L2" s="504"/>
      <c r="M2" s="504"/>
    </row>
    <row r="3" spans="1:21" ht="12.75" customHeight="1" x14ac:dyDescent="0.2">
      <c r="A3" s="727" t="s">
        <v>308</v>
      </c>
      <c r="B3" s="728"/>
      <c r="C3" s="729">
        <v>3276</v>
      </c>
      <c r="D3" s="689"/>
      <c r="E3" s="554"/>
      <c r="F3" s="698"/>
      <c r="G3" s="697"/>
      <c r="H3" s="489"/>
      <c r="I3" s="504"/>
      <c r="J3" s="491"/>
      <c r="K3" s="488"/>
      <c r="L3" s="489"/>
      <c r="M3" s="504"/>
    </row>
    <row r="4" spans="1:21" ht="12.75" customHeight="1" x14ac:dyDescent="0.2">
      <c r="A4" s="510" t="s">
        <v>309</v>
      </c>
      <c r="B4" s="504"/>
      <c r="C4" s="556">
        <f>0.005*InitialLoan</f>
        <v>27000</v>
      </c>
      <c r="D4" s="555"/>
      <c r="E4" s="554"/>
      <c r="F4" s="699"/>
      <c r="G4" s="697"/>
      <c r="H4" s="485"/>
      <c r="I4" s="504"/>
      <c r="J4" s="490"/>
      <c r="K4" s="488"/>
      <c r="L4" s="485"/>
      <c r="M4" s="504"/>
    </row>
    <row r="5" spans="1:21" ht="12.75" customHeight="1" x14ac:dyDescent="0.2">
      <c r="A5" s="124" t="s">
        <v>310</v>
      </c>
      <c r="C5" s="262">
        <v>4825</v>
      </c>
      <c r="D5" s="555"/>
      <c r="E5" s="554"/>
      <c r="F5" s="699"/>
      <c r="G5" s="697"/>
      <c r="H5" s="485"/>
      <c r="I5" s="504"/>
      <c r="J5" s="490"/>
      <c r="K5" s="488"/>
      <c r="L5" s="485"/>
      <c r="M5" s="504"/>
      <c r="Q5" s="250"/>
    </row>
    <row r="6" spans="1:21" ht="12.75" customHeight="1" x14ac:dyDescent="0.2">
      <c r="A6" s="510" t="s">
        <v>311</v>
      </c>
      <c r="C6" s="261">
        <v>2500</v>
      </c>
      <c r="D6" s="555"/>
      <c r="E6" s="554"/>
      <c r="F6" s="490"/>
      <c r="G6" s="697"/>
      <c r="H6" s="485"/>
      <c r="I6" s="504"/>
      <c r="J6" s="490"/>
      <c r="K6" s="488"/>
      <c r="L6" s="485"/>
      <c r="M6" s="504"/>
    </row>
    <row r="7" spans="1:21" ht="15" x14ac:dyDescent="0.2">
      <c r="A7" s="510" t="s">
        <v>312</v>
      </c>
      <c r="C7" s="261"/>
      <c r="D7" s="555"/>
      <c r="E7" s="554"/>
      <c r="F7" s="490"/>
      <c r="G7" s="697"/>
      <c r="H7" s="486"/>
      <c r="I7" s="504"/>
      <c r="J7" s="490"/>
      <c r="K7" s="488"/>
      <c r="L7" s="486"/>
      <c r="M7" s="504"/>
    </row>
    <row r="8" spans="1:21" ht="15" x14ac:dyDescent="0.2">
      <c r="A8" s="124" t="s">
        <v>313</v>
      </c>
      <c r="C8" s="294">
        <f>0.03*Purchase_Price</f>
        <v>267000</v>
      </c>
      <c r="D8" s="555"/>
      <c r="F8" s="705"/>
      <c r="G8" s="697"/>
      <c r="H8" s="487"/>
      <c r="I8" s="504"/>
      <c r="J8" s="490"/>
      <c r="K8" s="488"/>
      <c r="L8" s="487"/>
      <c r="M8" s="504"/>
      <c r="Q8" s="250"/>
      <c r="R8" s="250"/>
      <c r="T8" s="250"/>
      <c r="U8" s="250"/>
    </row>
    <row r="9" spans="1:21" ht="15" x14ac:dyDescent="0.2">
      <c r="A9" s="124" t="s">
        <v>314</v>
      </c>
      <c r="C9" s="294">
        <v>12011</v>
      </c>
      <c r="D9" s="250"/>
      <c r="F9" s="490"/>
      <c r="G9" s="697"/>
      <c r="H9" s="489"/>
      <c r="I9" s="504"/>
      <c r="J9" s="490"/>
      <c r="K9" s="488"/>
      <c r="L9" s="489"/>
      <c r="M9" s="504"/>
      <c r="Q9" s="250"/>
      <c r="R9" s="250"/>
      <c r="T9" s="250"/>
      <c r="U9" s="250"/>
    </row>
    <row r="10" spans="1:21" ht="15" x14ac:dyDescent="0.2">
      <c r="A10" s="608" t="s">
        <v>315</v>
      </c>
      <c r="B10" s="608"/>
      <c r="C10" s="609">
        <f>SUM(C3:C9)</f>
        <v>316612</v>
      </c>
      <c r="F10" s="491"/>
      <c r="G10" s="697"/>
      <c r="H10" s="489"/>
      <c r="I10" s="504"/>
      <c r="J10" s="491"/>
      <c r="K10" s="488"/>
      <c r="L10" s="489"/>
      <c r="M10" s="504"/>
      <c r="Q10" s="250"/>
      <c r="R10" s="250"/>
    </row>
    <row r="11" spans="1:21" ht="15" x14ac:dyDescent="0.2">
      <c r="A11" s="121"/>
      <c r="C11" s="295"/>
      <c r="F11" s="490"/>
      <c r="G11" s="697"/>
      <c r="H11" s="485"/>
      <c r="I11" s="504"/>
      <c r="J11" s="490"/>
      <c r="K11" s="488"/>
      <c r="L11" s="485"/>
      <c r="M11" s="504"/>
    </row>
    <row r="12" spans="1:21" ht="15" x14ac:dyDescent="0.2">
      <c r="A12" s="297" t="s">
        <v>316</v>
      </c>
      <c r="B12" s="296"/>
      <c r="C12" s="298"/>
      <c r="F12" s="490"/>
      <c r="G12" s="697"/>
      <c r="H12" s="485"/>
      <c r="I12" s="504"/>
      <c r="J12" s="490"/>
      <c r="K12" s="488"/>
      <c r="L12" s="485"/>
      <c r="M12" s="504"/>
      <c r="Q12" s="706"/>
    </row>
    <row r="13" spans="1:21" ht="15" x14ac:dyDescent="0.2">
      <c r="A13" s="557" t="s">
        <v>317</v>
      </c>
      <c r="C13" s="294">
        <v>0</v>
      </c>
      <c r="E13" s="534"/>
      <c r="F13" s="490"/>
      <c r="G13" s="697"/>
      <c r="H13" s="485"/>
      <c r="I13" s="504"/>
      <c r="J13" s="490"/>
      <c r="K13" s="488"/>
      <c r="L13" s="485"/>
      <c r="M13" s="504"/>
    </row>
    <row r="14" spans="1:21" ht="15" x14ac:dyDescent="0.2">
      <c r="A14" s="557" t="s">
        <v>318</v>
      </c>
      <c r="C14" s="294">
        <v>0</v>
      </c>
      <c r="E14" s="534"/>
      <c r="F14" s="490"/>
      <c r="G14" s="535"/>
      <c r="H14" s="485"/>
      <c r="I14" s="535"/>
      <c r="J14" s="490"/>
      <c r="K14" s="488"/>
      <c r="L14" s="485"/>
      <c r="M14" s="504"/>
    </row>
    <row r="15" spans="1:21" ht="15" x14ac:dyDescent="0.2">
      <c r="A15" s="557" t="s">
        <v>319</v>
      </c>
      <c r="C15" s="294">
        <v>0</v>
      </c>
      <c r="E15" s="240"/>
      <c r="F15" s="490"/>
      <c r="G15" s="535"/>
      <c r="H15" s="486"/>
      <c r="I15" s="535"/>
      <c r="J15" s="490"/>
      <c r="K15" s="488"/>
      <c r="L15" s="486"/>
      <c r="M15" s="504"/>
    </row>
    <row r="16" spans="1:21" ht="15" x14ac:dyDescent="0.2">
      <c r="A16" s="557" t="s">
        <v>320</v>
      </c>
      <c r="C16" s="294">
        <v>0</v>
      </c>
      <c r="F16" s="490"/>
      <c r="G16" s="697"/>
      <c r="H16" s="487"/>
      <c r="I16" s="504"/>
      <c r="J16" s="490"/>
      <c r="K16" s="488"/>
      <c r="L16" s="487"/>
      <c r="M16" s="504"/>
    </row>
    <row r="17" spans="1:13" ht="14" thickBot="1" x14ac:dyDescent="0.2">
      <c r="A17" s="557" t="s">
        <v>321</v>
      </c>
      <c r="C17" s="294">
        <v>0</v>
      </c>
      <c r="F17" s="504"/>
      <c r="G17" s="535"/>
      <c r="H17" s="504"/>
      <c r="I17" s="504"/>
      <c r="J17" s="504"/>
      <c r="K17" s="504"/>
      <c r="L17" s="504"/>
      <c r="M17" s="504"/>
    </row>
    <row r="18" spans="1:13" x14ac:dyDescent="0.15">
      <c r="A18" s="510" t="s">
        <v>322</v>
      </c>
      <c r="C18" s="294">
        <v>0</v>
      </c>
      <c r="D18" s="574" t="s">
        <v>323</v>
      </c>
      <c r="E18" s="575" t="s">
        <v>324</v>
      </c>
      <c r="F18" s="504"/>
      <c r="G18" s="535"/>
      <c r="H18" s="504"/>
      <c r="I18" s="504"/>
      <c r="J18" s="504"/>
      <c r="K18" s="504"/>
      <c r="L18" s="504"/>
      <c r="M18" s="504"/>
    </row>
    <row r="19" spans="1:13" ht="14" thickBot="1" x14ac:dyDescent="0.2">
      <c r="A19" s="510" t="s">
        <v>325</v>
      </c>
      <c r="C19" s="294">
        <v>0</v>
      </c>
      <c r="D19" s="610">
        <v>0</v>
      </c>
      <c r="E19" s="611">
        <v>300</v>
      </c>
      <c r="F19" s="504"/>
      <c r="G19" s="535"/>
      <c r="H19" s="504"/>
      <c r="I19" s="504"/>
      <c r="J19" s="504"/>
      <c r="K19" s="504"/>
      <c r="L19" s="504"/>
      <c r="M19" s="504"/>
    </row>
    <row r="20" spans="1:13" x14ac:dyDescent="0.15">
      <c r="A20" s="510" t="s">
        <v>326</v>
      </c>
      <c r="C20" s="573">
        <v>0</v>
      </c>
      <c r="D20" s="574" t="s">
        <v>327</v>
      </c>
      <c r="E20" s="575" t="s">
        <v>328</v>
      </c>
      <c r="F20" s="504"/>
      <c r="G20" s="535"/>
      <c r="H20" s="504"/>
      <c r="I20" s="504"/>
      <c r="J20" s="504"/>
      <c r="K20" s="504"/>
      <c r="L20" s="504"/>
      <c r="M20" s="504"/>
    </row>
    <row r="21" spans="1:13" x14ac:dyDescent="0.15">
      <c r="A21" s="510" t="s">
        <v>329</v>
      </c>
      <c r="C21" s="573">
        <f>D21*E21</f>
        <v>0</v>
      </c>
      <c r="D21" s="610">
        <v>0</v>
      </c>
      <c r="E21" s="611">
        <v>3000</v>
      </c>
      <c r="F21" s="504"/>
      <c r="G21" s="535"/>
      <c r="H21" s="504"/>
      <c r="I21" s="504"/>
      <c r="J21" s="504"/>
      <c r="K21" s="504"/>
      <c r="L21" s="504"/>
      <c r="M21" s="504"/>
    </row>
    <row r="22" spans="1:13" x14ac:dyDescent="0.15">
      <c r="A22" s="510" t="s">
        <v>330</v>
      </c>
      <c r="C22" s="573">
        <f t="shared" ref="C22:C24" si="0">D22*E22</f>
        <v>0</v>
      </c>
      <c r="D22" s="610">
        <v>0</v>
      </c>
      <c r="E22" s="611">
        <v>6000</v>
      </c>
      <c r="F22" s="504"/>
      <c r="G22" s="535"/>
      <c r="H22" s="504"/>
      <c r="I22" s="504"/>
      <c r="J22" s="504"/>
      <c r="K22" s="504"/>
      <c r="L22" s="504"/>
      <c r="M22" s="504"/>
    </row>
    <row r="23" spans="1:13" x14ac:dyDescent="0.15">
      <c r="A23" s="510" t="s">
        <v>331</v>
      </c>
      <c r="C23" s="573">
        <f t="shared" si="0"/>
        <v>0</v>
      </c>
      <c r="D23" s="610">
        <f>D22</f>
        <v>0</v>
      </c>
      <c r="E23" s="611">
        <v>17500</v>
      </c>
      <c r="F23" s="504"/>
      <c r="G23" s="535"/>
      <c r="H23" s="504"/>
      <c r="I23" s="504"/>
      <c r="J23" s="504"/>
      <c r="K23" s="504"/>
      <c r="L23" s="504"/>
      <c r="M23" s="504"/>
    </row>
    <row r="24" spans="1:13" ht="14" thickBot="1" x14ac:dyDescent="0.2">
      <c r="A24" s="510" t="s">
        <v>332</v>
      </c>
      <c r="C24" s="573">
        <f t="shared" si="0"/>
        <v>1000000</v>
      </c>
      <c r="D24" s="612">
        <v>100</v>
      </c>
      <c r="E24" s="613">
        <v>10000</v>
      </c>
      <c r="F24" s="504"/>
      <c r="G24" s="535"/>
      <c r="H24" s="504"/>
      <c r="I24" s="504"/>
      <c r="J24" s="504"/>
      <c r="K24" s="504"/>
      <c r="L24" s="504"/>
      <c r="M24" s="504"/>
    </row>
    <row r="25" spans="1:13" x14ac:dyDescent="0.15">
      <c r="A25" s="510" t="s">
        <v>333</v>
      </c>
      <c r="C25" s="294">
        <v>0</v>
      </c>
      <c r="F25" s="504"/>
      <c r="G25" s="535"/>
      <c r="H25" s="504"/>
      <c r="I25" s="504"/>
      <c r="J25" s="504"/>
      <c r="K25" s="504"/>
      <c r="L25" s="504"/>
    </row>
    <row r="26" spans="1:13" x14ac:dyDescent="0.15">
      <c r="A26" s="510" t="s">
        <v>334</v>
      </c>
      <c r="C26" s="294">
        <v>0</v>
      </c>
      <c r="F26" s="504"/>
      <c r="G26" s="535"/>
      <c r="H26" s="504"/>
      <c r="I26" s="504"/>
      <c r="J26" s="504"/>
      <c r="K26" s="504"/>
      <c r="L26" s="504"/>
      <c r="M26" s="504"/>
    </row>
    <row r="27" spans="1:13" x14ac:dyDescent="0.15">
      <c r="A27" s="510" t="s">
        <v>335</v>
      </c>
      <c r="C27" s="294">
        <f>230000+3388</f>
        <v>233388</v>
      </c>
      <c r="F27" s="504"/>
      <c r="G27" s="504"/>
      <c r="H27" s="504"/>
      <c r="I27" s="504"/>
      <c r="J27" s="504"/>
      <c r="K27" s="504"/>
      <c r="L27" s="504"/>
      <c r="M27" s="504"/>
    </row>
    <row r="28" spans="1:13" x14ac:dyDescent="0.15">
      <c r="A28" s="614" t="s">
        <v>336</v>
      </c>
      <c r="B28" s="608"/>
      <c r="C28" s="609">
        <f>SUM(C13:C27)</f>
        <v>1233388</v>
      </c>
    </row>
    <row r="29" spans="1:13" x14ac:dyDescent="0.15">
      <c r="A29" s="127"/>
      <c r="B29" s="69"/>
      <c r="C29" s="263"/>
      <c r="G29" s="240"/>
    </row>
    <row r="30" spans="1:13" x14ac:dyDescent="0.15">
      <c r="A30" s="127"/>
      <c r="B30" s="249" t="s">
        <v>337</v>
      </c>
      <c r="C30" s="300">
        <f>+C28+C10</f>
        <v>1550000</v>
      </c>
      <c r="E30" s="240"/>
      <c r="G30" s="240"/>
    </row>
    <row r="32" spans="1:13" x14ac:dyDescent="0.15">
      <c r="E32" s="241"/>
    </row>
    <row r="33" spans="1:11" x14ac:dyDescent="0.15">
      <c r="A33" s="615" t="s">
        <v>338</v>
      </c>
      <c r="B33" s="616"/>
      <c r="C33" s="616"/>
      <c r="D33" s="617"/>
      <c r="E33" s="241"/>
      <c r="F33" s="768" t="s">
        <v>339</v>
      </c>
      <c r="G33" s="769"/>
      <c r="H33" s="769"/>
      <c r="I33" s="769"/>
      <c r="J33" s="769"/>
      <c r="K33" s="770"/>
    </row>
    <row r="34" spans="1:11" ht="14" thickBot="1" x14ac:dyDescent="0.2">
      <c r="A34" s="124"/>
      <c r="B34" s="618" t="s">
        <v>340</v>
      </c>
      <c r="C34" s="64" t="s">
        <v>341</v>
      </c>
      <c r="D34" s="225" t="s">
        <v>342</v>
      </c>
      <c r="E34" s="241"/>
      <c r="F34" s="124"/>
      <c r="G34" s="548" t="s">
        <v>343</v>
      </c>
      <c r="H34" s="548" t="s">
        <v>344</v>
      </c>
      <c r="I34" s="558" t="s">
        <v>345</v>
      </c>
      <c r="J34" s="548" t="s">
        <v>346</v>
      </c>
      <c r="K34" s="559" t="s">
        <v>347</v>
      </c>
    </row>
    <row r="35" spans="1:11" x14ac:dyDescent="0.15">
      <c r="A35" s="624" t="s">
        <v>348</v>
      </c>
      <c r="B35" s="625"/>
      <c r="C35" s="626"/>
      <c r="D35" s="627">
        <f>Proforma!D4</f>
        <v>8900000</v>
      </c>
      <c r="E35" s="241"/>
      <c r="F35" s="306" t="s">
        <v>349</v>
      </c>
      <c r="J35" s="301"/>
      <c r="K35" s="302"/>
    </row>
    <row r="36" spans="1:11" x14ac:dyDescent="0.15">
      <c r="A36" s="11" t="s">
        <v>350</v>
      </c>
      <c r="B36" s="226">
        <v>1.0999999999999999E-2</v>
      </c>
      <c r="C36" s="227">
        <f t="shared" ref="C36:C49" si="1">B36*$C$35</f>
        <v>0</v>
      </c>
      <c r="D36" s="227">
        <f t="shared" ref="D36:D49" si="2">B36*$D$35</f>
        <v>97900</v>
      </c>
      <c r="E36" s="241"/>
      <c r="F36" s="510" t="s">
        <v>351</v>
      </c>
      <c r="G36" s="330">
        <v>40</v>
      </c>
      <c r="H36" s="331">
        <v>30</v>
      </c>
      <c r="I36" s="303">
        <f>(H36*G36)*52/12</f>
        <v>5200</v>
      </c>
      <c r="J36" s="301"/>
      <c r="K36" s="302"/>
    </row>
    <row r="37" spans="1:11" x14ac:dyDescent="0.15">
      <c r="A37" s="507"/>
      <c r="B37" s="226"/>
      <c r="C37" s="227">
        <f t="shared" si="1"/>
        <v>0</v>
      </c>
      <c r="D37" s="227">
        <f t="shared" si="2"/>
        <v>0</v>
      </c>
      <c r="E37" s="241"/>
      <c r="F37" s="510" t="s">
        <v>352</v>
      </c>
      <c r="G37" s="330">
        <v>20</v>
      </c>
      <c r="H37" s="331">
        <v>20</v>
      </c>
      <c r="I37" s="303">
        <f t="shared" ref="I37:I38" si="3">(H37*G37)*52/12</f>
        <v>1733.3333333333333</v>
      </c>
      <c r="J37" s="301"/>
      <c r="K37" s="302"/>
    </row>
    <row r="38" spans="1:11" x14ac:dyDescent="0.15">
      <c r="A38" s="507"/>
      <c r="B38" s="226"/>
      <c r="C38" s="227">
        <f t="shared" si="1"/>
        <v>0</v>
      </c>
      <c r="D38" s="227">
        <f t="shared" si="2"/>
        <v>0</v>
      </c>
      <c r="E38" s="241"/>
      <c r="F38" s="510" t="s">
        <v>108</v>
      </c>
      <c r="G38" s="330"/>
      <c r="H38" s="331"/>
      <c r="I38" s="303">
        <f t="shared" si="3"/>
        <v>0</v>
      </c>
      <c r="J38" s="301"/>
      <c r="K38" s="302"/>
    </row>
    <row r="39" spans="1:11" x14ac:dyDescent="0.15">
      <c r="A39" s="507"/>
      <c r="B39" s="226"/>
      <c r="C39" s="227">
        <f t="shared" si="1"/>
        <v>0</v>
      </c>
      <c r="D39" s="227">
        <f t="shared" si="2"/>
        <v>0</v>
      </c>
      <c r="E39" s="241"/>
      <c r="F39" s="730" t="s">
        <v>353</v>
      </c>
      <c r="G39" s="731">
        <f>SUM(G36:G38)</f>
        <v>60</v>
      </c>
      <c r="H39" s="732">
        <f>IF(ISERROR((SUMPRODUCT(G36:G38,H36:H38)/G39)),"",(SUMPRODUCT(G36:G38,H36:H38)/G39))</f>
        <v>26.666666666666668</v>
      </c>
      <c r="I39" s="733">
        <f>SUM(I36:I38)</f>
        <v>6933.333333333333</v>
      </c>
      <c r="J39" s="731">
        <f>IF(G39&gt;0,COUNT(G36:G38),0)</f>
        <v>2</v>
      </c>
      <c r="K39" s="734">
        <f>G39/40</f>
        <v>1.5</v>
      </c>
    </row>
    <row r="40" spans="1:11" x14ac:dyDescent="0.15">
      <c r="A40" s="507"/>
      <c r="B40" s="226"/>
      <c r="C40" s="227">
        <f t="shared" si="1"/>
        <v>0</v>
      </c>
      <c r="D40" s="227">
        <f t="shared" si="2"/>
        <v>0</v>
      </c>
      <c r="E40" s="241"/>
      <c r="F40" s="124"/>
      <c r="H40" s="250"/>
      <c r="I40" s="303"/>
      <c r="K40" s="302"/>
    </row>
    <row r="41" spans="1:11" x14ac:dyDescent="0.15">
      <c r="A41" s="507"/>
      <c r="B41" s="226"/>
      <c r="C41" s="227">
        <f t="shared" si="1"/>
        <v>0</v>
      </c>
      <c r="D41" s="227">
        <f t="shared" si="2"/>
        <v>0</v>
      </c>
      <c r="E41" s="241"/>
      <c r="F41" s="306" t="s">
        <v>134</v>
      </c>
      <c r="H41" s="250"/>
      <c r="I41" s="303"/>
      <c r="K41" s="302"/>
    </row>
    <row r="42" spans="1:11" x14ac:dyDescent="0.15">
      <c r="A42" s="507"/>
      <c r="B42" s="226"/>
      <c r="C42" s="227">
        <f t="shared" si="1"/>
        <v>0</v>
      </c>
      <c r="D42" s="227">
        <f t="shared" si="2"/>
        <v>0</v>
      </c>
      <c r="E42" s="241"/>
      <c r="F42" s="510" t="s">
        <v>354</v>
      </c>
      <c r="G42" s="330">
        <v>40</v>
      </c>
      <c r="H42" s="331">
        <v>25</v>
      </c>
      <c r="I42" s="303">
        <f>(H42*G42)*52/12</f>
        <v>4333.333333333333</v>
      </c>
      <c r="J42" s="301"/>
      <c r="K42" s="302"/>
    </row>
    <row r="43" spans="1:11" x14ac:dyDescent="0.15">
      <c r="A43" s="507"/>
      <c r="B43" s="226"/>
      <c r="C43" s="227">
        <f t="shared" si="1"/>
        <v>0</v>
      </c>
      <c r="D43" s="227">
        <f t="shared" si="2"/>
        <v>0</v>
      </c>
      <c r="E43" s="241"/>
      <c r="F43" s="510" t="s">
        <v>355</v>
      </c>
      <c r="G43" s="330">
        <v>40</v>
      </c>
      <c r="H43" s="331">
        <v>20</v>
      </c>
      <c r="I43" s="303">
        <f t="shared" ref="I43:I44" si="4">(H43*G43)*52/12</f>
        <v>3466.6666666666665</v>
      </c>
      <c r="J43" s="301"/>
      <c r="K43" s="302"/>
    </row>
    <row r="44" spans="1:11" x14ac:dyDescent="0.15">
      <c r="A44" s="507"/>
      <c r="B44" s="226"/>
      <c r="C44" s="227">
        <f t="shared" si="1"/>
        <v>0</v>
      </c>
      <c r="D44" s="227">
        <f t="shared" si="2"/>
        <v>0</v>
      </c>
      <c r="E44" s="241"/>
      <c r="F44" s="510" t="s">
        <v>108</v>
      </c>
      <c r="G44" s="330"/>
      <c r="H44" s="331"/>
      <c r="I44" s="303">
        <f t="shared" si="4"/>
        <v>0</v>
      </c>
      <c r="J44" s="301"/>
      <c r="K44" s="302"/>
    </row>
    <row r="45" spans="1:11" x14ac:dyDescent="0.15">
      <c r="A45" s="507"/>
      <c r="B45" s="226"/>
      <c r="C45" s="227">
        <f t="shared" si="1"/>
        <v>0</v>
      </c>
      <c r="D45" s="227">
        <f t="shared" si="2"/>
        <v>0</v>
      </c>
      <c r="E45" s="241"/>
      <c r="F45" s="730" t="s">
        <v>353</v>
      </c>
      <c r="G45" s="731">
        <f>SUM(G42:G44)</f>
        <v>80</v>
      </c>
      <c r="H45" s="732">
        <f>IF(ISERROR((SUMPRODUCT(G42:G44,H42:H44)/G45)),"",(SUMPRODUCT(G42:G44,H42:H44)/G45))</f>
        <v>22.5</v>
      </c>
      <c r="I45" s="733">
        <f>SUM(I42:I44)</f>
        <v>7800</v>
      </c>
      <c r="J45" s="731">
        <f>IF(G45&gt;0,COUNT(G42:G44),0)</f>
        <v>2</v>
      </c>
      <c r="K45" s="735">
        <f>G45/40</f>
        <v>2</v>
      </c>
    </row>
    <row r="46" spans="1:11" x14ac:dyDescent="0.15">
      <c r="A46" s="507"/>
      <c r="B46" s="226"/>
      <c r="C46" s="227">
        <f t="shared" si="1"/>
        <v>0</v>
      </c>
      <c r="D46" s="227">
        <f t="shared" si="2"/>
        <v>0</v>
      </c>
      <c r="E46" s="241"/>
      <c r="F46" s="124"/>
      <c r="H46" s="250"/>
      <c r="I46" s="303"/>
      <c r="K46" s="302"/>
    </row>
    <row r="47" spans="1:11" x14ac:dyDescent="0.15">
      <c r="A47" s="507"/>
      <c r="B47" s="226"/>
      <c r="C47" s="227">
        <f t="shared" si="1"/>
        <v>0</v>
      </c>
      <c r="D47" s="227">
        <f t="shared" si="2"/>
        <v>0</v>
      </c>
      <c r="E47" s="242"/>
      <c r="F47" s="306" t="s">
        <v>356</v>
      </c>
      <c r="G47" s="301"/>
      <c r="H47" s="560"/>
      <c r="I47" s="303"/>
      <c r="J47" s="301"/>
      <c r="K47" s="302"/>
    </row>
    <row r="48" spans="1:11" x14ac:dyDescent="0.15">
      <c r="A48" s="507"/>
      <c r="B48" s="226"/>
      <c r="C48" s="227">
        <f t="shared" si="1"/>
        <v>0</v>
      </c>
      <c r="D48" s="227">
        <f t="shared" si="2"/>
        <v>0</v>
      </c>
      <c r="E48" s="242"/>
      <c r="F48" s="510" t="s">
        <v>357</v>
      </c>
      <c r="G48" s="330"/>
      <c r="H48" s="331"/>
      <c r="I48" s="303">
        <f t="shared" ref="I48:I50" si="5">(H48*G48)*52/12</f>
        <v>0</v>
      </c>
      <c r="K48" s="126"/>
    </row>
    <row r="49" spans="1:11" x14ac:dyDescent="0.15">
      <c r="A49" s="507"/>
      <c r="B49" s="226"/>
      <c r="C49" s="227">
        <f t="shared" si="1"/>
        <v>0</v>
      </c>
      <c r="D49" s="227">
        <f t="shared" si="2"/>
        <v>0</v>
      </c>
      <c r="F49" s="510" t="s">
        <v>358</v>
      </c>
      <c r="G49" s="330"/>
      <c r="H49" s="331"/>
      <c r="I49" s="303">
        <f t="shared" si="5"/>
        <v>0</v>
      </c>
      <c r="J49" s="301"/>
      <c r="K49" s="302"/>
    </row>
    <row r="50" spans="1:11" x14ac:dyDescent="0.15">
      <c r="A50" s="628" t="s">
        <v>359</v>
      </c>
      <c r="B50" s="629">
        <f>SUM(B36:B49)</f>
        <v>1.0999999999999999E-2</v>
      </c>
      <c r="C50" s="630">
        <f>SUM(C36:C49)</f>
        <v>0</v>
      </c>
      <c r="D50" s="630">
        <f>SUM(D36:D49)</f>
        <v>97900</v>
      </c>
      <c r="F50" s="510" t="s">
        <v>360</v>
      </c>
      <c r="G50" s="330"/>
      <c r="H50" s="331"/>
      <c r="I50" s="303">
        <f t="shared" si="5"/>
        <v>0</v>
      </c>
      <c r="J50" s="301"/>
      <c r="K50" s="302"/>
    </row>
    <row r="51" spans="1:11" x14ac:dyDescent="0.15">
      <c r="A51" s="299" t="s">
        <v>361</v>
      </c>
      <c r="B51" s="226"/>
      <c r="C51" s="257"/>
      <c r="D51" s="257"/>
      <c r="E51" s="243"/>
      <c r="F51" s="730" t="s">
        <v>362</v>
      </c>
      <c r="G51" s="731">
        <f>SUM(G47:G50)</f>
        <v>0</v>
      </c>
      <c r="H51" s="732" t="str">
        <f>IF(ISERROR((SUMPRODUCT(G47:G50,H47:H50)/G51)),"",(SUMPRODUCT(G47:G50,H47:H50)/G51))</f>
        <v/>
      </c>
      <c r="I51" s="733">
        <f>SUM(I47:I50)</f>
        <v>0</v>
      </c>
      <c r="J51" s="731">
        <f>IF(G51&gt;0,COUNT(G48:G50),0)</f>
        <v>0</v>
      </c>
      <c r="K51" s="735">
        <f>G51/40</f>
        <v>0</v>
      </c>
    </row>
    <row r="52" spans="1:11" x14ac:dyDescent="0.15">
      <c r="A52" s="507"/>
      <c r="B52" s="226"/>
      <c r="C52" s="227"/>
      <c r="D52" s="227">
        <f>C52</f>
        <v>0</v>
      </c>
      <c r="F52" s="510"/>
      <c r="I52" s="303"/>
      <c r="K52" s="302"/>
    </row>
    <row r="53" spans="1:11" x14ac:dyDescent="0.15">
      <c r="A53" s="561"/>
      <c r="B53" s="228"/>
      <c r="C53" s="229"/>
      <c r="D53" s="229">
        <f>C53</f>
        <v>0</v>
      </c>
      <c r="E53" s="244"/>
      <c r="F53" s="631" t="s">
        <v>363</v>
      </c>
      <c r="G53" s="632">
        <f>G51+G45+G39</f>
        <v>140</v>
      </c>
      <c r="H53" s="633">
        <f>IF(ISERROR(((I53/G53)*12/52)),"",((I53/G53)*12/52))</f>
        <v>24.285714285714281</v>
      </c>
      <c r="I53" s="634">
        <f>IF(Proforma!N4="BVG Defaults",'IE Data Entry'!J30/12,I51+I45+I39)</f>
        <v>14733.333333333332</v>
      </c>
      <c r="J53" s="635">
        <f>J51+J45+J39</f>
        <v>4</v>
      </c>
      <c r="K53" s="636">
        <f>K51+K45+K39</f>
        <v>3.5</v>
      </c>
    </row>
    <row r="54" spans="1:11" x14ac:dyDescent="0.15">
      <c r="A54" s="637" t="s">
        <v>42</v>
      </c>
      <c r="B54" s="638"/>
      <c r="C54" s="639">
        <f>SUM(C50:C53)</f>
        <v>0</v>
      </c>
      <c r="D54" s="639">
        <f>SUM(D50:D53)</f>
        <v>97900</v>
      </c>
      <c r="E54" s="244"/>
    </row>
    <row r="55" spans="1:11" x14ac:dyDescent="0.15">
      <c r="A55" s="237"/>
      <c r="B55" s="258"/>
      <c r="C55" s="259" t="e">
        <f>C54/C35</f>
        <v>#DIV/0!</v>
      </c>
      <c r="D55" s="260">
        <f>D54/D35</f>
        <v>1.0999999999999999E-2</v>
      </c>
      <c r="I55" s="303">
        <f>I53*12</f>
        <v>176800</v>
      </c>
    </row>
    <row r="56" spans="1:11" x14ac:dyDescent="0.15">
      <c r="A56" s="125"/>
      <c r="C56" s="227"/>
      <c r="D56" s="126"/>
      <c r="E56" s="245"/>
    </row>
    <row r="57" spans="1:11" x14ac:dyDescent="0.15">
      <c r="A57" s="125"/>
      <c r="B57" s="504" t="s">
        <v>364</v>
      </c>
      <c r="C57" s="132">
        <f>D54-C54</f>
        <v>97900</v>
      </c>
      <c r="D57" s="126" t="s">
        <v>365</v>
      </c>
      <c r="E57" s="245"/>
    </row>
    <row r="58" spans="1:11" x14ac:dyDescent="0.15">
      <c r="A58" s="125"/>
      <c r="C58" s="132">
        <f>C57*D58</f>
        <v>93005</v>
      </c>
      <c r="D58" s="230">
        <v>0.95</v>
      </c>
      <c r="E58" s="246"/>
    </row>
    <row r="59" spans="1:11" x14ac:dyDescent="0.15">
      <c r="A59" s="125"/>
      <c r="C59" s="257">
        <f>C58/NoOfSpaces/12</f>
        <v>32.026515151515149</v>
      </c>
      <c r="D59" s="126" t="s">
        <v>366</v>
      </c>
    </row>
    <row r="60" spans="1:11" x14ac:dyDescent="0.15">
      <c r="A60" s="124"/>
      <c r="C60" s="226"/>
      <c r="D60" s="126">
        <f>C57/NoOfSpaces/12</f>
        <v>33.712121212121211</v>
      </c>
      <c r="E60" s="247"/>
    </row>
    <row r="61" spans="1:11" x14ac:dyDescent="0.15">
      <c r="A61" s="231"/>
      <c r="B61" s="232"/>
      <c r="C61" s="229"/>
      <c r="D61" s="233"/>
    </row>
    <row r="62" spans="1:11" x14ac:dyDescent="0.15">
      <c r="C62" s="128"/>
    </row>
    <row r="63" spans="1:11" x14ac:dyDescent="0.15">
      <c r="A63" s="721" t="s">
        <v>367</v>
      </c>
      <c r="B63" s="722"/>
      <c r="C63" s="736" t="s">
        <v>37</v>
      </c>
      <c r="D63" s="737">
        <f>Proforma!D4</f>
        <v>8900000</v>
      </c>
      <c r="E63" s="224"/>
    </row>
    <row r="64" spans="1:11" x14ac:dyDescent="0.15">
      <c r="A64" s="738"/>
      <c r="B64" s="739"/>
      <c r="C64" s="740"/>
      <c r="D64" s="741"/>
      <c r="E64" s="224"/>
    </row>
    <row r="65" spans="1:5" x14ac:dyDescent="0.15">
      <c r="A65" s="640" t="s">
        <v>368</v>
      </c>
      <c r="B65" s="641" t="s">
        <v>369</v>
      </c>
      <c r="C65" s="641"/>
      <c r="D65" s="642" t="s">
        <v>340</v>
      </c>
      <c r="E65" s="224"/>
    </row>
    <row r="66" spans="1:5" x14ac:dyDescent="0.15">
      <c r="A66" s="727"/>
      <c r="B66" s="728"/>
      <c r="C66" s="728"/>
      <c r="D66" s="742"/>
      <c r="E66" s="240"/>
    </row>
    <row r="67" spans="1:5" x14ac:dyDescent="0.15">
      <c r="A67" s="120" t="s">
        <v>370</v>
      </c>
      <c r="B67" s="524"/>
      <c r="D67" s="234">
        <f>D63*0.2</f>
        <v>1780000</v>
      </c>
    </row>
    <row r="68" spans="1:5" x14ac:dyDescent="0.15">
      <c r="A68" s="122"/>
      <c r="B68" s="235"/>
      <c r="C68" s="69"/>
      <c r="D68" s="236"/>
      <c r="E68" s="12"/>
    </row>
    <row r="69" spans="1:5" x14ac:dyDescent="0.15">
      <c r="A69" s="743" t="s">
        <v>371</v>
      </c>
      <c r="B69" s="744" t="s">
        <v>372</v>
      </c>
      <c r="C69" s="728"/>
      <c r="D69" s="742"/>
      <c r="E69" s="12"/>
    </row>
    <row r="70" spans="1:5" x14ac:dyDescent="0.15">
      <c r="A70" s="237" t="s">
        <v>373</v>
      </c>
      <c r="D70" s="255"/>
      <c r="E70" s="12"/>
    </row>
    <row r="71" spans="1:5" x14ac:dyDescent="0.15">
      <c r="A71" s="237" t="s">
        <v>374</v>
      </c>
      <c r="C71" s="505"/>
      <c r="D71" s="255">
        <v>0</v>
      </c>
      <c r="E71" s="224"/>
    </row>
    <row r="72" spans="1:5" x14ac:dyDescent="0.15">
      <c r="A72" s="237" t="s">
        <v>375</v>
      </c>
      <c r="C72" s="505"/>
      <c r="D72" s="255">
        <v>0</v>
      </c>
      <c r="E72" s="224"/>
    </row>
    <row r="73" spans="1:5" x14ac:dyDescent="0.15">
      <c r="A73" s="122"/>
      <c r="B73" s="69"/>
      <c r="C73" s="562" t="s">
        <v>376</v>
      </c>
      <c r="D73" s="131">
        <f>SUM(D70:D72)</f>
        <v>0</v>
      </c>
      <c r="E73" s="240"/>
    </row>
    <row r="74" spans="1:5" x14ac:dyDescent="0.15">
      <c r="A74" s="743" t="s">
        <v>377</v>
      </c>
      <c r="B74" s="744" t="s">
        <v>378</v>
      </c>
      <c r="C74" s="744" t="s">
        <v>379</v>
      </c>
      <c r="D74" s="742"/>
    </row>
    <row r="75" spans="1:5" x14ac:dyDescent="0.15">
      <c r="A75" s="237" t="s">
        <v>380</v>
      </c>
      <c r="B75" s="330">
        <v>203</v>
      </c>
      <c r="C75" s="251">
        <v>15000</v>
      </c>
      <c r="D75" s="238">
        <f>B75*C75</f>
        <v>3045000</v>
      </c>
      <c r="E75" s="507" t="s">
        <v>638</v>
      </c>
    </row>
    <row r="76" spans="1:5" x14ac:dyDescent="0.15">
      <c r="A76" s="237"/>
      <c r="B76" s="70"/>
      <c r="D76" s="238">
        <f>B76*C76</f>
        <v>0</v>
      </c>
      <c r="E76" s="240"/>
    </row>
    <row r="77" spans="1:5" x14ac:dyDescent="0.15">
      <c r="A77" s="237"/>
      <c r="B77" s="70"/>
      <c r="D77" s="238">
        <f>B77*C77</f>
        <v>0</v>
      </c>
      <c r="E77" s="224"/>
    </row>
    <row r="78" spans="1:5" x14ac:dyDescent="0.15">
      <c r="A78" s="124"/>
      <c r="C78" s="505"/>
      <c r="D78" s="130"/>
      <c r="E78" s="248"/>
    </row>
    <row r="79" spans="1:5" x14ac:dyDescent="0.15">
      <c r="A79" s="127"/>
      <c r="B79" s="69"/>
      <c r="C79" s="505" t="s">
        <v>381</v>
      </c>
      <c r="D79" s="130">
        <f>SUM(D75:D77)</f>
        <v>3045000</v>
      </c>
      <c r="E79" s="504"/>
    </row>
    <row r="80" spans="1:5" x14ac:dyDescent="0.15">
      <c r="A80" s="743" t="s">
        <v>382</v>
      </c>
      <c r="B80" s="744" t="s">
        <v>383</v>
      </c>
      <c r="C80" s="728"/>
      <c r="D80" s="745">
        <f>D63-D67-D73-D79</f>
        <v>4075000</v>
      </c>
      <c r="E80" s="224"/>
    </row>
    <row r="81" spans="1:4" x14ac:dyDescent="0.15">
      <c r="A81" s="127"/>
      <c r="B81" s="69"/>
      <c r="C81" s="69"/>
      <c r="D81" s="236"/>
    </row>
    <row r="82" spans="1:4" x14ac:dyDescent="0.15">
      <c r="A82" s="124"/>
    </row>
    <row r="83" spans="1:4" x14ac:dyDescent="0.15">
      <c r="A83" s="743" t="s">
        <v>384</v>
      </c>
      <c r="B83" s="728"/>
      <c r="C83" s="746"/>
      <c r="D83" s="747">
        <f>D80</f>
        <v>4075000</v>
      </c>
    </row>
    <row r="84" spans="1:4" x14ac:dyDescent="0.15">
      <c r="A84" s="246" t="s">
        <v>385</v>
      </c>
      <c r="B84" s="11"/>
      <c r="D84" s="129">
        <f ca="1">Proforma!F85</f>
        <v>242342.71000000005</v>
      </c>
    </row>
    <row r="85" spans="1:4" x14ac:dyDescent="0.15">
      <c r="A85" s="249" t="s">
        <v>386</v>
      </c>
      <c r="B85" s="123"/>
      <c r="C85" s="69"/>
      <c r="D85" s="239">
        <f ca="1">D84-D83</f>
        <v>-3832657.29</v>
      </c>
    </row>
    <row r="86" spans="1:4" x14ac:dyDescent="0.15">
      <c r="D86" s="504"/>
    </row>
    <row r="87" spans="1:4" x14ac:dyDescent="0.15">
      <c r="C87" s="505"/>
      <c r="D87" s="256"/>
    </row>
    <row r="192" ht="12.75" customHeight="1" x14ac:dyDescent="0.15"/>
  </sheetData>
  <sheetProtection algorithmName="SHA-512" hashValue="r04FxoXeh7kUDZ7tEgxiiwc71wumtISCFS8sTnKBRzP+4tb29ucgB2rt+pLC+F8UQowuEWUXxGPa0lO64gkNfw==" saltValue="+VJUsoE9kce0Odu4qdo+9w==" spinCount="100000" sheet="1" objects="1" scenarios="1"/>
  <mergeCells count="1">
    <mergeCell ref="F33:K33"/>
  </mergeCells>
  <phoneticPr fontId="0" type="noConversion"/>
  <pageMargins left="0.75" right="0.75" top="1" bottom="1" header="0.5" footer="0.5"/>
  <pageSetup scale="46" orientation="portrait" r:id="rId1"/>
  <headerFooter alignWithMargins="0"/>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theme="9"/>
  </sheetPr>
  <dimension ref="A1:T15"/>
  <sheetViews>
    <sheetView workbookViewId="0">
      <selection activeCell="B2" sqref="B2"/>
    </sheetView>
  </sheetViews>
  <sheetFormatPr baseColWidth="10" defaultColWidth="8.83203125" defaultRowHeight="13" x14ac:dyDescent="0.15"/>
  <cols>
    <col min="1" max="1" width="25" customWidth="1"/>
    <col min="2" max="2" width="9" bestFit="1" customWidth="1"/>
    <col min="3" max="3" width="16" customWidth="1"/>
    <col min="4" max="4" width="11.33203125" customWidth="1"/>
    <col min="5" max="5" width="4.33203125" bestFit="1" customWidth="1"/>
    <col min="6" max="6" width="14.1640625" bestFit="1" customWidth="1"/>
    <col min="7" max="7" width="5.33203125" bestFit="1" customWidth="1"/>
    <col min="8" max="8" width="10.83203125" bestFit="1" customWidth="1"/>
    <col min="9" max="9" width="11.5" customWidth="1"/>
    <col min="10" max="10" width="2.83203125" customWidth="1"/>
    <col min="11" max="11" width="10" customWidth="1"/>
    <col min="12" max="12" width="20.83203125" customWidth="1"/>
    <col min="13" max="13" width="12.5" customWidth="1"/>
    <col min="14" max="14" width="14.83203125" customWidth="1"/>
    <col min="15" max="15" width="15.5" customWidth="1"/>
    <col min="16" max="16" width="10.5" customWidth="1"/>
    <col min="17" max="17" width="14.6640625" customWidth="1"/>
    <col min="18" max="18" width="12.83203125" customWidth="1"/>
    <col min="19" max="19" width="12.5" customWidth="1"/>
    <col min="20" max="20" width="13.1640625" customWidth="1"/>
  </cols>
  <sheetData>
    <row r="1" spans="1:20" ht="15" x14ac:dyDescent="0.2">
      <c r="A1" s="771" t="s">
        <v>387</v>
      </c>
      <c r="B1" s="771"/>
      <c r="C1" s="771"/>
      <c r="D1" s="771"/>
      <c r="E1" s="771"/>
      <c r="G1" s="771" t="s">
        <v>388</v>
      </c>
      <c r="H1" s="771"/>
      <c r="I1" s="771"/>
      <c r="J1" s="771"/>
      <c r="K1" s="481"/>
      <c r="L1" s="772" t="s">
        <v>389</v>
      </c>
      <c r="M1" s="772"/>
      <c r="N1" s="772"/>
      <c r="O1" s="772"/>
      <c r="P1" s="772"/>
      <c r="Q1" s="772"/>
      <c r="R1" s="772"/>
      <c r="S1" s="772"/>
      <c r="T1" s="772"/>
    </row>
    <row r="2" spans="1:20" x14ac:dyDescent="0.15">
      <c r="A2" s="504" t="s">
        <v>390</v>
      </c>
      <c r="B2" s="523">
        <v>150462</v>
      </c>
      <c r="C2" s="504"/>
      <c r="L2" s="678" t="s">
        <v>391</v>
      </c>
      <c r="M2" s="555"/>
      <c r="N2" s="555"/>
      <c r="O2" s="678" t="s">
        <v>392</v>
      </c>
      <c r="P2" s="678"/>
      <c r="Q2" s="555"/>
      <c r="R2" s="678" t="s">
        <v>393</v>
      </c>
      <c r="S2" s="679">
        <f>C4</f>
        <v>1060</v>
      </c>
      <c r="T2" s="555"/>
    </row>
    <row r="3" spans="1:20" ht="15" x14ac:dyDescent="0.2">
      <c r="A3" s="504" t="s">
        <v>394</v>
      </c>
      <c r="B3" s="482" t="s">
        <v>395</v>
      </c>
      <c r="C3" s="483" t="s">
        <v>396</v>
      </c>
      <c r="D3" s="484" t="s">
        <v>397</v>
      </c>
      <c r="L3" s="555" t="s">
        <v>398</v>
      </c>
      <c r="M3" s="679">
        <v>55000</v>
      </c>
      <c r="N3" s="683" t="s">
        <v>399</v>
      </c>
      <c r="O3" s="555" t="s">
        <v>400</v>
      </c>
      <c r="P3" s="679">
        <f>B5</f>
        <v>209000</v>
      </c>
      <c r="Q3" s="683" t="s">
        <v>399</v>
      </c>
      <c r="R3" s="555"/>
      <c r="S3" s="555"/>
      <c r="T3" s="555"/>
    </row>
    <row r="4" spans="1:20" ht="14" x14ac:dyDescent="0.2">
      <c r="A4" s="507" t="s">
        <v>401</v>
      </c>
      <c r="B4" s="563">
        <v>863</v>
      </c>
      <c r="C4" s="563">
        <v>1060</v>
      </c>
      <c r="D4" s="563">
        <v>1177</v>
      </c>
      <c r="E4" s="66"/>
      <c r="L4" s="555" t="s">
        <v>402</v>
      </c>
      <c r="M4" s="680">
        <v>0.05</v>
      </c>
      <c r="N4" s="563">
        <f>M4*M3</f>
        <v>2750</v>
      </c>
      <c r="O4" s="555" t="s">
        <v>402</v>
      </c>
      <c r="P4" s="680">
        <v>0.15</v>
      </c>
      <c r="Q4" s="689">
        <f>P4*P3</f>
        <v>31350</v>
      </c>
      <c r="R4" s="555"/>
      <c r="S4" s="555"/>
      <c r="T4" s="555"/>
    </row>
    <row r="5" spans="1:20" ht="14" x14ac:dyDescent="0.2">
      <c r="A5" s="504" t="s">
        <v>403</v>
      </c>
      <c r="B5" s="564">
        <v>209000</v>
      </c>
      <c r="C5" s="563"/>
      <c r="D5" s="509"/>
      <c r="E5" s="66"/>
      <c r="L5" s="555" t="s">
        <v>223</v>
      </c>
      <c r="M5" s="680">
        <v>0.10199999999999999</v>
      </c>
      <c r="N5" s="555"/>
      <c r="O5" s="555" t="s">
        <v>223</v>
      </c>
      <c r="P5" s="680">
        <v>0.08</v>
      </c>
      <c r="Q5" s="555"/>
      <c r="R5" s="555"/>
      <c r="S5" s="555"/>
      <c r="T5" s="555"/>
    </row>
    <row r="6" spans="1:20" ht="14" x14ac:dyDescent="0.2">
      <c r="A6" s="504" t="s">
        <v>404</v>
      </c>
      <c r="B6" s="565"/>
      <c r="C6" s="566"/>
      <c r="D6" s="509"/>
      <c r="E6" s="66"/>
      <c r="L6" s="555" t="s">
        <v>405</v>
      </c>
      <c r="M6" s="681">
        <v>23</v>
      </c>
      <c r="N6" s="555"/>
      <c r="O6" s="555" t="s">
        <v>405</v>
      </c>
      <c r="P6" s="681">
        <v>30</v>
      </c>
      <c r="Q6" s="555"/>
      <c r="R6" s="555"/>
      <c r="S6" s="555"/>
      <c r="T6" s="555"/>
    </row>
    <row r="7" spans="1:20" ht="14" x14ac:dyDescent="0.2">
      <c r="A7" s="504" t="s">
        <v>406</v>
      </c>
      <c r="B7" s="564"/>
      <c r="C7" s="563"/>
      <c r="D7" s="509"/>
      <c r="E7" s="66"/>
      <c r="L7" s="555" t="s">
        <v>407</v>
      </c>
      <c r="M7" s="682">
        <f>500/12</f>
        <v>41.666666666666664</v>
      </c>
      <c r="N7" s="555"/>
      <c r="O7" s="555" t="s">
        <v>408</v>
      </c>
      <c r="P7" s="682">
        <f>0.01*P3/12</f>
        <v>174.16666666666666</v>
      </c>
      <c r="Q7" s="555"/>
      <c r="R7" s="555"/>
      <c r="S7" s="555"/>
      <c r="T7" s="555"/>
    </row>
    <row r="8" spans="1:20" ht="14" x14ac:dyDescent="0.2">
      <c r="A8" s="504" t="s">
        <v>409</v>
      </c>
      <c r="B8" s="554"/>
      <c r="C8" s="554"/>
      <c r="D8" s="509"/>
      <c r="E8" s="66"/>
      <c r="L8" s="555"/>
      <c r="M8" s="555"/>
      <c r="N8" s="555"/>
      <c r="O8" s="555"/>
      <c r="P8" s="555"/>
      <c r="Q8" s="555"/>
      <c r="R8" s="555"/>
      <c r="S8" s="555"/>
      <c r="T8" s="555"/>
    </row>
    <row r="9" spans="1:20" ht="15" customHeight="1" x14ac:dyDescent="0.2">
      <c r="A9" s="504"/>
      <c r="B9" s="564"/>
      <c r="C9" s="554"/>
      <c r="D9" s="509"/>
      <c r="E9" s="66"/>
      <c r="F9" s="66"/>
      <c r="G9" s="66"/>
      <c r="L9" s="683" t="s">
        <v>410</v>
      </c>
      <c r="M9" s="683" t="s">
        <v>411</v>
      </c>
      <c r="N9" s="683" t="s">
        <v>412</v>
      </c>
      <c r="O9" s="684" t="s">
        <v>413</v>
      </c>
      <c r="P9" s="683" t="s">
        <v>414</v>
      </c>
      <c r="Q9" s="684" t="s">
        <v>415</v>
      </c>
      <c r="R9" s="683" t="s">
        <v>416</v>
      </c>
      <c r="S9" s="683" t="s">
        <v>412</v>
      </c>
      <c r="T9" s="684" t="s">
        <v>415</v>
      </c>
    </row>
    <row r="10" spans="1:20" ht="15" customHeight="1" x14ac:dyDescent="0.2">
      <c r="A10" s="504"/>
      <c r="B10" s="554"/>
      <c r="C10" s="554"/>
      <c r="D10" s="509"/>
      <c r="E10" s="66"/>
      <c r="F10" s="66"/>
      <c r="G10" s="66"/>
      <c r="L10" s="685" t="s">
        <v>417</v>
      </c>
      <c r="M10" s="685" t="s">
        <v>398</v>
      </c>
      <c r="N10" s="685" t="s">
        <v>222</v>
      </c>
      <c r="O10" s="686"/>
      <c r="P10" s="685" t="s">
        <v>418</v>
      </c>
      <c r="Q10" s="686" t="s">
        <v>419</v>
      </c>
      <c r="R10" s="685" t="s">
        <v>0</v>
      </c>
      <c r="S10" s="685" t="s">
        <v>222</v>
      </c>
      <c r="T10" s="686" t="s">
        <v>419</v>
      </c>
    </row>
    <row r="11" spans="1:20" ht="15" x14ac:dyDescent="0.2">
      <c r="A11" s="481"/>
      <c r="B11" s="481"/>
      <c r="C11" s="481"/>
      <c r="D11" s="481"/>
      <c r="E11" s="481"/>
      <c r="F11" s="66"/>
      <c r="G11" s="66"/>
      <c r="L11" s="679">
        <f>Proforma!F29</f>
        <v>565</v>
      </c>
      <c r="M11" s="687">
        <f>M3</f>
        <v>55000</v>
      </c>
      <c r="N11" s="687">
        <f>PMT(M5/12,M6*12,-M11*(1-M4))</f>
        <v>491.67239426751604</v>
      </c>
      <c r="O11" s="688">
        <f>N11+L11+M7</f>
        <v>1098.3390609341827</v>
      </c>
      <c r="P11" s="687">
        <f>S2</f>
        <v>1060</v>
      </c>
      <c r="Q11" s="690">
        <f>P11-O11</f>
        <v>-38.339060934182726</v>
      </c>
      <c r="R11" s="687">
        <f>P3</f>
        <v>209000</v>
      </c>
      <c r="S11" s="687">
        <f>PMT(P5/12,P6*12,-R11*(1-P4))+P7</f>
        <v>1477.6994321633786</v>
      </c>
      <c r="T11" s="690">
        <f>S11-O11</f>
        <v>379.36037122919583</v>
      </c>
    </row>
    <row r="12" spans="1:20" x14ac:dyDescent="0.15">
      <c r="B12" s="554"/>
      <c r="C12" s="554"/>
      <c r="D12" s="554"/>
    </row>
    <row r="13" spans="1:20" x14ac:dyDescent="0.15">
      <c r="B13" s="554"/>
      <c r="C13" s="554"/>
      <c r="D13" s="554"/>
    </row>
    <row r="15" spans="1:20" x14ac:dyDescent="0.15">
      <c r="A15" s="504"/>
    </row>
  </sheetData>
  <mergeCells count="3">
    <mergeCell ref="A1:E1"/>
    <mergeCell ref="G1:J1"/>
    <mergeCell ref="L1:T1"/>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CB81D2-335C-43A6-BBC4-B42BDF8518C2}">
  <sheetPr codeName="Sheet10">
    <tabColor rgb="FF7030A0"/>
  </sheetPr>
  <dimension ref="A1:S103"/>
  <sheetViews>
    <sheetView topLeftCell="A28" workbookViewId="0">
      <selection activeCell="B2" sqref="B2"/>
    </sheetView>
  </sheetViews>
  <sheetFormatPr baseColWidth="10" defaultColWidth="9.1640625" defaultRowHeight="15" x14ac:dyDescent="0.2"/>
  <cols>
    <col min="1" max="1" width="27.6640625" style="150" bestFit="1" customWidth="1"/>
    <col min="2" max="2" width="9.5" style="154" bestFit="1" customWidth="1"/>
    <col min="3" max="3" width="10.33203125" style="150" bestFit="1" customWidth="1"/>
    <col min="4" max="4" width="10.6640625" style="150" bestFit="1" customWidth="1"/>
    <col min="5" max="5" width="9.83203125" style="150" bestFit="1" customWidth="1"/>
    <col min="6" max="6" width="9.83203125" style="150" customWidth="1"/>
    <col min="7" max="7" width="10.33203125" style="150" bestFit="1" customWidth="1"/>
    <col min="8" max="8" width="10.1640625" style="150" bestFit="1" customWidth="1"/>
    <col min="9" max="10" width="13.83203125" style="150" customWidth="1"/>
    <col min="11" max="11" width="1.5" style="150" customWidth="1"/>
    <col min="12" max="12" width="38.5" style="150" customWidth="1"/>
    <col min="13" max="13" width="55.5" style="150" customWidth="1"/>
    <col min="14" max="14" width="9.1640625" style="150"/>
    <col min="15" max="15" width="20.6640625" style="150" customWidth="1"/>
    <col min="16" max="16384" width="9.1640625" style="150"/>
  </cols>
  <sheetData>
    <row r="1" spans="1:19" x14ac:dyDescent="0.2">
      <c r="A1" s="773" t="s">
        <v>420</v>
      </c>
      <c r="B1" s="773"/>
      <c r="C1" s="773"/>
      <c r="D1" s="773"/>
      <c r="E1" s="773"/>
      <c r="F1" s="773"/>
      <c r="G1" s="773"/>
      <c r="H1" s="773"/>
      <c r="I1" s="773"/>
      <c r="J1" s="773"/>
      <c r="K1" s="773"/>
      <c r="L1" s="773"/>
      <c r="M1" s="773"/>
      <c r="P1" s="775" t="s">
        <v>421</v>
      </c>
      <c r="Q1" s="776"/>
      <c r="R1" s="776"/>
      <c r="S1" s="777"/>
    </row>
    <row r="2" spans="1:19" x14ac:dyDescent="0.2">
      <c r="A2" s="150" t="s">
        <v>422</v>
      </c>
      <c r="B2" s="151"/>
      <c r="C2" s="152"/>
      <c r="D2" s="152"/>
      <c r="E2" s="152"/>
      <c r="F2" s="152"/>
      <c r="G2" s="152"/>
      <c r="H2" s="152"/>
      <c r="I2" s="152"/>
      <c r="J2" s="152"/>
      <c r="K2" s="152"/>
      <c r="L2" s="152"/>
      <c r="M2" s="152"/>
      <c r="P2" s="252">
        <f>VLOOKUP(Proforma!N4,Q2:R6,2,FALSE)</f>
        <v>0</v>
      </c>
      <c r="Q2" s="524">
        <f>Current_Year-1</f>
        <v>2024</v>
      </c>
      <c r="R2" s="504">
        <v>0</v>
      </c>
      <c r="S2" s="253"/>
    </row>
    <row r="3" spans="1:19" x14ac:dyDescent="0.2">
      <c r="A3" s="150" t="s">
        <v>423</v>
      </c>
      <c r="B3" s="153">
        <v>2025</v>
      </c>
      <c r="C3" s="154"/>
      <c r="D3" s="154"/>
      <c r="P3" s="252"/>
      <c r="Q3" s="524" t="str">
        <f>F9</f>
        <v>Trailing 12</v>
      </c>
      <c r="R3" s="504">
        <v>1</v>
      </c>
      <c r="S3" s="253"/>
    </row>
    <row r="4" spans="1:19" x14ac:dyDescent="0.2">
      <c r="A4" s="150" t="s">
        <v>424</v>
      </c>
      <c r="B4" s="154">
        <f>+B3-1</f>
        <v>2024</v>
      </c>
      <c r="C4" s="154">
        <f>+B4-1</f>
        <v>2023</v>
      </c>
      <c r="D4" s="154">
        <f>+C4-1</f>
        <v>2022</v>
      </c>
      <c r="P4" s="567"/>
      <c r="Q4" s="524" t="str">
        <f>H9&amp;" Annualized"</f>
        <v>2025 Annualized</v>
      </c>
      <c r="R4" s="504">
        <v>2</v>
      </c>
      <c r="S4" s="253"/>
    </row>
    <row r="5" spans="1:19" x14ac:dyDescent="0.2">
      <c r="A5" s="150" t="str">
        <f>"For YTD "&amp;B3&amp;" Income Statement"</f>
        <v>For YTD 2025 Income Statement</v>
      </c>
      <c r="B5" s="150"/>
      <c r="C5" s="155" t="s">
        <v>425</v>
      </c>
      <c r="D5" s="156">
        <v>45382</v>
      </c>
      <c r="E5" s="157"/>
      <c r="F5" s="157"/>
      <c r="G5" s="158" t="s">
        <v>426</v>
      </c>
      <c r="H5" s="159">
        <f>MONTH(D5)</f>
        <v>3</v>
      </c>
      <c r="P5" s="567"/>
      <c r="Q5" s="653" t="s">
        <v>86</v>
      </c>
      <c r="R5" s="504">
        <v>3</v>
      </c>
      <c r="S5" s="253"/>
    </row>
    <row r="6" spans="1:19" ht="14.25" customHeight="1" thickBot="1" x14ac:dyDescent="0.25">
      <c r="B6" s="150"/>
      <c r="P6" s="654"/>
      <c r="Q6" s="748" t="s">
        <v>427</v>
      </c>
      <c r="R6" s="210">
        <v>4</v>
      </c>
      <c r="S6" s="254"/>
    </row>
    <row r="7" spans="1:19" x14ac:dyDescent="0.2">
      <c r="A7" s="774" t="s">
        <v>428</v>
      </c>
      <c r="B7" s="774"/>
      <c r="C7" s="774"/>
      <c r="D7" s="774"/>
      <c r="E7" s="774"/>
      <c r="F7" s="774"/>
      <c r="G7" s="774"/>
      <c r="H7" s="774"/>
      <c r="I7" s="774"/>
      <c r="J7" s="774"/>
      <c r="K7" s="774"/>
      <c r="L7" s="774"/>
      <c r="M7" s="774"/>
    </row>
    <row r="8" spans="1:19" x14ac:dyDescent="0.2">
      <c r="A8" s="160"/>
      <c r="B8" s="161" t="s">
        <v>429</v>
      </c>
      <c r="C8" s="161"/>
      <c r="D8" s="161"/>
      <c r="E8" s="161"/>
      <c r="F8" s="161"/>
      <c r="G8" s="161" t="s">
        <v>430</v>
      </c>
      <c r="H8" s="161" t="s">
        <v>431</v>
      </c>
      <c r="I8" s="161" t="s">
        <v>432</v>
      </c>
      <c r="J8" s="161" t="s">
        <v>251</v>
      </c>
      <c r="K8" s="161"/>
    </row>
    <row r="9" spans="1:19" ht="16" thickBot="1" x14ac:dyDescent="0.25">
      <c r="A9" s="160" t="s">
        <v>433</v>
      </c>
      <c r="B9" s="161" t="s">
        <v>434</v>
      </c>
      <c r="C9" s="161">
        <f>+D4</f>
        <v>2022</v>
      </c>
      <c r="D9" s="161">
        <f>+C4</f>
        <v>2023</v>
      </c>
      <c r="E9" s="161">
        <f>+B4</f>
        <v>2024</v>
      </c>
      <c r="F9" s="161" t="s">
        <v>78</v>
      </c>
      <c r="G9" s="161">
        <f>Current_Year</f>
        <v>2025</v>
      </c>
      <c r="H9" s="162">
        <f>Current_Year</f>
        <v>2025</v>
      </c>
      <c r="I9" s="161" t="s">
        <v>435</v>
      </c>
      <c r="J9" s="161" t="s">
        <v>436</v>
      </c>
      <c r="K9" s="162"/>
      <c r="L9" s="163" t="s">
        <v>437</v>
      </c>
      <c r="M9" s="163" t="s">
        <v>102</v>
      </c>
    </row>
    <row r="10" spans="1:19" x14ac:dyDescent="0.2">
      <c r="A10" s="643" t="str">
        <f>+Proforma!C29</f>
        <v xml:space="preserve">MH </v>
      </c>
      <c r="B10" s="644">
        <v>1</v>
      </c>
      <c r="C10" s="645"/>
      <c r="D10" s="645"/>
      <c r="E10" s="645"/>
      <c r="F10" s="645"/>
      <c r="G10" s="645"/>
      <c r="H10" s="164">
        <f t="shared" ref="H10:H24" si="0">+G10/$H$5*12</f>
        <v>0</v>
      </c>
      <c r="I10" s="645"/>
      <c r="J10" s="645"/>
      <c r="L10" s="150" t="str">
        <f t="shared" ref="L10:L24" si="1">VLOOKUP($B10,Income_Account_Codes,2,)</f>
        <v>MH Space Rent Tier 1</v>
      </c>
      <c r="O10" s="643" t="s">
        <v>438</v>
      </c>
      <c r="P10" s="644">
        <v>1</v>
      </c>
      <c r="Q10" s="568"/>
    </row>
    <row r="11" spans="1:19" x14ac:dyDescent="0.2">
      <c r="A11" s="691" t="str">
        <f>+Proforma!C30</f>
        <v>RV</v>
      </c>
      <c r="B11" s="644">
        <v>2</v>
      </c>
      <c r="C11" s="645"/>
      <c r="D11" s="645"/>
      <c r="E11" s="645"/>
      <c r="F11" s="645"/>
      <c r="G11" s="645"/>
      <c r="H11" s="164">
        <f t="shared" si="0"/>
        <v>0</v>
      </c>
      <c r="I11" s="645"/>
      <c r="J11" s="645"/>
      <c r="L11" s="150" t="str">
        <f t="shared" si="1"/>
        <v>RV Space Rent Permanent</v>
      </c>
      <c r="O11" s="691" t="s">
        <v>439</v>
      </c>
      <c r="P11" s="644">
        <v>2</v>
      </c>
      <c r="Q11" s="568"/>
    </row>
    <row r="12" spans="1:19" x14ac:dyDescent="0.2">
      <c r="A12" s="643" t="str">
        <f>+Proforma!C31</f>
        <v>Other</v>
      </c>
      <c r="B12" s="644">
        <v>3</v>
      </c>
      <c r="C12" s="645"/>
      <c r="D12" s="645"/>
      <c r="E12" s="645"/>
      <c r="F12" s="645"/>
      <c r="G12" s="645"/>
      <c r="H12" s="164">
        <f t="shared" si="0"/>
        <v>0</v>
      </c>
      <c r="I12" s="645"/>
      <c r="J12" s="645"/>
      <c r="L12" s="150" t="str">
        <f t="shared" si="1"/>
        <v>Other Rental Income</v>
      </c>
      <c r="O12" s="643" t="s">
        <v>440</v>
      </c>
      <c r="P12" s="644">
        <v>3</v>
      </c>
      <c r="Q12" s="568"/>
    </row>
    <row r="13" spans="1:19" x14ac:dyDescent="0.2">
      <c r="A13" s="691" t="s">
        <v>441</v>
      </c>
      <c r="B13" s="644">
        <v>4</v>
      </c>
      <c r="C13" s="645"/>
      <c r="D13" s="645"/>
      <c r="E13" s="645"/>
      <c r="F13" s="645"/>
      <c r="G13" s="645"/>
      <c r="H13" s="164">
        <f t="shared" si="0"/>
        <v>0</v>
      </c>
      <c r="I13" s="645"/>
      <c r="J13" s="645"/>
      <c r="L13" s="150" t="str">
        <f t="shared" si="1"/>
        <v>Vacancy Loss</v>
      </c>
      <c r="O13" s="691" t="s">
        <v>441</v>
      </c>
      <c r="P13" s="644">
        <v>4</v>
      </c>
      <c r="Q13" s="568"/>
    </row>
    <row r="14" spans="1:19" x14ac:dyDescent="0.2">
      <c r="A14" s="643" t="s">
        <v>176</v>
      </c>
      <c r="B14" s="644">
        <v>4403</v>
      </c>
      <c r="C14" s="645"/>
      <c r="D14" s="645"/>
      <c r="E14" s="645"/>
      <c r="F14" s="645"/>
      <c r="G14" s="645"/>
      <c r="H14" s="164">
        <f t="shared" si="0"/>
        <v>0</v>
      </c>
      <c r="I14" s="645"/>
      <c r="J14" s="645"/>
      <c r="L14" s="150" t="str">
        <f t="shared" si="1"/>
        <v>Electric</v>
      </c>
      <c r="O14" s="643" t="s">
        <v>176</v>
      </c>
      <c r="P14" s="644">
        <v>4403</v>
      </c>
      <c r="Q14" s="568"/>
    </row>
    <row r="15" spans="1:19" x14ac:dyDescent="0.2">
      <c r="A15" s="643" t="s">
        <v>177</v>
      </c>
      <c r="B15" s="644">
        <v>4401</v>
      </c>
      <c r="C15" s="645"/>
      <c r="D15" s="645"/>
      <c r="E15" s="645"/>
      <c r="F15" s="645"/>
      <c r="G15" s="645"/>
      <c r="H15" s="164">
        <f t="shared" si="0"/>
        <v>0</v>
      </c>
      <c r="I15" s="645"/>
      <c r="J15" s="645"/>
      <c r="L15" s="150" t="str">
        <f t="shared" si="1"/>
        <v>Gas / Propane</v>
      </c>
      <c r="O15" s="643" t="s">
        <v>177</v>
      </c>
      <c r="P15" s="644">
        <v>4401</v>
      </c>
      <c r="Q15" s="568"/>
    </row>
    <row r="16" spans="1:19" x14ac:dyDescent="0.2">
      <c r="A16" s="643" t="s">
        <v>178</v>
      </c>
      <c r="B16" s="644">
        <v>4404</v>
      </c>
      <c r="C16" s="645"/>
      <c r="D16" s="645"/>
      <c r="E16" s="645"/>
      <c r="F16" s="645"/>
      <c r="G16" s="645"/>
      <c r="H16" s="164">
        <f t="shared" si="0"/>
        <v>0</v>
      </c>
      <c r="I16" s="645"/>
      <c r="J16" s="645"/>
      <c r="L16" s="150" t="str">
        <f t="shared" si="1"/>
        <v>Trash</v>
      </c>
      <c r="O16" s="643" t="s">
        <v>178</v>
      </c>
      <c r="P16" s="644">
        <v>4404</v>
      </c>
      <c r="Q16" s="568"/>
    </row>
    <row r="17" spans="1:17" x14ac:dyDescent="0.2">
      <c r="A17" s="643" t="s">
        <v>99</v>
      </c>
      <c r="B17" s="644">
        <v>4405</v>
      </c>
      <c r="C17" s="645"/>
      <c r="D17" s="645"/>
      <c r="E17" s="645"/>
      <c r="F17" s="645"/>
      <c r="G17" s="645"/>
      <c r="H17" s="164">
        <f t="shared" si="0"/>
        <v>0</v>
      </c>
      <c r="I17" s="645"/>
      <c r="J17" s="645"/>
      <c r="L17" s="150" t="str">
        <f t="shared" si="1"/>
        <v>Sewer</v>
      </c>
      <c r="O17" s="643" t="s">
        <v>99</v>
      </c>
      <c r="P17" s="644">
        <v>4405</v>
      </c>
      <c r="Q17" s="568"/>
    </row>
    <row r="18" spans="1:17" x14ac:dyDescent="0.2">
      <c r="A18" s="643" t="s">
        <v>98</v>
      </c>
      <c r="B18" s="644">
        <v>4402</v>
      </c>
      <c r="C18" s="645"/>
      <c r="D18" s="645"/>
      <c r="E18" s="645"/>
      <c r="F18" s="645"/>
      <c r="G18" s="645"/>
      <c r="H18" s="164">
        <f t="shared" si="0"/>
        <v>0</v>
      </c>
      <c r="I18" s="645"/>
      <c r="J18" s="645"/>
      <c r="L18" s="150" t="str">
        <f t="shared" si="1"/>
        <v>Water</v>
      </c>
      <c r="O18" s="643" t="s">
        <v>98</v>
      </c>
      <c r="P18" s="644">
        <v>4402</v>
      </c>
      <c r="Q18" s="568"/>
    </row>
    <row r="19" spans="1:17" x14ac:dyDescent="0.2">
      <c r="A19" s="643" t="s">
        <v>179</v>
      </c>
      <c r="B19" s="644">
        <v>4998</v>
      </c>
      <c r="C19" s="645"/>
      <c r="D19" s="645"/>
      <c r="E19" s="645"/>
      <c r="F19" s="645"/>
      <c r="G19" s="645"/>
      <c r="H19" s="164">
        <f t="shared" si="0"/>
        <v>0</v>
      </c>
      <c r="I19" s="645"/>
      <c r="J19" s="645"/>
      <c r="L19" s="150" t="str">
        <f t="shared" si="1"/>
        <v>Other, misc.</v>
      </c>
      <c r="O19" s="643" t="s">
        <v>179</v>
      </c>
      <c r="P19" s="644">
        <v>4998</v>
      </c>
      <c r="Q19" s="568"/>
    </row>
    <row r="20" spans="1:17" x14ac:dyDescent="0.2">
      <c r="A20" s="643" t="s">
        <v>442</v>
      </c>
      <c r="B20" s="644">
        <v>4134</v>
      </c>
      <c r="C20" s="645"/>
      <c r="D20" s="645"/>
      <c r="E20" s="645"/>
      <c r="F20" s="645"/>
      <c r="G20" s="645"/>
      <c r="H20" s="164">
        <f t="shared" si="0"/>
        <v>0</v>
      </c>
      <c r="I20" s="645"/>
      <c r="J20" s="645"/>
      <c r="L20" s="150" t="str">
        <f t="shared" si="1"/>
        <v>Free Rent to Manager</v>
      </c>
      <c r="O20" s="643" t="s">
        <v>442</v>
      </c>
      <c r="P20" s="644">
        <v>4134</v>
      </c>
      <c r="Q20" s="568"/>
    </row>
    <row r="21" spans="1:17" x14ac:dyDescent="0.2">
      <c r="A21" s="643"/>
      <c r="B21" s="644"/>
      <c r="C21" s="645"/>
      <c r="D21" s="645"/>
      <c r="E21" s="645"/>
      <c r="F21" s="645"/>
      <c r="G21" s="645"/>
      <c r="H21" s="164">
        <f t="shared" si="0"/>
        <v>0</v>
      </c>
      <c r="I21" s="645"/>
      <c r="J21" s="645"/>
      <c r="L21" s="150" t="e">
        <f t="shared" si="1"/>
        <v>#N/A</v>
      </c>
    </row>
    <row r="22" spans="1:17" x14ac:dyDescent="0.2">
      <c r="A22" s="643"/>
      <c r="B22" s="644"/>
      <c r="C22" s="645"/>
      <c r="D22" s="645"/>
      <c r="E22" s="645"/>
      <c r="F22" s="645"/>
      <c r="G22" s="645"/>
      <c r="H22" s="164">
        <f t="shared" si="0"/>
        <v>0</v>
      </c>
      <c r="I22" s="645"/>
      <c r="J22" s="645"/>
      <c r="L22" s="150" t="e">
        <f t="shared" si="1"/>
        <v>#N/A</v>
      </c>
    </row>
    <row r="23" spans="1:17" x14ac:dyDescent="0.2">
      <c r="A23" s="643"/>
      <c r="B23" s="644"/>
      <c r="C23" s="645"/>
      <c r="D23" s="645"/>
      <c r="E23" s="645"/>
      <c r="F23" s="645"/>
      <c r="G23" s="645"/>
      <c r="H23" s="164">
        <f t="shared" si="0"/>
        <v>0</v>
      </c>
      <c r="I23" s="645"/>
      <c r="J23" s="645"/>
      <c r="L23" s="150" t="e">
        <f t="shared" si="1"/>
        <v>#N/A</v>
      </c>
    </row>
    <row r="24" spans="1:17" x14ac:dyDescent="0.2">
      <c r="A24" s="643"/>
      <c r="B24" s="644"/>
      <c r="C24" s="645"/>
      <c r="D24" s="645"/>
      <c r="E24" s="645"/>
      <c r="F24" s="645"/>
      <c r="G24" s="645"/>
      <c r="H24" s="164">
        <f t="shared" si="0"/>
        <v>0</v>
      </c>
      <c r="I24" s="645"/>
      <c r="J24" s="645"/>
      <c r="L24" s="150" t="e">
        <f t="shared" si="1"/>
        <v>#N/A</v>
      </c>
    </row>
    <row r="25" spans="1:17" x14ac:dyDescent="0.2">
      <c r="A25" s="169" t="s">
        <v>443</v>
      </c>
      <c r="B25" s="150"/>
      <c r="C25" s="171">
        <f>SUM(C10:C24)</f>
        <v>0</v>
      </c>
      <c r="D25" s="171">
        <f t="shared" ref="D25:I25" si="2">SUM(D10:D24)</f>
        <v>0</v>
      </c>
      <c r="E25" s="171">
        <f t="shared" si="2"/>
        <v>0</v>
      </c>
      <c r="F25" s="171">
        <f t="shared" si="2"/>
        <v>0</v>
      </c>
      <c r="G25" s="171">
        <f t="shared" si="2"/>
        <v>0</v>
      </c>
      <c r="H25" s="171">
        <f t="shared" si="2"/>
        <v>0</v>
      </c>
      <c r="I25" s="171">
        <f t="shared" si="2"/>
        <v>0</v>
      </c>
      <c r="J25" s="171"/>
    </row>
    <row r="26" spans="1:17" x14ac:dyDescent="0.2">
      <c r="B26" s="150"/>
    </row>
    <row r="27" spans="1:17" x14ac:dyDescent="0.2">
      <c r="A27" s="774" t="s">
        <v>444</v>
      </c>
      <c r="B27" s="774"/>
      <c r="C27" s="774"/>
      <c r="D27" s="774"/>
      <c r="E27" s="774"/>
      <c r="F27" s="774"/>
      <c r="G27" s="774"/>
      <c r="H27" s="774"/>
      <c r="I27" s="774"/>
      <c r="J27" s="774"/>
      <c r="K27" s="774"/>
      <c r="L27" s="774"/>
      <c r="M27" s="774"/>
    </row>
    <row r="28" spans="1:17" x14ac:dyDescent="0.2">
      <c r="A28" s="160"/>
      <c r="B28" s="161" t="s">
        <v>429</v>
      </c>
      <c r="C28" s="161"/>
      <c r="D28" s="161"/>
      <c r="E28" s="161"/>
      <c r="F28" s="161"/>
      <c r="G28" s="161" t="s">
        <v>430</v>
      </c>
      <c r="H28" s="161" t="s">
        <v>431</v>
      </c>
      <c r="I28" s="161" t="s">
        <v>432</v>
      </c>
      <c r="J28" s="161" t="s">
        <v>251</v>
      </c>
      <c r="K28" s="161"/>
    </row>
    <row r="29" spans="1:17" ht="16" thickBot="1" x14ac:dyDescent="0.25">
      <c r="A29" s="163" t="s">
        <v>445</v>
      </c>
      <c r="B29" s="162" t="s">
        <v>434</v>
      </c>
      <c r="C29" s="162">
        <f>+D4</f>
        <v>2022</v>
      </c>
      <c r="D29" s="162">
        <f>+C4</f>
        <v>2023</v>
      </c>
      <c r="E29" s="162">
        <f>+B4</f>
        <v>2024</v>
      </c>
      <c r="F29" s="162" t="str">
        <f>+F9</f>
        <v>Trailing 12</v>
      </c>
      <c r="G29" s="162">
        <f>Current_Year</f>
        <v>2025</v>
      </c>
      <c r="H29" s="162">
        <f>Current_Year</f>
        <v>2025</v>
      </c>
      <c r="I29" s="162" t="s">
        <v>435</v>
      </c>
      <c r="J29" s="161" t="s">
        <v>436</v>
      </c>
      <c r="K29" s="162"/>
      <c r="L29" s="163" t="s">
        <v>437</v>
      </c>
      <c r="M29" s="163" t="s">
        <v>102</v>
      </c>
    </row>
    <row r="30" spans="1:17" x14ac:dyDescent="0.2">
      <c r="A30" s="165" t="s">
        <v>446</v>
      </c>
      <c r="B30" s="166">
        <v>5701</v>
      </c>
      <c r="C30" s="167"/>
      <c r="D30" s="167"/>
      <c r="E30" s="167">
        <v>187049</v>
      </c>
      <c r="F30" s="167"/>
      <c r="G30" s="167"/>
      <c r="H30" s="164">
        <f>+G30/$H$5*12</f>
        <v>0</v>
      </c>
      <c r="I30" s="167"/>
      <c r="J30" s="645">
        <f>400*NoOfSpaces</f>
        <v>96800</v>
      </c>
      <c r="L30" s="168" t="str">
        <f t="shared" ref="L30:L100" si="3">VLOOKUP(B30,ChartOfAccounts,2,)</f>
        <v>Manager/Maint Salary Expense</v>
      </c>
      <c r="M30" s="168"/>
      <c r="O30" s="165" t="s">
        <v>446</v>
      </c>
      <c r="P30" s="166">
        <v>5701</v>
      </c>
    </row>
    <row r="31" spans="1:17" x14ac:dyDescent="0.2">
      <c r="A31" s="643" t="s">
        <v>193</v>
      </c>
      <c r="B31" s="644">
        <v>5305</v>
      </c>
      <c r="C31" s="645"/>
      <c r="D31" s="645"/>
      <c r="E31" s="645">
        <v>0</v>
      </c>
      <c r="F31" s="645"/>
      <c r="G31" s="645"/>
      <c r="H31" s="164">
        <f t="shared" ref="H31:H100" si="4">+G31/$H$5*12</f>
        <v>0</v>
      </c>
      <c r="I31" s="645"/>
      <c r="J31" s="645">
        <f>J30*0.017</f>
        <v>1645.6000000000001</v>
      </c>
      <c r="L31" s="646" t="str">
        <f t="shared" si="3"/>
        <v>Payroll Taxes</v>
      </c>
      <c r="M31" s="646"/>
      <c r="O31" s="643" t="s">
        <v>193</v>
      </c>
      <c r="P31" s="644">
        <v>5305</v>
      </c>
    </row>
    <row r="32" spans="1:17" x14ac:dyDescent="0.2">
      <c r="A32" s="643" t="s">
        <v>194</v>
      </c>
      <c r="B32" s="644">
        <v>5306</v>
      </c>
      <c r="C32" s="645"/>
      <c r="D32" s="645"/>
      <c r="E32" s="645">
        <v>0</v>
      </c>
      <c r="F32" s="645"/>
      <c r="G32" s="645"/>
      <c r="H32" s="164">
        <f t="shared" si="4"/>
        <v>0</v>
      </c>
      <c r="I32" s="645"/>
      <c r="J32" s="645">
        <f>J30*0.06</f>
        <v>5808</v>
      </c>
      <c r="L32" s="646" t="str">
        <f t="shared" si="3"/>
        <v>Workers Comp</v>
      </c>
      <c r="M32" s="646"/>
      <c r="O32" s="643" t="s">
        <v>194</v>
      </c>
      <c r="P32" s="644">
        <v>5306</v>
      </c>
    </row>
    <row r="33" spans="1:16" x14ac:dyDescent="0.2">
      <c r="A33" s="643" t="s">
        <v>176</v>
      </c>
      <c r="B33" s="644">
        <v>5404</v>
      </c>
      <c r="C33" s="645"/>
      <c r="D33" s="645"/>
      <c r="E33" s="645">
        <v>1759</v>
      </c>
      <c r="F33" s="645"/>
      <c r="G33" s="645"/>
      <c r="H33" s="164">
        <f t="shared" si="4"/>
        <v>0</v>
      </c>
      <c r="I33" s="645"/>
      <c r="J33" s="645"/>
      <c r="L33" s="646" t="str">
        <f t="shared" si="3"/>
        <v>Electric</v>
      </c>
      <c r="M33" s="646"/>
      <c r="O33" s="643" t="s">
        <v>176</v>
      </c>
      <c r="P33" s="644">
        <v>5404</v>
      </c>
    </row>
    <row r="34" spans="1:16" x14ac:dyDescent="0.2">
      <c r="A34" s="643" t="s">
        <v>195</v>
      </c>
      <c r="B34" s="644">
        <v>5401</v>
      </c>
      <c r="C34" s="645"/>
      <c r="D34" s="645"/>
      <c r="E34" s="645">
        <v>0</v>
      </c>
      <c r="F34" s="645"/>
      <c r="G34" s="645"/>
      <c r="H34" s="164">
        <f t="shared" si="4"/>
        <v>0</v>
      </c>
      <c r="I34" s="645"/>
      <c r="J34" s="645"/>
      <c r="L34" s="646" t="str">
        <f t="shared" si="3"/>
        <v>Gas</v>
      </c>
      <c r="M34" s="646"/>
      <c r="O34" s="643" t="s">
        <v>195</v>
      </c>
      <c r="P34" s="644">
        <v>5401</v>
      </c>
    </row>
    <row r="35" spans="1:16" x14ac:dyDescent="0.2">
      <c r="A35" s="643" t="s">
        <v>178</v>
      </c>
      <c r="B35" s="644">
        <v>5405</v>
      </c>
      <c r="C35" s="645"/>
      <c r="D35" s="645"/>
      <c r="E35" s="645">
        <v>63258</v>
      </c>
      <c r="F35" s="645"/>
      <c r="G35" s="645"/>
      <c r="H35" s="164">
        <f t="shared" si="4"/>
        <v>0</v>
      </c>
      <c r="I35" s="645"/>
      <c r="J35" s="645"/>
      <c r="L35" s="646" t="str">
        <f t="shared" si="3"/>
        <v>Trash</v>
      </c>
      <c r="M35" s="646" t="s">
        <v>447</v>
      </c>
      <c r="O35" s="643" t="s">
        <v>178</v>
      </c>
      <c r="P35" s="644">
        <v>5405</v>
      </c>
    </row>
    <row r="36" spans="1:16" x14ac:dyDescent="0.2">
      <c r="A36" s="643" t="s">
        <v>196</v>
      </c>
      <c r="B36" s="644">
        <v>5403</v>
      </c>
      <c r="C36" s="645"/>
      <c r="D36" s="645"/>
      <c r="E36" s="645">
        <v>0</v>
      </c>
      <c r="F36" s="645"/>
      <c r="G36" s="645"/>
      <c r="H36" s="164">
        <f t="shared" si="4"/>
        <v>0</v>
      </c>
      <c r="I36" s="645"/>
      <c r="J36" s="645"/>
      <c r="L36" s="646" t="str">
        <f t="shared" si="3"/>
        <v>Sewer-septic</v>
      </c>
      <c r="M36" s="646"/>
      <c r="O36" s="643" t="s">
        <v>196</v>
      </c>
      <c r="P36" s="644">
        <v>5403</v>
      </c>
    </row>
    <row r="37" spans="1:16" x14ac:dyDescent="0.2">
      <c r="A37" s="643" t="s">
        <v>197</v>
      </c>
      <c r="B37" s="644">
        <v>5402</v>
      </c>
      <c r="C37" s="645"/>
      <c r="D37" s="645"/>
      <c r="E37" s="645">
        <v>6408</v>
      </c>
      <c r="F37" s="645"/>
      <c r="G37" s="645"/>
      <c r="H37" s="164">
        <f t="shared" si="4"/>
        <v>0</v>
      </c>
      <c r="I37" s="645"/>
      <c r="J37" s="645"/>
      <c r="L37" s="646" t="str">
        <f t="shared" si="3"/>
        <v xml:space="preserve">Water </v>
      </c>
      <c r="M37" s="646"/>
      <c r="O37" s="643" t="s">
        <v>197</v>
      </c>
      <c r="P37" s="644">
        <v>5402</v>
      </c>
    </row>
    <row r="38" spans="1:16" x14ac:dyDescent="0.2">
      <c r="A38" s="643" t="s">
        <v>198</v>
      </c>
      <c r="B38" s="644">
        <v>5603</v>
      </c>
      <c r="C38" s="645"/>
      <c r="D38" s="645"/>
      <c r="E38" s="645">
        <v>1601</v>
      </c>
      <c r="F38" s="645"/>
      <c r="G38" s="645"/>
      <c r="H38" s="164">
        <f t="shared" si="4"/>
        <v>0</v>
      </c>
      <c r="I38" s="645"/>
      <c r="J38" s="645"/>
      <c r="L38" s="646" t="str">
        <f t="shared" si="3"/>
        <v xml:space="preserve">Phone/Cable </v>
      </c>
      <c r="M38" s="646"/>
      <c r="O38" s="643" t="s">
        <v>198</v>
      </c>
      <c r="P38" s="644">
        <v>5603</v>
      </c>
    </row>
    <row r="39" spans="1:16" x14ac:dyDescent="0.2">
      <c r="A39" s="643" t="s">
        <v>199</v>
      </c>
      <c r="B39" s="644">
        <v>5020</v>
      </c>
      <c r="C39" s="645"/>
      <c r="D39" s="645"/>
      <c r="E39" s="645">
        <v>11558</v>
      </c>
      <c r="F39" s="645"/>
      <c r="G39" s="645"/>
      <c r="H39" s="164">
        <f t="shared" si="4"/>
        <v>0</v>
      </c>
      <c r="I39" s="645"/>
      <c r="J39" s="645"/>
      <c r="L39" s="646" t="str">
        <f t="shared" si="3"/>
        <v>Auto expense &amp; travel</v>
      </c>
      <c r="M39" s="646"/>
      <c r="O39" s="643" t="s">
        <v>199</v>
      </c>
      <c r="P39" s="644">
        <v>5020</v>
      </c>
    </row>
    <row r="40" spans="1:16" x14ac:dyDescent="0.2">
      <c r="A40" s="643" t="s">
        <v>448</v>
      </c>
      <c r="B40" s="644">
        <v>5104</v>
      </c>
      <c r="C40" s="645"/>
      <c r="D40" s="645"/>
      <c r="E40" s="645">
        <v>58699</v>
      </c>
      <c r="F40" s="645"/>
      <c r="G40" s="645"/>
      <c r="H40" s="164">
        <f t="shared" si="4"/>
        <v>0</v>
      </c>
      <c r="I40" s="645"/>
      <c r="J40" s="645">
        <f>250*NoOfSpaces</f>
        <v>60500</v>
      </c>
      <c r="L40" s="646" t="str">
        <f t="shared" si="3"/>
        <v>Repairs &amp; Maintenance / Capex Reserve</v>
      </c>
      <c r="M40" s="646"/>
      <c r="O40" s="643" t="s">
        <v>448</v>
      </c>
      <c r="P40" s="644">
        <v>5104</v>
      </c>
    </row>
    <row r="41" spans="1:16" x14ac:dyDescent="0.2">
      <c r="A41" s="643" t="s">
        <v>200</v>
      </c>
      <c r="B41" s="644">
        <v>5109</v>
      </c>
      <c r="C41" s="645"/>
      <c r="D41" s="645"/>
      <c r="E41" s="645">
        <v>15349</v>
      </c>
      <c r="F41" s="645"/>
      <c r="G41" s="645"/>
      <c r="H41" s="164">
        <f t="shared" si="4"/>
        <v>0</v>
      </c>
      <c r="I41" s="645"/>
      <c r="J41" s="645">
        <f>50*NoOfSpaces</f>
        <v>12100</v>
      </c>
      <c r="L41" s="646" t="str">
        <f t="shared" si="3"/>
        <v>Outside Services -plumbing, electrical, etc</v>
      </c>
      <c r="M41" s="646"/>
      <c r="O41" s="643" t="s">
        <v>200</v>
      </c>
      <c r="P41" s="644">
        <v>5109</v>
      </c>
    </row>
    <row r="42" spans="1:16" x14ac:dyDescent="0.2">
      <c r="A42" s="643" t="s">
        <v>201</v>
      </c>
      <c r="B42" s="644">
        <v>5200</v>
      </c>
      <c r="C42" s="645"/>
      <c r="D42" s="645"/>
      <c r="E42" s="645">
        <v>36977</v>
      </c>
      <c r="F42" s="645"/>
      <c r="G42" s="645"/>
      <c r="H42" s="164">
        <f t="shared" si="4"/>
        <v>0</v>
      </c>
      <c r="I42" s="645"/>
      <c r="J42" s="645">
        <f>50*NoOfSpaces</f>
        <v>12100</v>
      </c>
      <c r="L42" s="646" t="str">
        <f t="shared" si="3"/>
        <v>Landscape, pool, &amp; sweeping maintenance &amp; supplies</v>
      </c>
      <c r="M42" s="646"/>
      <c r="O42" s="643" t="s">
        <v>201</v>
      </c>
      <c r="P42" s="644">
        <v>5200</v>
      </c>
    </row>
    <row r="43" spans="1:16" x14ac:dyDescent="0.2">
      <c r="A43" s="643" t="s">
        <v>449</v>
      </c>
      <c r="B43" s="644">
        <v>5301</v>
      </c>
      <c r="C43" s="645"/>
      <c r="D43" s="645"/>
      <c r="E43" s="645">
        <v>160319</v>
      </c>
      <c r="F43" s="645"/>
      <c r="G43" s="645"/>
      <c r="H43" s="164">
        <f t="shared" si="4"/>
        <v>0</v>
      </c>
      <c r="I43" s="645"/>
      <c r="J43" s="645">
        <f>0.011*Purchase_Price</f>
        <v>97900</v>
      </c>
      <c r="L43" s="646" t="str">
        <f t="shared" si="3"/>
        <v xml:space="preserve">Property Taxes </v>
      </c>
      <c r="M43" s="646"/>
      <c r="O43" s="643" t="s">
        <v>449</v>
      </c>
      <c r="P43" s="644">
        <v>5301</v>
      </c>
    </row>
    <row r="44" spans="1:16" x14ac:dyDescent="0.2">
      <c r="A44" s="643" t="s">
        <v>203</v>
      </c>
      <c r="B44" s="644">
        <v>5053</v>
      </c>
      <c r="C44" s="645"/>
      <c r="D44" s="645"/>
      <c r="E44" s="645">
        <v>28392</v>
      </c>
      <c r="F44" s="645"/>
      <c r="G44" s="645"/>
      <c r="H44" s="164">
        <f t="shared" si="4"/>
        <v>0</v>
      </c>
      <c r="I44" s="645"/>
      <c r="J44" s="645">
        <f>Proforma!J9*NoOfSpaces</f>
        <v>16940</v>
      </c>
      <c r="L44" s="646" t="str">
        <f t="shared" si="3"/>
        <v xml:space="preserve">Insurance </v>
      </c>
      <c r="M44" s="646"/>
      <c r="O44" s="643" t="s">
        <v>203</v>
      </c>
      <c r="P44" s="644">
        <v>5053</v>
      </c>
    </row>
    <row r="45" spans="1:16" x14ac:dyDescent="0.2">
      <c r="A45" s="643" t="s">
        <v>450</v>
      </c>
      <c r="B45" s="644">
        <v>5604</v>
      </c>
      <c r="C45" s="645"/>
      <c r="D45" s="645"/>
      <c r="E45" s="645">
        <v>0</v>
      </c>
      <c r="F45" s="645"/>
      <c r="G45" s="645"/>
      <c r="H45" s="164">
        <f t="shared" si="4"/>
        <v>0</v>
      </c>
      <c r="I45" s="645"/>
      <c r="J45" s="645"/>
      <c r="L45" s="646" t="str">
        <f t="shared" si="3"/>
        <v>Billing Software</v>
      </c>
      <c r="M45" s="646"/>
      <c r="O45" s="643" t="s">
        <v>450</v>
      </c>
      <c r="P45" s="644">
        <v>5604</v>
      </c>
    </row>
    <row r="46" spans="1:16" x14ac:dyDescent="0.2">
      <c r="A46" s="643" t="s">
        <v>205</v>
      </c>
      <c r="B46" s="644">
        <v>5062</v>
      </c>
      <c r="C46" s="645"/>
      <c r="D46" s="645"/>
      <c r="E46" s="645">
        <v>10985</v>
      </c>
      <c r="F46" s="645"/>
      <c r="G46" s="645"/>
      <c r="H46" s="164">
        <f t="shared" si="4"/>
        <v>0</v>
      </c>
      <c r="I46" s="645"/>
      <c r="J46" s="645"/>
      <c r="L46" s="646" t="str">
        <f t="shared" si="3"/>
        <v>Legal Expenses</v>
      </c>
      <c r="M46" s="646"/>
      <c r="O46" s="643" t="s">
        <v>205</v>
      </c>
      <c r="P46" s="644">
        <v>5062</v>
      </c>
    </row>
    <row r="47" spans="1:16" x14ac:dyDescent="0.2">
      <c r="A47" s="643" t="s">
        <v>206</v>
      </c>
      <c r="B47" s="644">
        <v>5302</v>
      </c>
      <c r="C47" s="645"/>
      <c r="D47" s="645"/>
      <c r="E47" s="645">
        <v>0</v>
      </c>
      <c r="F47" s="645"/>
      <c r="G47" s="645"/>
      <c r="H47" s="164">
        <f t="shared" si="4"/>
        <v>0</v>
      </c>
      <c r="I47" s="645"/>
      <c r="J47" s="645"/>
      <c r="L47" s="646" t="str">
        <f t="shared" si="3"/>
        <v>LLC/LP Tax</v>
      </c>
      <c r="M47" s="646"/>
      <c r="O47" s="643" t="s">
        <v>206</v>
      </c>
      <c r="P47" s="644">
        <v>5302</v>
      </c>
    </row>
    <row r="48" spans="1:16" x14ac:dyDescent="0.2">
      <c r="A48" s="643" t="s">
        <v>207</v>
      </c>
      <c r="B48" s="644">
        <v>5001</v>
      </c>
      <c r="C48" s="645"/>
      <c r="D48" s="645"/>
      <c r="E48" s="645">
        <v>1826</v>
      </c>
      <c r="F48" s="645"/>
      <c r="G48" s="645"/>
      <c r="H48" s="164">
        <f t="shared" si="4"/>
        <v>0</v>
      </c>
      <c r="I48" s="645"/>
      <c r="J48" s="645"/>
      <c r="L48" s="646" t="str">
        <f t="shared" si="3"/>
        <v>Advertising</v>
      </c>
      <c r="M48" s="646"/>
      <c r="O48" s="643" t="s">
        <v>207</v>
      </c>
      <c r="P48" s="644">
        <v>5001</v>
      </c>
    </row>
    <row r="49" spans="1:16" x14ac:dyDescent="0.2">
      <c r="A49" s="643" t="s">
        <v>208</v>
      </c>
      <c r="B49" s="644">
        <v>5061</v>
      </c>
      <c r="C49" s="645"/>
      <c r="D49" s="645"/>
      <c r="E49" s="645">
        <v>0</v>
      </c>
      <c r="F49" s="645"/>
      <c r="G49" s="645"/>
      <c r="H49" s="164">
        <f t="shared" si="4"/>
        <v>0</v>
      </c>
      <c r="I49" s="645"/>
      <c r="J49" s="645"/>
      <c r="L49" s="646" t="str">
        <f t="shared" si="3"/>
        <v>Tax Return Preparation/accounting</v>
      </c>
      <c r="M49" s="646"/>
      <c r="O49" s="643" t="s">
        <v>208</v>
      </c>
      <c r="P49" s="644">
        <v>5061</v>
      </c>
    </row>
    <row r="50" spans="1:16" x14ac:dyDescent="0.2">
      <c r="A50" s="643" t="s">
        <v>209</v>
      </c>
      <c r="B50" s="644">
        <v>5304</v>
      </c>
      <c r="C50" s="645"/>
      <c r="D50" s="645"/>
      <c r="E50" s="645">
        <v>0</v>
      </c>
      <c r="F50" s="645"/>
      <c r="G50" s="645"/>
      <c r="H50" s="164">
        <f t="shared" si="4"/>
        <v>0</v>
      </c>
      <c r="I50" s="645"/>
      <c r="J50" s="645">
        <v>500</v>
      </c>
      <c r="L50" s="646" t="str">
        <f t="shared" si="3"/>
        <v>Licenses and Permits</v>
      </c>
      <c r="M50" s="646"/>
      <c r="O50" s="643" t="s">
        <v>209</v>
      </c>
      <c r="P50" s="644">
        <v>5304</v>
      </c>
    </row>
    <row r="51" spans="1:16" x14ac:dyDescent="0.2">
      <c r="A51" s="643" t="s">
        <v>210</v>
      </c>
      <c r="B51" s="644">
        <v>5064</v>
      </c>
      <c r="C51" s="645"/>
      <c r="D51" s="645"/>
      <c r="E51" s="645">
        <v>1468</v>
      </c>
      <c r="F51" s="645"/>
      <c r="G51" s="645"/>
      <c r="H51" s="164">
        <f t="shared" si="4"/>
        <v>0</v>
      </c>
      <c r="I51" s="645"/>
      <c r="J51" s="645">
        <v>250</v>
      </c>
      <c r="L51" s="646" t="str">
        <f t="shared" si="3"/>
        <v>Banking and Merchant fees (est)</v>
      </c>
      <c r="M51" s="646"/>
      <c r="O51" s="643" t="s">
        <v>210</v>
      </c>
      <c r="P51" s="644">
        <v>5064</v>
      </c>
    </row>
    <row r="52" spans="1:16" x14ac:dyDescent="0.2">
      <c r="A52" s="643" t="s">
        <v>211</v>
      </c>
      <c r="B52" s="644">
        <v>5601</v>
      </c>
      <c r="C52" s="645"/>
      <c r="D52" s="645"/>
      <c r="E52" s="645">
        <v>26627</v>
      </c>
      <c r="F52" s="645"/>
      <c r="G52" s="645"/>
      <c r="H52" s="164">
        <f t="shared" si="4"/>
        <v>0</v>
      </c>
      <c r="I52" s="645"/>
      <c r="J52" s="645">
        <f>20*NoOfSpaces</f>
        <v>4840</v>
      </c>
      <c r="L52" s="646" t="str">
        <f t="shared" si="3"/>
        <v>Office Supplies, Postage, Pager, Printing, dues, subscr, Misc.</v>
      </c>
      <c r="M52" s="646"/>
      <c r="O52" s="643" t="s">
        <v>211</v>
      </c>
      <c r="P52" s="644">
        <v>5601</v>
      </c>
    </row>
    <row r="53" spans="1:16" x14ac:dyDescent="0.2">
      <c r="A53" s="643" t="s">
        <v>451</v>
      </c>
      <c r="B53" s="644">
        <v>5000</v>
      </c>
      <c r="C53" s="645"/>
      <c r="D53" s="645"/>
      <c r="E53" s="645">
        <v>125283</v>
      </c>
      <c r="F53" s="645"/>
      <c r="G53" s="645"/>
      <c r="H53" s="164">
        <f t="shared" si="4"/>
        <v>0</v>
      </c>
      <c r="I53" s="645"/>
      <c r="J53" s="645">
        <f>0.05*Proforma!F53*12</f>
        <v>42120</v>
      </c>
      <c r="L53" s="646" t="str">
        <f t="shared" si="3"/>
        <v>Professional Mgmt ($2,000/mo or 5%)</v>
      </c>
      <c r="M53" s="646"/>
      <c r="O53" s="643" t="s">
        <v>451</v>
      </c>
      <c r="P53" s="644">
        <v>5000</v>
      </c>
    </row>
    <row r="54" spans="1:16" x14ac:dyDescent="0.2">
      <c r="A54" s="643"/>
      <c r="B54" s="644"/>
      <c r="C54" s="645"/>
      <c r="D54" s="645"/>
      <c r="E54" s="645"/>
      <c r="F54" s="645"/>
      <c r="G54" s="645"/>
      <c r="H54" s="164">
        <f t="shared" si="4"/>
        <v>0</v>
      </c>
      <c r="I54" s="645"/>
      <c r="J54" s="645"/>
      <c r="L54" s="646" t="e">
        <f t="shared" si="3"/>
        <v>#N/A</v>
      </c>
      <c r="M54" s="646"/>
    </row>
    <row r="55" spans="1:16" x14ac:dyDescent="0.2">
      <c r="A55" s="691"/>
      <c r="B55" s="644"/>
      <c r="C55" s="645"/>
      <c r="D55" s="645"/>
      <c r="E55" s="645"/>
      <c r="F55" s="645"/>
      <c r="G55" s="645"/>
      <c r="H55" s="164">
        <f t="shared" si="4"/>
        <v>0</v>
      </c>
      <c r="I55" s="645"/>
      <c r="J55" s="645"/>
      <c r="L55" s="646" t="e">
        <f t="shared" si="3"/>
        <v>#N/A</v>
      </c>
      <c r="M55" s="646"/>
      <c r="O55" s="165" t="s">
        <v>446</v>
      </c>
      <c r="P55" s="166">
        <v>5701</v>
      </c>
    </row>
    <row r="56" spans="1:16" x14ac:dyDescent="0.2">
      <c r="A56" s="691"/>
      <c r="B56" s="644"/>
      <c r="C56" s="645"/>
      <c r="D56" s="645"/>
      <c r="E56" s="645"/>
      <c r="F56" s="645"/>
      <c r="G56" s="645"/>
      <c r="H56" s="164">
        <f t="shared" si="4"/>
        <v>0</v>
      </c>
      <c r="I56" s="645"/>
      <c r="J56" s="645"/>
      <c r="L56" s="646" t="e">
        <f t="shared" si="3"/>
        <v>#N/A</v>
      </c>
      <c r="M56" s="646"/>
      <c r="O56" s="643" t="s">
        <v>193</v>
      </c>
      <c r="P56" s="644">
        <v>5305</v>
      </c>
    </row>
    <row r="57" spans="1:16" x14ac:dyDescent="0.2">
      <c r="A57" s="691"/>
      <c r="B57" s="644"/>
      <c r="C57" s="645"/>
      <c r="D57" s="645"/>
      <c r="E57" s="645"/>
      <c r="F57" s="645"/>
      <c r="G57" s="645"/>
      <c r="H57" s="164">
        <f t="shared" si="4"/>
        <v>0</v>
      </c>
      <c r="I57" s="645"/>
      <c r="J57" s="645"/>
      <c r="L57" s="646" t="e">
        <f t="shared" si="3"/>
        <v>#N/A</v>
      </c>
      <c r="M57" s="646"/>
      <c r="O57" s="643" t="s">
        <v>194</v>
      </c>
      <c r="P57" s="644">
        <v>5306</v>
      </c>
    </row>
    <row r="58" spans="1:16" x14ac:dyDescent="0.2">
      <c r="A58" s="691"/>
      <c r="B58" s="644"/>
      <c r="C58" s="645"/>
      <c r="D58" s="645"/>
      <c r="E58" s="645"/>
      <c r="F58" s="645"/>
      <c r="G58" s="645"/>
      <c r="H58" s="164">
        <f t="shared" si="4"/>
        <v>0</v>
      </c>
      <c r="I58" s="645"/>
      <c r="J58" s="645"/>
      <c r="L58" s="646" t="e">
        <f t="shared" si="3"/>
        <v>#N/A</v>
      </c>
      <c r="M58" s="646"/>
      <c r="O58" s="643" t="s">
        <v>176</v>
      </c>
      <c r="P58" s="644">
        <v>5404</v>
      </c>
    </row>
    <row r="59" spans="1:16" x14ac:dyDescent="0.2">
      <c r="A59" s="691"/>
      <c r="B59" s="644"/>
      <c r="C59" s="645"/>
      <c r="D59" s="645"/>
      <c r="E59" s="645"/>
      <c r="F59" s="645"/>
      <c r="G59" s="645"/>
      <c r="H59" s="164">
        <f t="shared" si="4"/>
        <v>0</v>
      </c>
      <c r="I59" s="645"/>
      <c r="J59" s="645"/>
      <c r="L59" s="646" t="e">
        <f t="shared" si="3"/>
        <v>#N/A</v>
      </c>
      <c r="M59" s="646"/>
      <c r="O59" s="643" t="s">
        <v>195</v>
      </c>
      <c r="P59" s="644">
        <v>5401</v>
      </c>
    </row>
    <row r="60" spans="1:16" x14ac:dyDescent="0.2">
      <c r="A60" s="691"/>
      <c r="B60" s="644"/>
      <c r="C60" s="645"/>
      <c r="D60" s="645"/>
      <c r="E60" s="645"/>
      <c r="F60" s="645"/>
      <c r="G60" s="645"/>
      <c r="H60" s="164">
        <f t="shared" si="4"/>
        <v>0</v>
      </c>
      <c r="I60" s="645"/>
      <c r="J60" s="645"/>
      <c r="L60" s="646" t="e">
        <f t="shared" si="3"/>
        <v>#N/A</v>
      </c>
      <c r="M60" s="646"/>
      <c r="O60" s="643" t="s">
        <v>178</v>
      </c>
      <c r="P60" s="644">
        <v>5405</v>
      </c>
    </row>
    <row r="61" spans="1:16" x14ac:dyDescent="0.2">
      <c r="A61" s="691"/>
      <c r="B61" s="644"/>
      <c r="C61" s="645"/>
      <c r="D61" s="645"/>
      <c r="E61" s="645"/>
      <c r="F61" s="645"/>
      <c r="G61" s="645"/>
      <c r="H61" s="164">
        <f t="shared" si="4"/>
        <v>0</v>
      </c>
      <c r="I61" s="645"/>
      <c r="J61" s="645"/>
      <c r="L61" s="646" t="e">
        <f t="shared" si="3"/>
        <v>#N/A</v>
      </c>
      <c r="M61" s="646"/>
      <c r="O61" s="643" t="s">
        <v>196</v>
      </c>
      <c r="P61" s="644">
        <v>5403</v>
      </c>
    </row>
    <row r="62" spans="1:16" x14ac:dyDescent="0.2">
      <c r="A62" s="691"/>
      <c r="B62" s="644"/>
      <c r="C62" s="645"/>
      <c r="D62" s="645"/>
      <c r="E62" s="645"/>
      <c r="F62" s="645"/>
      <c r="G62" s="645"/>
      <c r="H62" s="164">
        <f t="shared" si="4"/>
        <v>0</v>
      </c>
      <c r="I62" s="645"/>
      <c r="J62" s="645"/>
      <c r="L62" s="646" t="e">
        <f t="shared" si="3"/>
        <v>#N/A</v>
      </c>
      <c r="M62" s="646"/>
      <c r="O62" s="643" t="s">
        <v>197</v>
      </c>
      <c r="P62" s="644">
        <v>5402</v>
      </c>
    </row>
    <row r="63" spans="1:16" x14ac:dyDescent="0.2">
      <c r="A63" s="691"/>
      <c r="B63" s="644"/>
      <c r="C63" s="645"/>
      <c r="D63" s="645"/>
      <c r="E63" s="645"/>
      <c r="F63" s="645"/>
      <c r="G63" s="645"/>
      <c r="H63" s="164">
        <f t="shared" si="4"/>
        <v>0</v>
      </c>
      <c r="I63" s="645"/>
      <c r="J63" s="645"/>
      <c r="L63" s="646" t="e">
        <f t="shared" si="3"/>
        <v>#N/A</v>
      </c>
      <c r="M63" s="646"/>
      <c r="O63" s="643" t="s">
        <v>198</v>
      </c>
      <c r="P63" s="644">
        <v>5603</v>
      </c>
    </row>
    <row r="64" spans="1:16" x14ac:dyDescent="0.2">
      <c r="A64" s="691"/>
      <c r="B64" s="644"/>
      <c r="C64" s="645"/>
      <c r="D64" s="645"/>
      <c r="E64" s="645"/>
      <c r="F64" s="645"/>
      <c r="G64" s="645"/>
      <c r="H64" s="164">
        <f t="shared" si="4"/>
        <v>0</v>
      </c>
      <c r="I64" s="645"/>
      <c r="J64" s="645"/>
      <c r="L64" s="646" t="e">
        <f t="shared" si="3"/>
        <v>#N/A</v>
      </c>
      <c r="M64" s="646"/>
      <c r="O64" s="643" t="s">
        <v>199</v>
      </c>
      <c r="P64" s="644">
        <v>5020</v>
      </c>
    </row>
    <row r="65" spans="1:16" x14ac:dyDescent="0.2">
      <c r="A65" s="691"/>
      <c r="B65" s="644"/>
      <c r="C65" s="645"/>
      <c r="D65" s="645"/>
      <c r="E65" s="645"/>
      <c r="F65" s="645"/>
      <c r="G65" s="645"/>
      <c r="H65" s="164">
        <f t="shared" si="4"/>
        <v>0</v>
      </c>
      <c r="I65" s="645"/>
      <c r="J65" s="645"/>
      <c r="L65" s="646" t="e">
        <f t="shared" si="3"/>
        <v>#N/A</v>
      </c>
      <c r="M65" s="646"/>
      <c r="O65" s="643" t="s">
        <v>448</v>
      </c>
      <c r="P65" s="644">
        <v>5104</v>
      </c>
    </row>
    <row r="66" spans="1:16" x14ac:dyDescent="0.2">
      <c r="A66" s="691"/>
      <c r="B66" s="644"/>
      <c r="C66" s="645"/>
      <c r="D66" s="645"/>
      <c r="E66" s="645"/>
      <c r="F66" s="645"/>
      <c r="G66" s="645"/>
      <c r="H66" s="164">
        <f t="shared" si="4"/>
        <v>0</v>
      </c>
      <c r="I66" s="645"/>
      <c r="J66" s="645"/>
      <c r="L66" s="646" t="e">
        <f t="shared" si="3"/>
        <v>#N/A</v>
      </c>
      <c r="M66" s="646"/>
      <c r="O66" s="643" t="s">
        <v>200</v>
      </c>
      <c r="P66" s="644">
        <v>5109</v>
      </c>
    </row>
    <row r="67" spans="1:16" x14ac:dyDescent="0.2">
      <c r="A67" s="691"/>
      <c r="B67" s="644"/>
      <c r="C67" s="645"/>
      <c r="D67" s="645"/>
      <c r="E67" s="645"/>
      <c r="F67" s="645"/>
      <c r="G67" s="645"/>
      <c r="H67" s="164">
        <f t="shared" si="4"/>
        <v>0</v>
      </c>
      <c r="I67" s="645"/>
      <c r="J67" s="645"/>
      <c r="L67" s="646" t="e">
        <f t="shared" si="3"/>
        <v>#N/A</v>
      </c>
      <c r="M67" s="646"/>
      <c r="O67" s="643" t="s">
        <v>201</v>
      </c>
      <c r="P67" s="644">
        <v>5200</v>
      </c>
    </row>
    <row r="68" spans="1:16" x14ac:dyDescent="0.2">
      <c r="A68" s="691"/>
      <c r="B68" s="644"/>
      <c r="C68" s="645"/>
      <c r="D68" s="645"/>
      <c r="E68" s="645"/>
      <c r="F68" s="645"/>
      <c r="G68" s="645"/>
      <c r="H68" s="164">
        <f t="shared" si="4"/>
        <v>0</v>
      </c>
      <c r="I68" s="645"/>
      <c r="J68" s="645"/>
      <c r="L68" s="646" t="e">
        <f t="shared" si="3"/>
        <v>#N/A</v>
      </c>
      <c r="M68" s="646"/>
      <c r="O68" s="643" t="s">
        <v>449</v>
      </c>
      <c r="P68" s="644">
        <v>5301</v>
      </c>
    </row>
    <row r="69" spans="1:16" x14ac:dyDescent="0.2">
      <c r="A69" s="691"/>
      <c r="B69" s="644"/>
      <c r="C69" s="645"/>
      <c r="D69" s="645"/>
      <c r="E69" s="645"/>
      <c r="F69" s="645"/>
      <c r="G69" s="645"/>
      <c r="H69" s="164">
        <f t="shared" si="4"/>
        <v>0</v>
      </c>
      <c r="I69" s="645"/>
      <c r="J69" s="645"/>
      <c r="L69" s="646" t="e">
        <f t="shared" si="3"/>
        <v>#N/A</v>
      </c>
      <c r="M69" s="646"/>
      <c r="O69" s="643" t="s">
        <v>203</v>
      </c>
      <c r="P69" s="644">
        <v>5053</v>
      </c>
    </row>
    <row r="70" spans="1:16" x14ac:dyDescent="0.2">
      <c r="A70" s="691"/>
      <c r="B70" s="644"/>
      <c r="C70" s="645"/>
      <c r="D70" s="645"/>
      <c r="E70" s="645"/>
      <c r="F70" s="645"/>
      <c r="G70" s="645"/>
      <c r="H70" s="164">
        <f t="shared" si="4"/>
        <v>0</v>
      </c>
      <c r="I70" s="645"/>
      <c r="J70" s="645"/>
      <c r="L70" s="646" t="e">
        <f t="shared" si="3"/>
        <v>#N/A</v>
      </c>
      <c r="M70" s="646"/>
      <c r="O70" s="643" t="s">
        <v>450</v>
      </c>
      <c r="P70" s="644">
        <v>5604</v>
      </c>
    </row>
    <row r="71" spans="1:16" x14ac:dyDescent="0.2">
      <c r="A71" s="691"/>
      <c r="B71" s="644"/>
      <c r="C71" s="645"/>
      <c r="D71" s="645"/>
      <c r="E71" s="645"/>
      <c r="F71" s="645"/>
      <c r="G71" s="645"/>
      <c r="H71" s="164">
        <f t="shared" si="4"/>
        <v>0</v>
      </c>
      <c r="I71" s="645"/>
      <c r="J71" s="645"/>
      <c r="L71" s="646" t="e">
        <f t="shared" si="3"/>
        <v>#N/A</v>
      </c>
      <c r="M71" s="646"/>
      <c r="O71" s="643" t="s">
        <v>205</v>
      </c>
      <c r="P71" s="644">
        <v>5062</v>
      </c>
    </row>
    <row r="72" spans="1:16" x14ac:dyDescent="0.2">
      <c r="A72" s="691"/>
      <c r="B72" s="644"/>
      <c r="C72" s="645"/>
      <c r="D72" s="645"/>
      <c r="E72" s="645"/>
      <c r="F72" s="645"/>
      <c r="G72" s="645"/>
      <c r="H72" s="164">
        <f t="shared" si="4"/>
        <v>0</v>
      </c>
      <c r="I72" s="645"/>
      <c r="J72" s="645"/>
      <c r="L72" s="646" t="e">
        <f t="shared" si="3"/>
        <v>#N/A</v>
      </c>
      <c r="M72" s="646"/>
      <c r="O72" s="643" t="s">
        <v>206</v>
      </c>
      <c r="P72" s="644">
        <v>5302</v>
      </c>
    </row>
    <row r="73" spans="1:16" x14ac:dyDescent="0.2">
      <c r="A73" s="691"/>
      <c r="B73" s="644"/>
      <c r="C73" s="645"/>
      <c r="D73" s="645"/>
      <c r="E73" s="645"/>
      <c r="F73" s="645"/>
      <c r="G73" s="645"/>
      <c r="H73" s="164">
        <f t="shared" si="4"/>
        <v>0</v>
      </c>
      <c r="I73" s="645"/>
      <c r="J73" s="645"/>
      <c r="L73" s="646" t="e">
        <f t="shared" si="3"/>
        <v>#N/A</v>
      </c>
      <c r="M73" s="646"/>
      <c r="O73" s="643" t="s">
        <v>207</v>
      </c>
      <c r="P73" s="644">
        <v>5001</v>
      </c>
    </row>
    <row r="74" spans="1:16" x14ac:dyDescent="0.2">
      <c r="A74" s="691"/>
      <c r="B74" s="644"/>
      <c r="C74" s="645"/>
      <c r="D74" s="645"/>
      <c r="E74" s="645"/>
      <c r="F74" s="645"/>
      <c r="G74" s="645"/>
      <c r="H74" s="164">
        <f t="shared" si="4"/>
        <v>0</v>
      </c>
      <c r="I74" s="645"/>
      <c r="J74" s="645"/>
      <c r="L74" s="646" t="e">
        <f t="shared" si="3"/>
        <v>#N/A</v>
      </c>
      <c r="M74" s="646"/>
      <c r="O74" s="643" t="s">
        <v>208</v>
      </c>
      <c r="P74" s="644">
        <v>5061</v>
      </c>
    </row>
    <row r="75" spans="1:16" x14ac:dyDescent="0.2">
      <c r="A75" s="691"/>
      <c r="B75" s="644"/>
      <c r="C75" s="645"/>
      <c r="D75" s="645"/>
      <c r="E75" s="645"/>
      <c r="F75" s="645"/>
      <c r="G75" s="645"/>
      <c r="H75" s="164">
        <f t="shared" si="4"/>
        <v>0</v>
      </c>
      <c r="I75" s="645"/>
      <c r="J75" s="645"/>
      <c r="L75" s="646" t="e">
        <f t="shared" si="3"/>
        <v>#N/A</v>
      </c>
      <c r="M75" s="646"/>
      <c r="O75" s="643" t="s">
        <v>209</v>
      </c>
      <c r="P75" s="644">
        <v>5304</v>
      </c>
    </row>
    <row r="76" spans="1:16" x14ac:dyDescent="0.2">
      <c r="A76" s="691"/>
      <c r="B76" s="644"/>
      <c r="C76" s="645"/>
      <c r="D76" s="645"/>
      <c r="E76" s="645"/>
      <c r="F76" s="645"/>
      <c r="G76" s="645"/>
      <c r="H76" s="164">
        <f t="shared" si="4"/>
        <v>0</v>
      </c>
      <c r="I76" s="645"/>
      <c r="J76" s="645"/>
      <c r="L76" s="646" t="e">
        <f t="shared" si="3"/>
        <v>#N/A</v>
      </c>
      <c r="M76" s="646"/>
      <c r="O76" s="643" t="s">
        <v>210</v>
      </c>
      <c r="P76" s="644">
        <v>5064</v>
      </c>
    </row>
    <row r="77" spans="1:16" x14ac:dyDescent="0.2">
      <c r="A77" s="691"/>
      <c r="B77" s="644"/>
      <c r="C77" s="645"/>
      <c r="D77" s="645"/>
      <c r="E77" s="645"/>
      <c r="F77" s="645"/>
      <c r="G77" s="645"/>
      <c r="H77" s="164">
        <f t="shared" si="4"/>
        <v>0</v>
      </c>
      <c r="I77" s="645"/>
      <c r="J77" s="645"/>
      <c r="L77" s="646" t="e">
        <f t="shared" si="3"/>
        <v>#N/A</v>
      </c>
      <c r="M77" s="646"/>
      <c r="O77" s="643" t="s">
        <v>211</v>
      </c>
      <c r="P77" s="644">
        <v>5601</v>
      </c>
    </row>
    <row r="78" spans="1:16" x14ac:dyDescent="0.2">
      <c r="A78" s="691"/>
      <c r="B78" s="644"/>
      <c r="C78" s="645"/>
      <c r="D78" s="645"/>
      <c r="E78" s="645"/>
      <c r="F78" s="645"/>
      <c r="G78" s="645"/>
      <c r="H78" s="164">
        <f t="shared" si="4"/>
        <v>0</v>
      </c>
      <c r="I78" s="645"/>
      <c r="J78" s="645"/>
      <c r="L78" s="646" t="e">
        <f t="shared" si="3"/>
        <v>#N/A</v>
      </c>
      <c r="M78" s="646"/>
      <c r="O78" s="643" t="s">
        <v>451</v>
      </c>
      <c r="P78" s="644">
        <v>5000</v>
      </c>
    </row>
    <row r="79" spans="1:16" x14ac:dyDescent="0.2">
      <c r="A79" s="691"/>
      <c r="B79" s="644"/>
      <c r="C79" s="645"/>
      <c r="D79" s="645"/>
      <c r="E79" s="645"/>
      <c r="F79" s="645"/>
      <c r="G79" s="645"/>
      <c r="H79" s="164">
        <f t="shared" si="4"/>
        <v>0</v>
      </c>
      <c r="I79" s="645"/>
      <c r="J79" s="645"/>
      <c r="L79" s="646" t="e">
        <f t="shared" si="3"/>
        <v>#N/A</v>
      </c>
      <c r="M79" s="646"/>
    </row>
    <row r="80" spans="1:16" x14ac:dyDescent="0.2">
      <c r="A80" s="691"/>
      <c r="B80" s="644"/>
      <c r="C80" s="645"/>
      <c r="D80" s="645"/>
      <c r="E80" s="645"/>
      <c r="F80" s="645"/>
      <c r="G80" s="645"/>
      <c r="H80" s="164">
        <f t="shared" si="4"/>
        <v>0</v>
      </c>
      <c r="I80" s="645"/>
      <c r="J80" s="645"/>
      <c r="L80" s="646" t="e">
        <f t="shared" si="3"/>
        <v>#N/A</v>
      </c>
      <c r="M80" s="646"/>
      <c r="O80" s="165" t="s">
        <v>446</v>
      </c>
      <c r="P80" s="166">
        <v>5701</v>
      </c>
    </row>
    <row r="81" spans="1:16" x14ac:dyDescent="0.2">
      <c r="A81" s="691"/>
      <c r="B81" s="644"/>
      <c r="C81" s="645"/>
      <c r="D81" s="645"/>
      <c r="E81" s="645"/>
      <c r="F81" s="645"/>
      <c r="G81" s="645"/>
      <c r="H81" s="164">
        <f t="shared" si="4"/>
        <v>0</v>
      </c>
      <c r="I81" s="645"/>
      <c r="J81" s="645"/>
      <c r="L81" s="646" t="e">
        <f t="shared" si="3"/>
        <v>#N/A</v>
      </c>
      <c r="M81" s="646"/>
      <c r="O81" s="643" t="s">
        <v>193</v>
      </c>
      <c r="P81" s="644">
        <v>5305</v>
      </c>
    </row>
    <row r="82" spans="1:16" x14ac:dyDescent="0.2">
      <c r="A82" s="643"/>
      <c r="B82" s="644"/>
      <c r="C82" s="645"/>
      <c r="D82" s="645"/>
      <c r="E82" s="645"/>
      <c r="F82" s="645"/>
      <c r="G82" s="645"/>
      <c r="H82" s="164">
        <f t="shared" si="4"/>
        <v>0</v>
      </c>
      <c r="I82" s="645"/>
      <c r="J82" s="645"/>
      <c r="L82" s="646" t="e">
        <f t="shared" si="3"/>
        <v>#N/A</v>
      </c>
      <c r="M82" s="646"/>
      <c r="O82" s="643" t="s">
        <v>194</v>
      </c>
      <c r="P82" s="644">
        <v>5306</v>
      </c>
    </row>
    <row r="83" spans="1:16" x14ac:dyDescent="0.2">
      <c r="A83" s="643"/>
      <c r="B83" s="644"/>
      <c r="C83" s="645"/>
      <c r="D83" s="645"/>
      <c r="E83" s="645"/>
      <c r="F83" s="645"/>
      <c r="G83" s="645"/>
      <c r="H83" s="164">
        <f t="shared" si="4"/>
        <v>0</v>
      </c>
      <c r="I83" s="645"/>
      <c r="J83" s="645"/>
      <c r="L83" s="646" t="e">
        <f t="shared" si="3"/>
        <v>#N/A</v>
      </c>
      <c r="M83" s="646"/>
      <c r="O83" s="643" t="s">
        <v>176</v>
      </c>
      <c r="P83" s="644">
        <v>5404</v>
      </c>
    </row>
    <row r="84" spans="1:16" x14ac:dyDescent="0.2">
      <c r="A84" s="643"/>
      <c r="B84" s="644"/>
      <c r="C84" s="645"/>
      <c r="D84" s="645"/>
      <c r="E84" s="645"/>
      <c r="F84" s="645"/>
      <c r="G84" s="645"/>
      <c r="H84" s="164">
        <f t="shared" si="4"/>
        <v>0</v>
      </c>
      <c r="I84" s="645"/>
      <c r="J84" s="645"/>
      <c r="L84" s="646" t="e">
        <f t="shared" si="3"/>
        <v>#N/A</v>
      </c>
      <c r="M84" s="646"/>
      <c r="O84" s="643" t="s">
        <v>195</v>
      </c>
      <c r="P84" s="644">
        <v>5401</v>
      </c>
    </row>
    <row r="85" spans="1:16" x14ac:dyDescent="0.2">
      <c r="A85" s="643"/>
      <c r="B85" s="644"/>
      <c r="C85" s="645"/>
      <c r="D85" s="645"/>
      <c r="E85" s="645"/>
      <c r="F85" s="645"/>
      <c r="G85" s="645"/>
      <c r="H85" s="164">
        <f t="shared" si="4"/>
        <v>0</v>
      </c>
      <c r="I85" s="645"/>
      <c r="J85" s="645"/>
      <c r="L85" s="646" t="e">
        <f t="shared" si="3"/>
        <v>#N/A</v>
      </c>
      <c r="M85" s="646"/>
      <c r="O85" s="643" t="s">
        <v>178</v>
      </c>
      <c r="P85" s="644">
        <v>5405</v>
      </c>
    </row>
    <row r="86" spans="1:16" x14ac:dyDescent="0.2">
      <c r="A86" s="643"/>
      <c r="B86" s="644"/>
      <c r="C86" s="645"/>
      <c r="D86" s="645"/>
      <c r="E86" s="645"/>
      <c r="F86" s="645"/>
      <c r="G86" s="645"/>
      <c r="H86" s="164">
        <f t="shared" si="4"/>
        <v>0</v>
      </c>
      <c r="I86" s="645"/>
      <c r="J86" s="645"/>
      <c r="L86" s="646" t="e">
        <f t="shared" si="3"/>
        <v>#N/A</v>
      </c>
      <c r="M86" s="646"/>
      <c r="O86" s="643" t="s">
        <v>196</v>
      </c>
      <c r="P86" s="644">
        <v>5403</v>
      </c>
    </row>
    <row r="87" spans="1:16" x14ac:dyDescent="0.2">
      <c r="A87" s="643"/>
      <c r="B87" s="644"/>
      <c r="C87" s="645"/>
      <c r="D87" s="645"/>
      <c r="E87" s="645"/>
      <c r="F87" s="645"/>
      <c r="G87" s="645"/>
      <c r="H87" s="164">
        <f t="shared" si="4"/>
        <v>0</v>
      </c>
      <c r="I87" s="645"/>
      <c r="J87" s="645"/>
      <c r="L87" s="646" t="e">
        <f t="shared" si="3"/>
        <v>#N/A</v>
      </c>
      <c r="M87" s="646"/>
      <c r="O87" s="643" t="s">
        <v>197</v>
      </c>
      <c r="P87" s="644">
        <v>5402</v>
      </c>
    </row>
    <row r="88" spans="1:16" x14ac:dyDescent="0.2">
      <c r="A88" s="643"/>
      <c r="B88" s="644"/>
      <c r="C88" s="645"/>
      <c r="D88" s="645"/>
      <c r="E88" s="645"/>
      <c r="F88" s="645"/>
      <c r="G88" s="645"/>
      <c r="H88" s="164">
        <f t="shared" si="4"/>
        <v>0</v>
      </c>
      <c r="I88" s="645"/>
      <c r="J88" s="645"/>
      <c r="L88" s="646" t="e">
        <f t="shared" si="3"/>
        <v>#N/A</v>
      </c>
      <c r="M88" s="646"/>
      <c r="O88" s="643" t="s">
        <v>198</v>
      </c>
      <c r="P88" s="644">
        <v>5603</v>
      </c>
    </row>
    <row r="89" spans="1:16" x14ac:dyDescent="0.2">
      <c r="A89" s="643"/>
      <c r="B89" s="644"/>
      <c r="C89" s="645"/>
      <c r="D89" s="645"/>
      <c r="E89" s="645"/>
      <c r="F89" s="645"/>
      <c r="G89" s="645"/>
      <c r="H89" s="164">
        <f t="shared" si="4"/>
        <v>0</v>
      </c>
      <c r="I89" s="645"/>
      <c r="J89" s="645"/>
      <c r="L89" s="646" t="e">
        <f t="shared" si="3"/>
        <v>#N/A</v>
      </c>
      <c r="M89" s="646"/>
      <c r="O89" s="643" t="s">
        <v>199</v>
      </c>
      <c r="P89" s="644">
        <v>5020</v>
      </c>
    </row>
    <row r="90" spans="1:16" x14ac:dyDescent="0.2">
      <c r="A90" s="643"/>
      <c r="B90" s="644"/>
      <c r="C90" s="645"/>
      <c r="D90" s="645"/>
      <c r="E90" s="645"/>
      <c r="F90" s="645"/>
      <c r="G90" s="645"/>
      <c r="H90" s="164">
        <f t="shared" si="4"/>
        <v>0</v>
      </c>
      <c r="I90" s="645"/>
      <c r="J90" s="645"/>
      <c r="L90" s="646" t="e">
        <f t="shared" si="3"/>
        <v>#N/A</v>
      </c>
      <c r="M90" s="646"/>
      <c r="O90" s="643" t="s">
        <v>448</v>
      </c>
      <c r="P90" s="644">
        <v>5104</v>
      </c>
    </row>
    <row r="91" spans="1:16" x14ac:dyDescent="0.2">
      <c r="A91" s="643"/>
      <c r="B91" s="644"/>
      <c r="C91" s="645"/>
      <c r="D91" s="645"/>
      <c r="E91" s="645"/>
      <c r="F91" s="645"/>
      <c r="G91" s="645"/>
      <c r="H91" s="164">
        <f t="shared" si="4"/>
        <v>0</v>
      </c>
      <c r="I91" s="645"/>
      <c r="J91" s="645"/>
      <c r="L91" s="646" t="e">
        <f t="shared" si="3"/>
        <v>#N/A</v>
      </c>
      <c r="M91" s="646"/>
      <c r="O91" s="643" t="s">
        <v>200</v>
      </c>
      <c r="P91" s="644">
        <v>5109</v>
      </c>
    </row>
    <row r="92" spans="1:16" x14ac:dyDescent="0.2">
      <c r="A92" s="643"/>
      <c r="B92" s="644"/>
      <c r="C92" s="645"/>
      <c r="D92" s="645"/>
      <c r="E92" s="645"/>
      <c r="F92" s="645"/>
      <c r="G92" s="645"/>
      <c r="H92" s="164">
        <f t="shared" si="4"/>
        <v>0</v>
      </c>
      <c r="I92" s="645"/>
      <c r="J92" s="645"/>
      <c r="L92" s="646" t="e">
        <f t="shared" si="3"/>
        <v>#N/A</v>
      </c>
      <c r="M92" s="646"/>
      <c r="O92" s="643" t="s">
        <v>201</v>
      </c>
      <c r="P92" s="644">
        <v>5200</v>
      </c>
    </row>
    <row r="93" spans="1:16" x14ac:dyDescent="0.2">
      <c r="A93" s="643"/>
      <c r="B93" s="644"/>
      <c r="C93" s="645"/>
      <c r="D93" s="645"/>
      <c r="E93" s="645"/>
      <c r="F93" s="645"/>
      <c r="G93" s="645"/>
      <c r="H93" s="164">
        <f t="shared" si="4"/>
        <v>0</v>
      </c>
      <c r="I93" s="645"/>
      <c r="J93" s="645"/>
      <c r="L93" s="646" t="e">
        <f t="shared" si="3"/>
        <v>#N/A</v>
      </c>
      <c r="M93" s="646"/>
      <c r="O93" s="643" t="s">
        <v>449</v>
      </c>
      <c r="P93" s="644">
        <v>5301</v>
      </c>
    </row>
    <row r="94" spans="1:16" x14ac:dyDescent="0.2">
      <c r="A94" s="643"/>
      <c r="B94" s="644"/>
      <c r="C94" s="645"/>
      <c r="D94" s="645"/>
      <c r="E94" s="645"/>
      <c r="F94" s="645"/>
      <c r="G94" s="645"/>
      <c r="H94" s="164">
        <f t="shared" si="4"/>
        <v>0</v>
      </c>
      <c r="I94" s="645"/>
      <c r="J94" s="645"/>
      <c r="L94" s="646" t="e">
        <f t="shared" si="3"/>
        <v>#N/A</v>
      </c>
      <c r="M94" s="646"/>
      <c r="O94" s="643" t="s">
        <v>203</v>
      </c>
      <c r="P94" s="644">
        <v>5053</v>
      </c>
    </row>
    <row r="95" spans="1:16" x14ac:dyDescent="0.2">
      <c r="A95" s="643"/>
      <c r="B95" s="644"/>
      <c r="C95" s="645"/>
      <c r="D95" s="645"/>
      <c r="E95" s="645"/>
      <c r="F95" s="645"/>
      <c r="G95" s="645"/>
      <c r="H95" s="164">
        <f t="shared" si="4"/>
        <v>0</v>
      </c>
      <c r="I95" s="645"/>
      <c r="J95" s="645"/>
      <c r="L95" s="646" t="e">
        <f t="shared" si="3"/>
        <v>#N/A</v>
      </c>
      <c r="M95" s="646"/>
      <c r="O95" s="643" t="s">
        <v>450</v>
      </c>
      <c r="P95" s="644">
        <v>5604</v>
      </c>
    </row>
    <row r="96" spans="1:16" x14ac:dyDescent="0.2">
      <c r="A96" s="643"/>
      <c r="B96" s="644"/>
      <c r="C96" s="645"/>
      <c r="D96" s="645"/>
      <c r="E96" s="645"/>
      <c r="F96" s="645"/>
      <c r="G96" s="645"/>
      <c r="H96" s="164">
        <f t="shared" si="4"/>
        <v>0</v>
      </c>
      <c r="I96" s="645"/>
      <c r="J96" s="645"/>
      <c r="L96" s="646" t="e">
        <f t="shared" si="3"/>
        <v>#N/A</v>
      </c>
      <c r="M96" s="646"/>
      <c r="O96" s="643" t="s">
        <v>205</v>
      </c>
      <c r="P96" s="644">
        <v>5062</v>
      </c>
    </row>
    <row r="97" spans="1:16" x14ac:dyDescent="0.2">
      <c r="A97" s="643"/>
      <c r="B97" s="644"/>
      <c r="C97" s="645"/>
      <c r="D97" s="645"/>
      <c r="E97" s="645"/>
      <c r="F97" s="645"/>
      <c r="G97" s="645"/>
      <c r="H97" s="164">
        <f t="shared" si="4"/>
        <v>0</v>
      </c>
      <c r="I97" s="645"/>
      <c r="J97" s="645"/>
      <c r="L97" s="646" t="e">
        <f t="shared" si="3"/>
        <v>#N/A</v>
      </c>
      <c r="M97" s="646"/>
      <c r="O97" s="643" t="s">
        <v>206</v>
      </c>
      <c r="P97" s="644">
        <v>5302</v>
      </c>
    </row>
    <row r="98" spans="1:16" x14ac:dyDescent="0.2">
      <c r="A98" s="643"/>
      <c r="B98" s="644"/>
      <c r="C98" s="645"/>
      <c r="D98" s="645"/>
      <c r="E98" s="645"/>
      <c r="F98" s="645"/>
      <c r="G98" s="645"/>
      <c r="H98" s="164">
        <f t="shared" si="4"/>
        <v>0</v>
      </c>
      <c r="I98" s="645"/>
      <c r="J98" s="645"/>
      <c r="L98" s="646" t="e">
        <f t="shared" si="3"/>
        <v>#N/A</v>
      </c>
      <c r="M98" s="646"/>
      <c r="O98" s="643" t="s">
        <v>207</v>
      </c>
      <c r="P98" s="644">
        <v>5001</v>
      </c>
    </row>
    <row r="99" spans="1:16" x14ac:dyDescent="0.2">
      <c r="A99" s="643"/>
      <c r="B99" s="644"/>
      <c r="C99" s="645"/>
      <c r="D99" s="645"/>
      <c r="E99" s="645"/>
      <c r="F99" s="645"/>
      <c r="G99" s="645"/>
      <c r="H99" s="164">
        <f t="shared" si="4"/>
        <v>0</v>
      </c>
      <c r="I99" s="645"/>
      <c r="J99" s="645"/>
      <c r="L99" s="646" t="e">
        <f t="shared" si="3"/>
        <v>#N/A</v>
      </c>
      <c r="M99" s="646"/>
      <c r="O99" s="643" t="s">
        <v>208</v>
      </c>
      <c r="P99" s="644">
        <v>5061</v>
      </c>
    </row>
    <row r="100" spans="1:16" x14ac:dyDescent="0.2">
      <c r="A100" s="643"/>
      <c r="B100" s="644"/>
      <c r="C100" s="645"/>
      <c r="D100" s="645"/>
      <c r="E100" s="645"/>
      <c r="F100" s="645"/>
      <c r="G100" s="645"/>
      <c r="H100" s="164">
        <f t="shared" si="4"/>
        <v>0</v>
      </c>
      <c r="I100" s="645"/>
      <c r="J100" s="645"/>
      <c r="L100" s="646" t="e">
        <f t="shared" si="3"/>
        <v>#N/A</v>
      </c>
      <c r="M100" s="646"/>
      <c r="O100" s="643" t="s">
        <v>209</v>
      </c>
      <c r="P100" s="644">
        <v>5304</v>
      </c>
    </row>
    <row r="101" spans="1:16" s="169" customFormat="1" x14ac:dyDescent="0.2">
      <c r="A101" s="169" t="s">
        <v>443</v>
      </c>
      <c r="B101" s="170"/>
      <c r="C101" s="171">
        <f>SUM(C30:C100)</f>
        <v>0</v>
      </c>
      <c r="D101" s="171">
        <f t="shared" ref="D101:I101" si="5">SUM(D30:D100)</f>
        <v>0</v>
      </c>
      <c r="E101" s="171">
        <f t="shared" si="5"/>
        <v>737558</v>
      </c>
      <c r="F101" s="171">
        <f t="shared" si="5"/>
        <v>0</v>
      </c>
      <c r="G101" s="171">
        <f t="shared" si="5"/>
        <v>0</v>
      </c>
      <c r="H101" s="171">
        <f t="shared" si="5"/>
        <v>0</v>
      </c>
      <c r="I101" s="171">
        <f t="shared" si="5"/>
        <v>0</v>
      </c>
      <c r="J101" s="171"/>
      <c r="O101" s="643" t="s">
        <v>210</v>
      </c>
      <c r="P101" s="644">
        <v>5064</v>
      </c>
    </row>
    <row r="102" spans="1:16" x14ac:dyDescent="0.2">
      <c r="O102" s="643" t="s">
        <v>211</v>
      </c>
      <c r="P102" s="644">
        <v>5601</v>
      </c>
    </row>
    <row r="103" spans="1:16" x14ac:dyDescent="0.2">
      <c r="O103" s="643" t="s">
        <v>451</v>
      </c>
      <c r="P103" s="644">
        <v>5000</v>
      </c>
    </row>
  </sheetData>
  <mergeCells count="4">
    <mergeCell ref="A1:M1"/>
    <mergeCell ref="A7:M7"/>
    <mergeCell ref="A27:M27"/>
    <mergeCell ref="P1:S1"/>
  </mergeCells>
  <pageMargins left="0.7" right="0.7" top="0.75" bottom="0.75" header="0.3" footer="0.3"/>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1033F9-CD85-4464-8D5C-662985727A34}">
  <sheetPr codeName="Sheet11">
    <tabColor rgb="FF7030A0"/>
  </sheetPr>
  <dimension ref="A1:V110"/>
  <sheetViews>
    <sheetView workbookViewId="0">
      <selection activeCell="B2" sqref="B2"/>
    </sheetView>
  </sheetViews>
  <sheetFormatPr baseColWidth="10" defaultColWidth="9.1640625" defaultRowHeight="15" x14ac:dyDescent="0.2"/>
  <cols>
    <col min="1" max="1" width="53.6640625" style="150" bestFit="1" customWidth="1"/>
    <col min="2" max="2" width="10.33203125" style="150" bestFit="1" customWidth="1"/>
    <col min="3" max="4" width="9" style="150" bestFit="1" customWidth="1"/>
    <col min="5" max="5" width="9.5" style="150" bestFit="1" customWidth="1"/>
    <col min="6" max="6" width="15.33203125" style="150" bestFit="1" customWidth="1"/>
    <col min="7" max="7" width="16.5" style="150" bestFit="1" customWidth="1"/>
    <col min="8" max="8" width="16.5" style="150" customWidth="1"/>
    <col min="9" max="9" width="18.5" style="150" bestFit="1" customWidth="1"/>
    <col min="10" max="10" width="18.5" style="150" customWidth="1"/>
    <col min="11" max="11" width="5.33203125" style="150" customWidth="1"/>
    <col min="12" max="12" width="9.1640625" style="150" customWidth="1"/>
    <col min="13" max="13" width="52.6640625" style="150" customWidth="1"/>
    <col min="14" max="16384" width="9.1640625" style="150"/>
  </cols>
  <sheetData>
    <row r="1" spans="1:22" x14ac:dyDescent="0.2">
      <c r="A1" s="773" t="str">
        <f>"Historical Financial Analysis Summary - "&amp;'IE Data Entry'!B2</f>
        <v xml:space="preserve">Historical Financial Analysis Summary - </v>
      </c>
      <c r="B1" s="773"/>
      <c r="C1" s="773"/>
      <c r="D1" s="773"/>
      <c r="E1" s="773"/>
      <c r="F1" s="773"/>
      <c r="G1" s="773"/>
      <c r="H1" s="649"/>
      <c r="I1" s="172"/>
      <c r="J1" s="172"/>
      <c r="K1" s="172"/>
      <c r="L1" s="173"/>
      <c r="M1" s="173"/>
      <c r="N1" s="173"/>
      <c r="O1" s="173"/>
      <c r="P1" s="173"/>
      <c r="Q1" s="173"/>
      <c r="R1" s="173"/>
      <c r="S1" s="173"/>
      <c r="T1" s="172"/>
      <c r="U1" s="172"/>
      <c r="V1" s="172"/>
    </row>
    <row r="2" spans="1:22" ht="9" customHeight="1" x14ac:dyDescent="0.2">
      <c r="A2" s="152"/>
      <c r="B2" s="152"/>
      <c r="C2" s="152"/>
      <c r="D2" s="152"/>
      <c r="E2" s="152"/>
      <c r="F2" s="152"/>
      <c r="G2" s="172"/>
      <c r="H2" s="172"/>
      <c r="I2" s="172"/>
      <c r="J2" s="172"/>
      <c r="K2" s="172"/>
      <c r="L2" s="173"/>
      <c r="M2" s="173"/>
      <c r="N2" s="173"/>
      <c r="O2" s="173"/>
      <c r="P2" s="173"/>
      <c r="Q2" s="173"/>
      <c r="R2" s="173"/>
      <c r="S2" s="173"/>
      <c r="T2" s="172"/>
      <c r="U2" s="172"/>
      <c r="V2" s="172"/>
    </row>
    <row r="3" spans="1:22" x14ac:dyDescent="0.2">
      <c r="A3" s="774" t="s">
        <v>452</v>
      </c>
      <c r="B3" s="774"/>
      <c r="C3" s="774"/>
      <c r="D3" s="774"/>
      <c r="E3" s="774"/>
      <c r="F3" s="774"/>
      <c r="G3" s="774"/>
      <c r="H3" s="650"/>
      <c r="I3" s="172"/>
      <c r="J3" s="172"/>
      <c r="K3" s="172"/>
      <c r="L3" s="173"/>
      <c r="M3" s="173"/>
      <c r="N3" s="173"/>
      <c r="O3" s="173"/>
      <c r="P3" s="173"/>
      <c r="Q3" s="173"/>
      <c r="R3" s="173"/>
      <c r="S3" s="173"/>
      <c r="T3" s="174"/>
      <c r="U3" s="172"/>
      <c r="V3" s="172"/>
    </row>
    <row r="4" spans="1:22" x14ac:dyDescent="0.2">
      <c r="A4" s="160"/>
      <c r="B4" s="161"/>
      <c r="C4" s="161"/>
      <c r="D4" s="161"/>
      <c r="E4" s="161"/>
      <c r="F4" s="778" t="str">
        <f>Current_Year&amp;" Annualized"</f>
        <v>2025 Annualized</v>
      </c>
      <c r="G4" s="778" t="s">
        <v>453</v>
      </c>
      <c r="H4" s="778" t="s">
        <v>454</v>
      </c>
      <c r="I4" s="161" t="s">
        <v>455</v>
      </c>
      <c r="J4" s="695" t="s">
        <v>456</v>
      </c>
      <c r="K4" s="161"/>
      <c r="L4" s="173"/>
      <c r="M4" s="173"/>
      <c r="N4" s="173"/>
      <c r="O4" s="175"/>
      <c r="P4" s="173"/>
      <c r="Q4" s="173"/>
      <c r="R4" s="173"/>
      <c r="S4" s="173"/>
      <c r="T4" s="176"/>
      <c r="U4" s="172"/>
      <c r="V4" s="172"/>
    </row>
    <row r="5" spans="1:22" ht="16" thickBot="1" x14ac:dyDescent="0.25">
      <c r="A5" s="163" t="s">
        <v>457</v>
      </c>
      <c r="B5" s="162">
        <f>+B31</f>
        <v>2022</v>
      </c>
      <c r="C5" s="162">
        <f t="shared" ref="C5:E5" si="0">+C31</f>
        <v>2023</v>
      </c>
      <c r="D5" s="162">
        <f t="shared" si="0"/>
        <v>2024</v>
      </c>
      <c r="E5" s="162" t="str">
        <f t="shared" si="0"/>
        <v>Trailing 12</v>
      </c>
      <c r="F5" s="779"/>
      <c r="G5" s="779"/>
      <c r="H5" s="779"/>
      <c r="I5" s="162" t="s">
        <v>435</v>
      </c>
      <c r="J5" s="696" t="s">
        <v>458</v>
      </c>
      <c r="K5" s="161"/>
      <c r="L5" s="173"/>
      <c r="M5" s="693" t="s">
        <v>459</v>
      </c>
      <c r="N5" s="173"/>
      <c r="O5" s="175"/>
      <c r="P5" s="173"/>
      <c r="Q5" s="173"/>
      <c r="R5" s="173"/>
      <c r="S5" s="173"/>
      <c r="T5" s="176"/>
      <c r="U5" s="172"/>
      <c r="V5" s="172"/>
    </row>
    <row r="6" spans="1:22" x14ac:dyDescent="0.2">
      <c r="A6" s="160" t="s">
        <v>460</v>
      </c>
      <c r="B6" s="161"/>
      <c r="C6" s="161"/>
      <c r="D6" s="161"/>
      <c r="E6" s="161"/>
      <c r="F6" s="161"/>
      <c r="G6" s="161"/>
      <c r="H6" s="161"/>
      <c r="I6" s="161"/>
      <c r="J6" s="497"/>
      <c r="K6" s="161"/>
      <c r="L6" s="173" t="s">
        <v>461</v>
      </c>
      <c r="M6" s="173"/>
      <c r="N6" s="173"/>
      <c r="O6" s="175"/>
      <c r="P6" s="173"/>
      <c r="Q6" s="173"/>
      <c r="R6" s="173"/>
      <c r="S6" s="173"/>
      <c r="T6" s="176"/>
      <c r="U6" s="172"/>
      <c r="V6" s="172"/>
    </row>
    <row r="7" spans="1:22" x14ac:dyDescent="0.2">
      <c r="A7" s="568" t="str">
        <f>+Proforma!C29</f>
        <v xml:space="preserve">MH </v>
      </c>
      <c r="B7" s="177">
        <f>SUMIF('IE Data Entry'!$B$10:$B$24,'IE SUMMARY'!$T7,'IE Data Entry'!C$10:C$24)</f>
        <v>0</v>
      </c>
      <c r="C7" s="178">
        <f>SUMIF('IE Data Entry'!$B$10:$B$24,'IE SUMMARY'!$T7,'IE Data Entry'!D$10:D$24)</f>
        <v>0</v>
      </c>
      <c r="D7" s="178">
        <f>SUMIF('IE Data Entry'!$B$10:$B$24,'IE SUMMARY'!$T7,'IE Data Entry'!E$10:E$24)</f>
        <v>0</v>
      </c>
      <c r="E7" s="178">
        <f>SUMIF('IE Data Entry'!$B$10:$B$24,'IE SUMMARY'!$T7,'IE Data Entry'!F$10:F$24)</f>
        <v>0</v>
      </c>
      <c r="F7" s="178">
        <f>SUMIF('IE Data Entry'!$B$10:$B$24,'IE SUMMARY'!$T7,'IE Data Entry'!H$10:H$24)</f>
        <v>0</v>
      </c>
      <c r="G7" s="178">
        <f>SUMIF('IE Data Entry'!$B$10:$B$24,'IE SUMMARY'!$T7,'IE Data Entry'!I$10:I$24)</f>
        <v>0</v>
      </c>
      <c r="H7" s="178">
        <f>SUMIF('IE Data Entry'!$B$10:$B$24,'IE SUMMARY'!$T7,'IE Data Entry'!J$10:J$24)</f>
        <v>0</v>
      </c>
      <c r="I7" s="179">
        <f>+Proforma!F34*12</f>
        <v>1640760</v>
      </c>
      <c r="J7" s="657">
        <f>I7-MAX(F7,E7)</f>
        <v>1640760</v>
      </c>
      <c r="K7" s="492"/>
      <c r="L7" s="173"/>
      <c r="M7" s="173"/>
      <c r="N7" s="173"/>
      <c r="O7" s="175"/>
      <c r="P7" s="173"/>
      <c r="Q7" s="173"/>
      <c r="R7" s="173"/>
      <c r="S7" s="173"/>
      <c r="T7" s="176">
        <v>1</v>
      </c>
      <c r="U7" s="172"/>
      <c r="V7" s="172"/>
    </row>
    <row r="8" spans="1:22" x14ac:dyDescent="0.2">
      <c r="A8" s="568" t="str">
        <f>+Proforma!C30</f>
        <v>RV</v>
      </c>
      <c r="B8" s="178">
        <f>SUMIF('IE Data Entry'!$B$10:$B$24,'IE SUMMARY'!$T8,'IE Data Entry'!C$10:C$24)</f>
        <v>0</v>
      </c>
      <c r="C8" s="178">
        <f>SUMIF('IE Data Entry'!$B$10:$B$24,'IE SUMMARY'!$T8,'IE Data Entry'!D$10:D$24)</f>
        <v>0</v>
      </c>
      <c r="D8" s="178">
        <f>SUMIF('IE Data Entry'!$B$10:$B$24,'IE SUMMARY'!$T8,'IE Data Entry'!E$10:E$24)</f>
        <v>0</v>
      </c>
      <c r="E8" s="178">
        <f>SUMIF('IE Data Entry'!$B$10:$B$24,'IE SUMMARY'!$T8,'IE Data Entry'!F$10:F$24)</f>
        <v>0</v>
      </c>
      <c r="F8" s="178">
        <f>SUMIF('IE Data Entry'!$B$10:$B$24,'IE SUMMARY'!$T8,'IE Data Entry'!H$10:H$24)</f>
        <v>0</v>
      </c>
      <c r="G8" s="178">
        <f>SUMIF('IE Data Entry'!$B$10:$B$24,'IE SUMMARY'!$T8,'IE Data Entry'!I$10:I$24)</f>
        <v>0</v>
      </c>
      <c r="H8" s="178">
        <f>SUMIF('IE Data Entry'!$B$10:$B$24,'IE SUMMARY'!$T8,'IE Data Entry'!J$10:J$24)</f>
        <v>0</v>
      </c>
      <c r="I8" s="179">
        <f>+Proforma!F35*12</f>
        <v>0</v>
      </c>
      <c r="J8" s="657">
        <f t="shared" ref="J8:J26" si="1">I8-MAX(F8,E8)</f>
        <v>0</v>
      </c>
      <c r="K8" s="492"/>
      <c r="L8" s="173"/>
      <c r="M8" s="173"/>
      <c r="N8" s="173"/>
      <c r="O8" s="175"/>
      <c r="P8" s="173"/>
      <c r="Q8" s="173"/>
      <c r="R8" s="173"/>
      <c r="S8" s="173"/>
      <c r="T8" s="176">
        <v>2</v>
      </c>
      <c r="U8" s="172"/>
      <c r="V8" s="172"/>
    </row>
    <row r="9" spans="1:22" x14ac:dyDescent="0.2">
      <c r="A9" s="568" t="str">
        <f>+Proforma!C31</f>
        <v>Other</v>
      </c>
      <c r="B9" s="178">
        <f>SUMIF('IE Data Entry'!$B$10:$B$24,'IE SUMMARY'!$T9,'IE Data Entry'!C$10:C$24)</f>
        <v>0</v>
      </c>
      <c r="C9" s="178">
        <f>SUMIF('IE Data Entry'!$B$10:$B$24,'IE SUMMARY'!$T9,'IE Data Entry'!D$10:D$24)</f>
        <v>0</v>
      </c>
      <c r="D9" s="178">
        <f>SUMIF('IE Data Entry'!$B$10:$B$24,'IE SUMMARY'!$T9,'IE Data Entry'!E$10:E$24)</f>
        <v>0</v>
      </c>
      <c r="E9" s="178">
        <f>SUMIF('IE Data Entry'!$B$10:$B$24,'IE SUMMARY'!$T9,'IE Data Entry'!F$10:F$24)</f>
        <v>0</v>
      </c>
      <c r="F9" s="178">
        <f>SUMIF('IE Data Entry'!$B$10:$B$24,'IE SUMMARY'!$T9,'IE Data Entry'!H$10:H$24)</f>
        <v>0</v>
      </c>
      <c r="G9" s="178">
        <f>SUMIF('IE Data Entry'!$B$10:$B$24,'IE SUMMARY'!$T9,'IE Data Entry'!I$10:I$24)</f>
        <v>0</v>
      </c>
      <c r="H9" s="178">
        <f>SUMIF('IE Data Entry'!$B$10:$B$24,'IE SUMMARY'!$T9,'IE Data Entry'!J$10:J$24)</f>
        <v>0</v>
      </c>
      <c r="I9" s="179">
        <f>+Proforma!F36*12</f>
        <v>0</v>
      </c>
      <c r="J9" s="657">
        <f t="shared" si="1"/>
        <v>0</v>
      </c>
      <c r="K9" s="492"/>
      <c r="L9" s="172" t="str">
        <f>IF(ISERROR((+(G11-E11)/E11)),"",(+(G11-E11)/E11))</f>
        <v/>
      </c>
      <c r="M9" s="180"/>
      <c r="N9" s="172"/>
      <c r="P9" s="172"/>
      <c r="Q9" s="172"/>
      <c r="R9" s="172"/>
      <c r="S9" s="172"/>
      <c r="T9" s="176">
        <v>3</v>
      </c>
      <c r="U9" s="172"/>
      <c r="V9" s="172"/>
    </row>
    <row r="10" spans="1:22" x14ac:dyDescent="0.2">
      <c r="A10" s="568" t="s">
        <v>462</v>
      </c>
      <c r="B10" s="178">
        <f>SUMIF('IE Data Entry'!$B$10:$B$24,'IE SUMMARY'!$T10,'IE Data Entry'!C$10:C$24)</f>
        <v>0</v>
      </c>
      <c r="C10" s="178">
        <f>SUMIF('IE Data Entry'!$B$10:$B$24,'IE SUMMARY'!$T10,'IE Data Entry'!D$10:D$24)</f>
        <v>0</v>
      </c>
      <c r="D10" s="178">
        <f>SUMIF('IE Data Entry'!$B$10:$B$24,'IE SUMMARY'!$T10,'IE Data Entry'!E$10:E$24)</f>
        <v>0</v>
      </c>
      <c r="E10" s="178">
        <f>SUMIF('IE Data Entry'!$B$10:$B$24,'IE SUMMARY'!$T10,'IE Data Entry'!F$10:F$24)</f>
        <v>0</v>
      </c>
      <c r="F10" s="178">
        <f>SUMIF('IE Data Entry'!$B$10:$B$24,'IE SUMMARY'!$T10,'IE Data Entry'!H$10:H$24)</f>
        <v>0</v>
      </c>
      <c r="G10" s="178">
        <f>SUMIF('IE Data Entry'!$B$10:$B$24,'IE SUMMARY'!$T10,'IE Data Entry'!I$10:I$24)</f>
        <v>0</v>
      </c>
      <c r="H10" s="178">
        <f>SUMIF('IE Data Entry'!$B$10:$B$24,'IE SUMMARY'!$T10,'IE Data Entry'!J$10:J$24)</f>
        <v>0</v>
      </c>
      <c r="I10" s="181">
        <f>SUM(Proforma!F38:F40)*12</f>
        <v>-827160</v>
      </c>
      <c r="J10" s="658">
        <f t="shared" si="1"/>
        <v>-827160</v>
      </c>
      <c r="K10" s="492"/>
      <c r="L10" s="182" t="str">
        <f>IF(ISERROR((+(G11-F11)/F11)),"",(+(G11-F11)/F11))</f>
        <v/>
      </c>
      <c r="M10" s="180"/>
      <c r="N10" s="172"/>
      <c r="P10" s="173"/>
      <c r="Q10" s="172"/>
      <c r="R10" s="172"/>
      <c r="S10" s="172"/>
      <c r="T10" s="176">
        <v>4</v>
      </c>
      <c r="U10" s="172"/>
      <c r="V10" s="172"/>
    </row>
    <row r="11" spans="1:22" x14ac:dyDescent="0.2">
      <c r="A11" s="183" t="s">
        <v>159</v>
      </c>
      <c r="B11" s="749">
        <f>SUM(B7:B10)</f>
        <v>0</v>
      </c>
      <c r="C11" s="749">
        <f t="shared" ref="C11:I11" si="2">SUM(C7:C10)</f>
        <v>0</v>
      </c>
      <c r="D11" s="749">
        <f t="shared" si="2"/>
        <v>0</v>
      </c>
      <c r="E11" s="749">
        <f t="shared" si="2"/>
        <v>0</v>
      </c>
      <c r="F11" s="749">
        <f t="shared" si="2"/>
        <v>0</v>
      </c>
      <c r="G11" s="749">
        <f t="shared" si="2"/>
        <v>0</v>
      </c>
      <c r="H11" s="749">
        <f t="shared" ref="H11" si="3">SUM(H7:H10)</f>
        <v>0</v>
      </c>
      <c r="I11" s="749">
        <f t="shared" si="2"/>
        <v>813600</v>
      </c>
      <c r="J11" s="657">
        <f t="shared" si="1"/>
        <v>813600</v>
      </c>
      <c r="K11" s="492"/>
      <c r="L11" s="182" t="str">
        <f>IF(ISERROR((+(G11-D11)/D11)),"",(+(G11-D11)/D11))</f>
        <v/>
      </c>
      <c r="M11" s="180"/>
      <c r="N11" s="184"/>
      <c r="P11" s="173"/>
      <c r="Q11" s="172"/>
      <c r="R11" s="172"/>
      <c r="S11" s="172"/>
      <c r="T11" s="176"/>
      <c r="U11" s="172"/>
      <c r="V11" s="172"/>
    </row>
    <row r="12" spans="1:22" x14ac:dyDescent="0.2">
      <c r="A12" s="185" t="s">
        <v>463</v>
      </c>
      <c r="B12" s="180"/>
      <c r="C12" s="182" t="str">
        <f>IF(ISERROR((+(C11-B11)/B11)),"",(+(C11-B11)/B11))</f>
        <v/>
      </c>
      <c r="D12" s="182" t="str">
        <f>IF(ISERROR((+(D11-C11)/C11)),"",(+(D11-C11)/C11))</f>
        <v/>
      </c>
      <c r="E12" s="182" t="str">
        <f>IF(ISERROR((+(E11-D11)/D11)),"",(+(E11-D11)/D11))</f>
        <v/>
      </c>
      <c r="F12" s="182" t="str">
        <f>IF(ISERROR((+(F11-D11)/D11)),"",(+(F11-D11)/D11))</f>
        <v/>
      </c>
      <c r="G12" s="182"/>
      <c r="H12" s="182"/>
      <c r="J12" s="492"/>
      <c r="M12" s="182"/>
      <c r="N12" s="182"/>
      <c r="O12" s="182"/>
      <c r="P12" s="172"/>
      <c r="Q12" s="172"/>
      <c r="R12" s="172"/>
      <c r="S12" s="172"/>
      <c r="T12" s="176"/>
      <c r="U12" s="172"/>
      <c r="V12" s="172"/>
    </row>
    <row r="13" spans="1:22" ht="10.25" customHeight="1" x14ac:dyDescent="0.2">
      <c r="A13" s="568"/>
      <c r="B13" s="186"/>
      <c r="C13" s="186"/>
      <c r="D13" s="186"/>
      <c r="E13" s="186"/>
      <c r="F13" s="186"/>
      <c r="G13" s="186"/>
      <c r="H13" s="186"/>
      <c r="I13" s="182"/>
      <c r="J13" s="492"/>
      <c r="K13" s="182"/>
      <c r="L13" s="180"/>
      <c r="M13" s="172"/>
      <c r="N13" s="172"/>
      <c r="O13" s="186"/>
      <c r="P13" s="172"/>
      <c r="Q13" s="172"/>
      <c r="R13" s="172"/>
      <c r="S13" s="172"/>
      <c r="T13" s="176"/>
      <c r="U13" s="172"/>
      <c r="V13" s="172"/>
    </row>
    <row r="14" spans="1:22" x14ac:dyDescent="0.2">
      <c r="A14" s="187" t="s">
        <v>174</v>
      </c>
      <c r="B14" s="186"/>
      <c r="C14" s="186"/>
      <c r="D14" s="186"/>
      <c r="E14" s="186"/>
      <c r="F14" s="186"/>
      <c r="G14" s="186"/>
      <c r="H14" s="186"/>
      <c r="I14" s="172"/>
      <c r="J14" s="492"/>
      <c r="K14" s="172"/>
      <c r="L14" s="172"/>
      <c r="M14" s="172"/>
      <c r="N14" s="172"/>
      <c r="O14" s="186"/>
      <c r="P14" s="172"/>
      <c r="Q14" s="172"/>
      <c r="R14" s="172"/>
      <c r="S14" s="172"/>
      <c r="T14" s="176"/>
      <c r="U14" s="172"/>
      <c r="V14" s="172"/>
    </row>
    <row r="15" spans="1:22" x14ac:dyDescent="0.2">
      <c r="A15" s="568" t="s">
        <v>176</v>
      </c>
      <c r="B15" s="178">
        <f>SUMIF('IE Data Entry'!$B$10:$B$24,'IE SUMMARY'!$T15,'IE Data Entry'!C$10:C$24)</f>
        <v>0</v>
      </c>
      <c r="C15" s="178">
        <f>SUMIF('IE Data Entry'!$B$10:$B$24,'IE SUMMARY'!$T15,'IE Data Entry'!D$10:D$24)</f>
        <v>0</v>
      </c>
      <c r="D15" s="178">
        <f>SUMIF('IE Data Entry'!$B$10:$B$24,'IE SUMMARY'!$T15,'IE Data Entry'!E$10:E$24)</f>
        <v>0</v>
      </c>
      <c r="E15" s="178">
        <f>SUMIF('IE Data Entry'!$B$10:$B$24,'IE SUMMARY'!$T15,'IE Data Entry'!F$10:F$24)</f>
        <v>0</v>
      </c>
      <c r="F15" s="178">
        <f>SUMIF('IE Data Entry'!$B$10:$B$24,'IE SUMMARY'!$T15,'IE Data Entry'!H$10:H$24)</f>
        <v>0</v>
      </c>
      <c r="G15" s="178">
        <f>SUMIF('IE Data Entry'!$B$10:$B$24,'IE SUMMARY'!$T15,'IE Data Entry'!I$10:I$24)</f>
        <v>0</v>
      </c>
      <c r="H15" s="178">
        <f>SUMIF('IE Data Entry'!$B$10:$B$24,'IE SUMMARY'!$T15,'IE Data Entry'!J$10:J$24)</f>
        <v>0</v>
      </c>
      <c r="I15" s="179">
        <f>+Proforma!F44*12</f>
        <v>0</v>
      </c>
      <c r="J15" s="657">
        <f t="shared" si="1"/>
        <v>0</v>
      </c>
      <c r="K15" s="492"/>
      <c r="L15" s="172"/>
      <c r="M15" s="172"/>
      <c r="N15" s="172"/>
      <c r="P15" s="173"/>
      <c r="Q15" s="172"/>
      <c r="R15" s="172"/>
      <c r="S15" s="172"/>
      <c r="T15" s="176">
        <v>4403</v>
      </c>
      <c r="U15" s="172"/>
      <c r="V15" s="172"/>
    </row>
    <row r="16" spans="1:22" x14ac:dyDescent="0.2">
      <c r="A16" s="568" t="s">
        <v>177</v>
      </c>
      <c r="B16" s="178">
        <f>SUMIF('IE Data Entry'!$B$10:$B$24,'IE SUMMARY'!$T16,'IE Data Entry'!C$10:C$24)</f>
        <v>0</v>
      </c>
      <c r="C16" s="178">
        <f>SUMIF('IE Data Entry'!$B$10:$B$24,'IE SUMMARY'!$T16,'IE Data Entry'!D$10:D$24)</f>
        <v>0</v>
      </c>
      <c r="D16" s="178">
        <f>SUMIF('IE Data Entry'!$B$10:$B$24,'IE SUMMARY'!$T16,'IE Data Entry'!E$10:E$24)</f>
        <v>0</v>
      </c>
      <c r="E16" s="178">
        <f>SUMIF('IE Data Entry'!$B$10:$B$24,'IE SUMMARY'!$T16,'IE Data Entry'!F$10:F$24)</f>
        <v>0</v>
      </c>
      <c r="F16" s="178">
        <f>SUMIF('IE Data Entry'!$B$10:$B$24,'IE SUMMARY'!$T16,'IE Data Entry'!H$10:H$24)</f>
        <v>0</v>
      </c>
      <c r="G16" s="178">
        <f>SUMIF('IE Data Entry'!$B$10:$B$24,'IE SUMMARY'!$T16,'IE Data Entry'!I$10:I$24)</f>
        <v>0</v>
      </c>
      <c r="H16" s="178">
        <f>SUMIF('IE Data Entry'!$B$10:$B$24,'IE SUMMARY'!$T16,'IE Data Entry'!J$10:J$24)</f>
        <v>0</v>
      </c>
      <c r="I16" s="179">
        <f>+Proforma!F45*12</f>
        <v>0</v>
      </c>
      <c r="J16" s="657">
        <f t="shared" si="1"/>
        <v>0</v>
      </c>
      <c r="K16" s="492"/>
      <c r="L16" s="172"/>
      <c r="M16" s="172"/>
      <c r="N16" s="172"/>
      <c r="P16" s="173"/>
      <c r="Q16" s="172"/>
      <c r="R16" s="172"/>
      <c r="S16" s="172"/>
      <c r="T16" s="176">
        <v>4401</v>
      </c>
      <c r="U16" s="172"/>
      <c r="V16" s="172"/>
    </row>
    <row r="17" spans="1:22" x14ac:dyDescent="0.2">
      <c r="A17" s="568" t="s">
        <v>178</v>
      </c>
      <c r="B17" s="178">
        <f>SUMIF('IE Data Entry'!$B$10:$B$24,'IE SUMMARY'!$T17,'IE Data Entry'!C$10:C$24)</f>
        <v>0</v>
      </c>
      <c r="C17" s="178">
        <f>SUMIF('IE Data Entry'!$B$10:$B$24,'IE SUMMARY'!$T17,'IE Data Entry'!D$10:D$24)</f>
        <v>0</v>
      </c>
      <c r="D17" s="178">
        <f>SUMIF('IE Data Entry'!$B$10:$B$24,'IE SUMMARY'!$T17,'IE Data Entry'!E$10:E$24)</f>
        <v>0</v>
      </c>
      <c r="E17" s="178">
        <f>SUMIF('IE Data Entry'!$B$10:$B$24,'IE SUMMARY'!$T17,'IE Data Entry'!F$10:F$24)</f>
        <v>0</v>
      </c>
      <c r="F17" s="178">
        <f>SUMIF('IE Data Entry'!$B$10:$B$24,'IE SUMMARY'!$T17,'IE Data Entry'!H$10:H$24)</f>
        <v>0</v>
      </c>
      <c r="G17" s="178">
        <f>SUMIF('IE Data Entry'!$B$10:$B$24,'IE SUMMARY'!$T17,'IE Data Entry'!I$10:I$24)</f>
        <v>0</v>
      </c>
      <c r="H17" s="178">
        <f>SUMIF('IE Data Entry'!$B$10:$B$24,'IE SUMMARY'!$T17,'IE Data Entry'!J$10:J$24)</f>
        <v>0</v>
      </c>
      <c r="I17" s="179">
        <f>+Proforma!F46*12</f>
        <v>28800</v>
      </c>
      <c r="J17" s="657">
        <f t="shared" si="1"/>
        <v>28800</v>
      </c>
      <c r="K17" s="492"/>
      <c r="L17" s="172"/>
      <c r="M17" s="172"/>
      <c r="N17" s="172"/>
      <c r="P17" s="173"/>
      <c r="Q17" s="172"/>
      <c r="R17" s="172"/>
      <c r="S17" s="172"/>
      <c r="T17" s="176">
        <v>4404</v>
      </c>
      <c r="U17" s="172"/>
      <c r="V17" s="172"/>
    </row>
    <row r="18" spans="1:22" x14ac:dyDescent="0.2">
      <c r="A18" s="568" t="s">
        <v>99</v>
      </c>
      <c r="B18" s="178">
        <f>SUMIF('IE Data Entry'!$B$10:$B$24,'IE SUMMARY'!$T18,'IE Data Entry'!C$10:C$24)</f>
        <v>0</v>
      </c>
      <c r="C18" s="178">
        <f>SUMIF('IE Data Entry'!$B$10:$B$24,'IE SUMMARY'!$T18,'IE Data Entry'!D$10:D$24)</f>
        <v>0</v>
      </c>
      <c r="D18" s="178">
        <f>SUMIF('IE Data Entry'!$B$10:$B$24,'IE SUMMARY'!$T18,'IE Data Entry'!E$10:E$24)</f>
        <v>0</v>
      </c>
      <c r="E18" s="178">
        <f>SUMIF('IE Data Entry'!$B$10:$B$24,'IE SUMMARY'!$T18,'IE Data Entry'!F$10:F$24)</f>
        <v>0</v>
      </c>
      <c r="F18" s="178">
        <f>SUMIF('IE Data Entry'!$B$10:$B$24,'IE SUMMARY'!$T18,'IE Data Entry'!H$10:H$24)</f>
        <v>0</v>
      </c>
      <c r="G18" s="178">
        <f>SUMIF('IE Data Entry'!$B$10:$B$24,'IE SUMMARY'!$T18,'IE Data Entry'!I$10:I$24)</f>
        <v>0</v>
      </c>
      <c r="H18" s="178">
        <f>SUMIF('IE Data Entry'!$B$10:$B$24,'IE SUMMARY'!$T18,'IE Data Entry'!J$10:J$24)</f>
        <v>0</v>
      </c>
      <c r="I18" s="179">
        <f>+Proforma!F47*12</f>
        <v>0</v>
      </c>
      <c r="J18" s="657">
        <f t="shared" si="1"/>
        <v>0</v>
      </c>
      <c r="K18" s="492"/>
      <c r="L18" s="172"/>
      <c r="M18" s="172"/>
      <c r="N18" s="172"/>
      <c r="P18" s="173"/>
      <c r="Q18" s="172"/>
      <c r="R18" s="172"/>
      <c r="S18" s="172"/>
      <c r="T18" s="176">
        <v>4405</v>
      </c>
      <c r="U18" s="172"/>
      <c r="V18" s="172"/>
    </row>
    <row r="19" spans="1:22" x14ac:dyDescent="0.2">
      <c r="A19" s="568" t="s">
        <v>98</v>
      </c>
      <c r="B19" s="178">
        <f>SUMIF('IE Data Entry'!$B$10:$B$24,'IE SUMMARY'!$T19,'IE Data Entry'!C$10:C$24)</f>
        <v>0</v>
      </c>
      <c r="C19" s="178">
        <f>SUMIF('IE Data Entry'!$B$10:$B$24,'IE SUMMARY'!$T19,'IE Data Entry'!D$10:D$24)</f>
        <v>0</v>
      </c>
      <c r="D19" s="178">
        <f>SUMIF('IE Data Entry'!$B$10:$B$24,'IE SUMMARY'!$T19,'IE Data Entry'!E$10:E$24)</f>
        <v>0</v>
      </c>
      <c r="E19" s="178">
        <f>SUMIF('IE Data Entry'!$B$10:$B$24,'IE SUMMARY'!$T19,'IE Data Entry'!F$10:F$24)</f>
        <v>0</v>
      </c>
      <c r="F19" s="178">
        <f>SUMIF('IE Data Entry'!$B$10:$B$24,'IE SUMMARY'!$T19,'IE Data Entry'!H$10:H$24)</f>
        <v>0</v>
      </c>
      <c r="G19" s="178">
        <f>SUMIF('IE Data Entry'!$B$10:$B$24,'IE SUMMARY'!$T19,'IE Data Entry'!I$10:I$24)</f>
        <v>0</v>
      </c>
      <c r="H19" s="178">
        <f>SUMIF('IE Data Entry'!$B$10:$B$24,'IE SUMMARY'!$T19,'IE Data Entry'!J$10:J$24)</f>
        <v>0</v>
      </c>
      <c r="I19" s="179">
        <f>+Proforma!F48*12</f>
        <v>0</v>
      </c>
      <c r="J19" s="657">
        <f t="shared" si="1"/>
        <v>0</v>
      </c>
      <c r="K19" s="492"/>
      <c r="L19" s="172" t="str">
        <f>IF(ISERROR((+(G21-E21)/E21)),"",(+(G21-E21)/E21))</f>
        <v/>
      </c>
      <c r="M19" s="180"/>
      <c r="N19" s="172"/>
      <c r="P19" s="173"/>
      <c r="Q19" s="172"/>
      <c r="R19" s="172"/>
      <c r="S19" s="172"/>
      <c r="T19" s="176">
        <v>4402</v>
      </c>
      <c r="U19" s="172"/>
      <c r="V19" s="172"/>
    </row>
    <row r="20" spans="1:22" x14ac:dyDescent="0.2">
      <c r="A20" s="568" t="s">
        <v>179</v>
      </c>
      <c r="B20" s="178">
        <f>SUMIF('IE Data Entry'!$B$10:$B$24,'IE SUMMARY'!$T20,'IE Data Entry'!C$10:C$24)</f>
        <v>0</v>
      </c>
      <c r="C20" s="178">
        <f>SUMIF('IE Data Entry'!$B$10:$B$24,'IE SUMMARY'!$T20,'IE Data Entry'!D$10:D$24)</f>
        <v>0</v>
      </c>
      <c r="D20" s="178">
        <f>SUMIF('IE Data Entry'!$B$10:$B$24,'IE SUMMARY'!$T20,'IE Data Entry'!E$10:E$24)</f>
        <v>0</v>
      </c>
      <c r="E20" s="178">
        <f>SUMIF('IE Data Entry'!$B$10:$B$24,'IE SUMMARY'!$T20,'IE Data Entry'!F$10:F$24)</f>
        <v>0</v>
      </c>
      <c r="F20" s="178">
        <f>SUMIF('IE Data Entry'!$B$10:$B$24,'IE SUMMARY'!$T20,'IE Data Entry'!H$10:H$24)</f>
        <v>0</v>
      </c>
      <c r="G20" s="178">
        <f>SUMIF('IE Data Entry'!$B$10:$B$24,'IE SUMMARY'!$T20,'IE Data Entry'!I$10:I$24)</f>
        <v>0</v>
      </c>
      <c r="H20" s="178">
        <f>SUMIF('IE Data Entry'!$B$10:$B$24,'IE SUMMARY'!$T20,'IE Data Entry'!J$10:J$24)</f>
        <v>0</v>
      </c>
      <c r="I20" s="181">
        <f>+Proforma!F49*12</f>
        <v>0</v>
      </c>
      <c r="J20" s="657">
        <f t="shared" si="1"/>
        <v>0</v>
      </c>
      <c r="K20" s="492"/>
      <c r="L20" s="182" t="str">
        <f>IF(ISERROR((+(G21-F21)/F21)),"",(+(G21-F21)/F21))</f>
        <v/>
      </c>
      <c r="M20" s="180"/>
      <c r="N20" s="172"/>
      <c r="P20" s="173"/>
      <c r="Q20" s="172"/>
      <c r="R20" s="172"/>
      <c r="S20" s="172"/>
      <c r="T20" s="176">
        <v>4998</v>
      </c>
      <c r="U20" s="172"/>
      <c r="V20" s="172"/>
    </row>
    <row r="21" spans="1:22" x14ac:dyDescent="0.2">
      <c r="A21" s="183" t="s">
        <v>180</v>
      </c>
      <c r="B21" s="749">
        <f>SUM(B15:B20)</f>
        <v>0</v>
      </c>
      <c r="C21" s="749">
        <f t="shared" ref="C21:G21" si="4">SUM(C15:C20)</f>
        <v>0</v>
      </c>
      <c r="D21" s="749">
        <f t="shared" si="4"/>
        <v>0</v>
      </c>
      <c r="E21" s="749">
        <f t="shared" si="4"/>
        <v>0</v>
      </c>
      <c r="F21" s="749">
        <f t="shared" si="4"/>
        <v>0</v>
      </c>
      <c r="G21" s="749">
        <f t="shared" si="4"/>
        <v>0</v>
      </c>
      <c r="H21" s="749">
        <f t="shared" ref="H21" si="5">SUM(H15:H20)</f>
        <v>0</v>
      </c>
      <c r="I21" s="749">
        <f>SUM(I15:I20)</f>
        <v>28800</v>
      </c>
      <c r="J21" s="657">
        <f t="shared" si="1"/>
        <v>28800</v>
      </c>
      <c r="K21" s="492"/>
      <c r="L21" s="182" t="str">
        <f>IF(ISERROR((+(G21-D21)/D21)),"",(+(G21-D21)/D21))</f>
        <v/>
      </c>
      <c r="M21" s="180"/>
      <c r="N21" s="172"/>
      <c r="P21" s="188"/>
      <c r="Q21" s="172"/>
      <c r="R21" s="172"/>
      <c r="S21" s="172"/>
      <c r="T21" s="176"/>
      <c r="U21" s="172"/>
      <c r="V21" s="172"/>
    </row>
    <row r="22" spans="1:22" x14ac:dyDescent="0.2">
      <c r="A22" s="185" t="s">
        <v>463</v>
      </c>
      <c r="B22" s="180"/>
      <c r="C22" s="182" t="str">
        <f>IF(ISERROR((+(C21-B21)/B21)),"",(+(C21-B21)/B21))</f>
        <v/>
      </c>
      <c r="D22" s="182" t="str">
        <f>IF(ISERROR((+(D21-C21)/C21)),"",(+(D21-C21)/C21))</f>
        <v/>
      </c>
      <c r="E22" s="182" t="str">
        <f>IF(ISERROR((+(E21-D21)/D21)),"",(+(E21-D21)/D21))</f>
        <v/>
      </c>
      <c r="F22" s="182" t="str">
        <f>IF(ISERROR((+(F21-D21)/D21)),"",(+(F21-D21)/D21))</f>
        <v/>
      </c>
      <c r="G22" s="182"/>
      <c r="H22" s="182"/>
      <c r="J22" s="508"/>
      <c r="M22" s="172"/>
      <c r="N22" s="172"/>
      <c r="O22" s="182"/>
      <c r="P22" s="173"/>
      <c r="Q22" s="172"/>
      <c r="R22" s="172"/>
      <c r="S22" s="172"/>
      <c r="T22" s="176"/>
      <c r="U22" s="172"/>
      <c r="V22" s="172"/>
    </row>
    <row r="23" spans="1:22" ht="6.75" customHeight="1" x14ac:dyDescent="0.2">
      <c r="A23" s="185"/>
      <c r="B23" s="180"/>
      <c r="C23" s="182"/>
      <c r="D23" s="182"/>
      <c r="E23" s="182"/>
      <c r="F23" s="182"/>
      <c r="G23" s="182"/>
      <c r="H23" s="182"/>
      <c r="I23" s="182"/>
      <c r="J23" s="508"/>
      <c r="K23" s="182"/>
      <c r="L23" s="180"/>
      <c r="M23" s="172"/>
      <c r="N23" s="172"/>
      <c r="O23" s="182"/>
      <c r="P23" s="173"/>
      <c r="Q23" s="172"/>
      <c r="R23" s="172"/>
      <c r="S23" s="172"/>
      <c r="T23" s="176"/>
      <c r="U23" s="172"/>
      <c r="V23" s="172"/>
    </row>
    <row r="24" spans="1:22" x14ac:dyDescent="0.2">
      <c r="A24" s="568" t="s">
        <v>464</v>
      </c>
      <c r="B24" s="178">
        <f>SUMIF('IE Data Entry'!$B$10:$B$24,'IE SUMMARY'!$T24,'IE Data Entry'!C$10:C$24)</f>
        <v>0</v>
      </c>
      <c r="C24" s="178">
        <f>SUMIF('IE Data Entry'!$B$10:$B$24,'IE SUMMARY'!$T24,'IE Data Entry'!D$10:D$24)</f>
        <v>0</v>
      </c>
      <c r="D24" s="178">
        <f>SUMIF('IE Data Entry'!$B$10:$B$24,'IE SUMMARY'!$T24,'IE Data Entry'!E$10:E$24)</f>
        <v>0</v>
      </c>
      <c r="E24" s="178">
        <f>SUMIF('IE Data Entry'!$B$10:$B$24,'IE SUMMARY'!$T24,'IE Data Entry'!F$10:F$24)</f>
        <v>0</v>
      </c>
      <c r="F24" s="178">
        <f>SUMIF('IE Data Entry'!$B$10:$B$24,'IE SUMMARY'!$T24,'IE Data Entry'!H$10:H$24)</f>
        <v>0</v>
      </c>
      <c r="G24" s="178">
        <f>SUMIF('IE Data Entry'!$B$10:$B$24,'IE SUMMARY'!$T24,'IE Data Entry'!I$10:I$24)</f>
        <v>0</v>
      </c>
      <c r="H24" s="178">
        <f>SUMIF('IE Data Entry'!$B$10:$B$24,'IE SUMMARY'!$T24,'IE Data Entry'!J$10:J$24)</f>
        <v>0</v>
      </c>
      <c r="I24" s="189">
        <f>+Proforma!F51*12</f>
        <v>0</v>
      </c>
      <c r="J24" s="503">
        <f t="shared" si="1"/>
        <v>0</v>
      </c>
      <c r="K24" s="178"/>
      <c r="L24" s="180"/>
      <c r="M24" s="172"/>
      <c r="N24" s="172"/>
      <c r="P24" s="173"/>
      <c r="Q24" s="172"/>
      <c r="R24" s="172"/>
      <c r="S24" s="172"/>
      <c r="T24" s="176">
        <v>4134</v>
      </c>
      <c r="U24" s="172"/>
      <c r="V24" s="172"/>
    </row>
    <row r="25" spans="1:22" ht="9" customHeight="1" x14ac:dyDescent="0.2">
      <c r="A25" s="568"/>
      <c r="B25" s="178"/>
      <c r="C25" s="178"/>
      <c r="D25" s="178"/>
      <c r="E25" s="178"/>
      <c r="F25" s="178"/>
      <c r="G25" s="178"/>
      <c r="H25" s="178"/>
      <c r="I25" s="178"/>
      <c r="J25" s="508"/>
      <c r="K25" s="178"/>
      <c r="L25" s="172" t="str">
        <f>IF(ISERROR((+(G27-E27)/E27)),"",(+(G27-E27)/E27))</f>
        <v/>
      </c>
      <c r="M25" s="180"/>
      <c r="N25" s="172"/>
      <c r="P25" s="173"/>
      <c r="Q25" s="172"/>
      <c r="R25" s="172"/>
      <c r="S25" s="172"/>
      <c r="T25" s="176"/>
      <c r="U25" s="172"/>
      <c r="V25" s="172"/>
    </row>
    <row r="26" spans="1:22" x14ac:dyDescent="0.2">
      <c r="A26" s="187" t="s">
        <v>465</v>
      </c>
      <c r="B26" s="647">
        <f>+B11+B21+B24</f>
        <v>0</v>
      </c>
      <c r="C26" s="647">
        <f t="shared" ref="C26:I26" si="6">+C11+C21+C24</f>
        <v>0</v>
      </c>
      <c r="D26" s="647">
        <f t="shared" si="6"/>
        <v>0</v>
      </c>
      <c r="E26" s="647">
        <f t="shared" si="6"/>
        <v>0</v>
      </c>
      <c r="F26" s="647">
        <f t="shared" si="6"/>
        <v>0</v>
      </c>
      <c r="G26" s="647">
        <f t="shared" si="6"/>
        <v>0</v>
      </c>
      <c r="H26" s="647">
        <f t="shared" ref="H26" si="7">+H11+H21+H24</f>
        <v>0</v>
      </c>
      <c r="I26" s="647">
        <f t="shared" si="6"/>
        <v>842400</v>
      </c>
      <c r="J26" s="503">
        <f t="shared" si="1"/>
        <v>842400</v>
      </c>
      <c r="K26" s="492"/>
      <c r="L26" s="182" t="str">
        <f>IF(ISERROR((+(G26-F26)/F26)),"",(+(G26-F26)/F26))</f>
        <v/>
      </c>
      <c r="M26" s="180"/>
      <c r="N26" s="172"/>
      <c r="P26" s="173"/>
      <c r="Q26" s="172"/>
      <c r="R26" s="172"/>
      <c r="S26" s="172"/>
      <c r="T26" s="176"/>
      <c r="U26" s="172"/>
      <c r="V26" s="172"/>
    </row>
    <row r="27" spans="1:22" x14ac:dyDescent="0.2">
      <c r="A27" s="185" t="s">
        <v>463</v>
      </c>
      <c r="B27" s="180"/>
      <c r="C27" s="182" t="str">
        <f>IF(ISERROR((+(C26-B26)/B26)),"",(+(C26-B26)/B26))</f>
        <v/>
      </c>
      <c r="D27" s="182" t="str">
        <f>IF(ISERROR((+(D26-C26)/C26)),"",(+(D26-C26)/C26))</f>
        <v/>
      </c>
      <c r="E27" s="182" t="str">
        <f>IF(ISERROR((+(E26-D26)/D26)),"",(+(E26-D26)/D26))</f>
        <v/>
      </c>
      <c r="F27" s="182" t="str">
        <f>IF(ISERROR((+(F26-D26)/D26)),"",(+(F26-D26)/D26))</f>
        <v/>
      </c>
      <c r="G27" s="182"/>
      <c r="H27" s="182"/>
      <c r="J27" s="508"/>
      <c r="L27" s="182" t="str">
        <f>IF(ISERROR((+(G26-D26)/D26)),"",(+(G26-D26)/D26))</f>
        <v/>
      </c>
      <c r="M27" s="180"/>
      <c r="N27" s="172"/>
      <c r="O27" s="182"/>
      <c r="P27" s="172"/>
      <c r="Q27" s="172"/>
      <c r="R27" s="172"/>
      <c r="S27" s="172"/>
      <c r="T27" s="176"/>
      <c r="U27" s="172"/>
      <c r="V27" s="172"/>
    </row>
    <row r="28" spans="1:22" ht="10" customHeight="1" x14ac:dyDescent="0.2">
      <c r="A28" s="568"/>
      <c r="B28" s="152"/>
      <c r="C28" s="152"/>
      <c r="D28" s="152"/>
      <c r="E28" s="152"/>
      <c r="F28" s="152"/>
      <c r="G28" s="172"/>
      <c r="H28" s="172"/>
      <c r="I28" s="182"/>
      <c r="J28" s="508"/>
      <c r="K28" s="182"/>
      <c r="L28" s="190"/>
      <c r="M28" s="173"/>
      <c r="N28" s="173"/>
      <c r="O28" s="173"/>
      <c r="P28" s="173"/>
      <c r="Q28" s="173"/>
      <c r="R28" s="173"/>
      <c r="S28" s="173"/>
      <c r="T28" s="174"/>
      <c r="U28" s="172"/>
      <c r="V28" s="172"/>
    </row>
    <row r="29" spans="1:22" x14ac:dyDescent="0.2">
      <c r="A29" s="774" t="s">
        <v>466</v>
      </c>
      <c r="B29" s="774"/>
      <c r="C29" s="774"/>
      <c r="D29" s="774"/>
      <c r="E29" s="774"/>
      <c r="F29" s="774"/>
      <c r="G29" s="774"/>
      <c r="H29" s="650"/>
      <c r="I29" s="172"/>
      <c r="J29" s="508"/>
      <c r="K29" s="172"/>
      <c r="L29" s="173"/>
      <c r="M29" s="173"/>
      <c r="N29" s="173"/>
      <c r="O29" s="173"/>
      <c r="P29" s="173"/>
      <c r="Q29" s="173"/>
      <c r="R29" s="173"/>
      <c r="S29" s="173"/>
      <c r="T29" s="172"/>
      <c r="U29" s="172"/>
      <c r="V29" s="172"/>
    </row>
    <row r="30" spans="1:22" ht="15" customHeight="1" x14ac:dyDescent="0.2">
      <c r="A30" s="160"/>
      <c r="B30" s="161"/>
      <c r="C30" s="161"/>
      <c r="D30" s="161"/>
      <c r="E30" s="161"/>
      <c r="I30" s="161"/>
      <c r="J30" s="498" t="s">
        <v>456</v>
      </c>
      <c r="K30" s="161"/>
      <c r="L30" s="191"/>
      <c r="M30" s="191"/>
      <c r="N30" s="191"/>
      <c r="O30" s="175"/>
      <c r="P30" s="191"/>
      <c r="Q30" s="191"/>
      <c r="R30" s="191"/>
      <c r="S30" s="191"/>
    </row>
    <row r="31" spans="1:22" ht="19.5" customHeight="1" thickBot="1" x14ac:dyDescent="0.25">
      <c r="A31" s="160" t="s">
        <v>467</v>
      </c>
      <c r="B31" s="162">
        <f>+'IE Data Entry'!C29</f>
        <v>2022</v>
      </c>
      <c r="C31" s="162">
        <f>+'IE Data Entry'!D29</f>
        <v>2023</v>
      </c>
      <c r="D31" s="162">
        <f>+'IE Data Entry'!E29</f>
        <v>2024</v>
      </c>
      <c r="E31" s="162" t="str">
        <f>+'IE Data Entry'!F29</f>
        <v>Trailing 12</v>
      </c>
      <c r="F31" s="192" t="str">
        <f>Current_Year&amp;" Annualized"</f>
        <v>2025 Annualized</v>
      </c>
      <c r="G31" s="192" t="s">
        <v>453</v>
      </c>
      <c r="H31" s="192" t="s">
        <v>454</v>
      </c>
      <c r="I31" s="162" t="s">
        <v>468</v>
      </c>
      <c r="J31" s="499" t="s">
        <v>469</v>
      </c>
      <c r="K31" s="161"/>
      <c r="L31" s="191"/>
      <c r="M31" s="692" t="s">
        <v>459</v>
      </c>
      <c r="N31" s="191"/>
      <c r="O31" s="175"/>
      <c r="P31" s="191"/>
      <c r="Q31" s="191"/>
      <c r="R31" s="191"/>
      <c r="S31" s="191"/>
      <c r="T31" s="174" t="s">
        <v>470</v>
      </c>
    </row>
    <row r="32" spans="1:22" ht="16" thickBot="1" x14ac:dyDescent="0.25">
      <c r="A32" s="569" t="s">
        <v>471</v>
      </c>
      <c r="B32" s="193">
        <f>SUMIF('IE Data Entry'!$B$30:$B$100,'IE SUMMARY'!$T32,'IE Data Entry'!C$30:C$100)</f>
        <v>0</v>
      </c>
      <c r="C32" s="193">
        <f>SUMIF('IE Data Entry'!$B$30:$B$100,'IE SUMMARY'!$T32,'IE Data Entry'!D$30:D$100)</f>
        <v>0</v>
      </c>
      <c r="D32" s="193">
        <f>SUMIF('IE Data Entry'!$B$30:$B$100,'IE SUMMARY'!$T32,'IE Data Entry'!E$30:E$100)</f>
        <v>187049</v>
      </c>
      <c r="E32" s="193">
        <f>SUMIF('IE Data Entry'!$B$30:$B$100,'IE SUMMARY'!$T32,'IE Data Entry'!F$30:F$100)</f>
        <v>0</v>
      </c>
      <c r="F32" s="193">
        <f>SUMIF('IE Data Entry'!$B$30:$B$100,'IE SUMMARY'!$T32,'IE Data Entry'!H$30:H$100)</f>
        <v>0</v>
      </c>
      <c r="G32" s="193">
        <f>SUMIF('IE Data Entry'!$B$30:$B$100,'IE SUMMARY'!$T32,'IE Data Entry'!I$30:I$100)</f>
        <v>0</v>
      </c>
      <c r="H32" s="193">
        <f>SUMIF('IE Data Entry'!$B$30:$B$100,'IE SUMMARY'!$T32,'IE Data Entry'!J$30:J$100)</f>
        <v>96800</v>
      </c>
      <c r="I32" s="194">
        <f ca="1">+Proforma!F56*12</f>
        <v>187049</v>
      </c>
      <c r="J32" s="657">
        <f t="shared" ref="J32:J61" ca="1" si="8">IFERROR(I32-(AVERAGEIF(B32:G32,"&gt;0",B32:G32)),I32)</f>
        <v>0</v>
      </c>
      <c r="K32" s="199"/>
      <c r="L32" s="195"/>
      <c r="M32" s="694"/>
      <c r="N32" s="195"/>
      <c r="O32" s="175"/>
      <c r="P32" s="195"/>
      <c r="Q32" s="195"/>
      <c r="R32" s="195"/>
      <c r="S32" s="195"/>
      <c r="T32" s="176">
        <v>5701</v>
      </c>
    </row>
    <row r="33" spans="1:20" x14ac:dyDescent="0.2">
      <c r="A33" s="569" t="s">
        <v>193</v>
      </c>
      <c r="B33" s="196">
        <f>SUMIF('IE Data Entry'!$B$30:$B$100,'IE SUMMARY'!$T33,'IE Data Entry'!C$30:C$100)</f>
        <v>0</v>
      </c>
      <c r="C33" s="196">
        <f>SUMIF('IE Data Entry'!$B$30:$B$100,'IE SUMMARY'!$T33,'IE Data Entry'!D$30:D$100)</f>
        <v>0</v>
      </c>
      <c r="D33" s="196">
        <f>SUMIF('IE Data Entry'!$B$30:$B$100,'IE SUMMARY'!$T33,'IE Data Entry'!E$30:E$100)</f>
        <v>0</v>
      </c>
      <c r="E33" s="196">
        <f>SUMIF('IE Data Entry'!$B$30:$B$100,'IE SUMMARY'!$T33,'IE Data Entry'!F$30:F$100)</f>
        <v>0</v>
      </c>
      <c r="F33" s="196">
        <f>SUMIF('IE Data Entry'!$B$30:$B$100,'IE SUMMARY'!$T33,'IE Data Entry'!H$30:H$100)</f>
        <v>0</v>
      </c>
      <c r="G33" s="196">
        <f>SUMIF('IE Data Entry'!$B$30:$B$100,'IE SUMMARY'!$T33,'IE Data Entry'!I$30:I$100)</f>
        <v>0</v>
      </c>
      <c r="H33" s="196">
        <f>SUMIF('IE Data Entry'!$B$30:$B$100,'IE SUMMARY'!$T33,'IE Data Entry'!J$30:J$100)</f>
        <v>1645.6000000000001</v>
      </c>
      <c r="I33" s="197">
        <f ca="1">+Proforma!F57*12</f>
        <v>31798.33</v>
      </c>
      <c r="J33" s="657">
        <f t="shared" ca="1" si="8"/>
        <v>31798.33</v>
      </c>
      <c r="K33" s="199"/>
      <c r="L33" s="195"/>
      <c r="M33" s="195"/>
      <c r="N33" s="195"/>
      <c r="O33" s="175"/>
      <c r="P33" s="195"/>
      <c r="Q33" s="195"/>
      <c r="R33" s="195"/>
      <c r="S33" s="195"/>
      <c r="T33" s="176">
        <v>5305</v>
      </c>
    </row>
    <row r="34" spans="1:20" x14ac:dyDescent="0.2">
      <c r="A34" s="569" t="s">
        <v>194</v>
      </c>
      <c r="B34" s="196">
        <f>SUMIF('IE Data Entry'!$B$30:$B$100,'IE SUMMARY'!$T34,'IE Data Entry'!C$30:C$100)</f>
        <v>0</v>
      </c>
      <c r="C34" s="196">
        <f>SUMIF('IE Data Entry'!$B$30:$B$100,'IE SUMMARY'!$T34,'IE Data Entry'!D$30:D$100)</f>
        <v>0</v>
      </c>
      <c r="D34" s="196">
        <f>SUMIF('IE Data Entry'!$B$30:$B$100,'IE SUMMARY'!$T34,'IE Data Entry'!E$30:E$100)</f>
        <v>0</v>
      </c>
      <c r="E34" s="196">
        <f>SUMIF('IE Data Entry'!$B$30:$B$100,'IE SUMMARY'!$T34,'IE Data Entry'!F$30:F$100)</f>
        <v>0</v>
      </c>
      <c r="F34" s="196">
        <f>SUMIF('IE Data Entry'!$B$30:$B$100,'IE SUMMARY'!$T34,'IE Data Entry'!H$30:H$100)</f>
        <v>0</v>
      </c>
      <c r="G34" s="196">
        <f>SUMIF('IE Data Entry'!$B$30:$B$100,'IE SUMMARY'!$T34,'IE Data Entry'!I$30:I$100)</f>
        <v>0</v>
      </c>
      <c r="H34" s="196">
        <f>SUMIF('IE Data Entry'!$B$30:$B$100,'IE SUMMARY'!$T34,'IE Data Entry'!J$30:J$100)</f>
        <v>5808</v>
      </c>
      <c r="I34" s="197">
        <f ca="1">+Proforma!F58*12</f>
        <v>11222.939999999999</v>
      </c>
      <c r="J34" s="657">
        <f t="shared" ca="1" si="8"/>
        <v>11222.939999999999</v>
      </c>
      <c r="K34" s="199"/>
      <c r="L34" s="195"/>
      <c r="M34" s="195"/>
      <c r="N34" s="195"/>
      <c r="O34" s="175"/>
      <c r="P34" s="195"/>
      <c r="Q34" s="195"/>
      <c r="R34" s="195"/>
      <c r="S34" s="195"/>
      <c r="T34" s="176">
        <v>5306</v>
      </c>
    </row>
    <row r="35" spans="1:20" x14ac:dyDescent="0.2">
      <c r="A35" s="569" t="s">
        <v>176</v>
      </c>
      <c r="B35" s="196">
        <f>SUMIF('IE Data Entry'!$B$30:$B$100,'IE SUMMARY'!$T35,'IE Data Entry'!C$30:C$100)</f>
        <v>0</v>
      </c>
      <c r="C35" s="196">
        <f>SUMIF('IE Data Entry'!$B$30:$B$100,'IE SUMMARY'!$T35,'IE Data Entry'!D$30:D$100)</f>
        <v>0</v>
      </c>
      <c r="D35" s="196">
        <f>SUMIF('IE Data Entry'!$B$30:$B$100,'IE SUMMARY'!$T35,'IE Data Entry'!E$30:E$100)</f>
        <v>1759</v>
      </c>
      <c r="E35" s="196">
        <f>SUMIF('IE Data Entry'!$B$30:$B$100,'IE SUMMARY'!$T35,'IE Data Entry'!F$30:F$100)</f>
        <v>0</v>
      </c>
      <c r="F35" s="196">
        <f>SUMIF('IE Data Entry'!$B$30:$B$100,'IE SUMMARY'!$T35,'IE Data Entry'!H$30:H$100)</f>
        <v>0</v>
      </c>
      <c r="G35" s="196">
        <f>SUMIF('IE Data Entry'!$B$30:$B$100,'IE SUMMARY'!$T35,'IE Data Entry'!I$30:I$100)</f>
        <v>0</v>
      </c>
      <c r="H35" s="196">
        <f>SUMIF('IE Data Entry'!$B$30:$B$100,'IE SUMMARY'!$T35,'IE Data Entry'!J$30:J$100)</f>
        <v>0</v>
      </c>
      <c r="I35" s="197">
        <f ca="1">+Proforma!F59*12</f>
        <v>1794.1800000000003</v>
      </c>
      <c r="J35" s="657">
        <f t="shared" ca="1" si="8"/>
        <v>35.180000000000291</v>
      </c>
      <c r="K35" s="199"/>
      <c r="L35" s="195"/>
      <c r="M35" s="195"/>
      <c r="N35" s="195"/>
      <c r="O35" s="175"/>
      <c r="P35" s="195"/>
      <c r="Q35" s="195"/>
      <c r="R35" s="195"/>
      <c r="S35" s="195"/>
      <c r="T35" s="176">
        <v>5404</v>
      </c>
    </row>
    <row r="36" spans="1:20" x14ac:dyDescent="0.2">
      <c r="A36" s="569" t="s">
        <v>195</v>
      </c>
      <c r="B36" s="196">
        <f>SUMIF('IE Data Entry'!$B$30:$B$100,'IE SUMMARY'!$T36,'IE Data Entry'!C$30:C$100)</f>
        <v>0</v>
      </c>
      <c r="C36" s="196">
        <f>SUMIF('IE Data Entry'!$B$30:$B$100,'IE SUMMARY'!$T36,'IE Data Entry'!D$30:D$100)</f>
        <v>0</v>
      </c>
      <c r="D36" s="196">
        <f>SUMIF('IE Data Entry'!$B$30:$B$100,'IE SUMMARY'!$T36,'IE Data Entry'!E$30:E$100)</f>
        <v>0</v>
      </c>
      <c r="E36" s="196">
        <f>SUMIF('IE Data Entry'!$B$30:$B$100,'IE SUMMARY'!$T36,'IE Data Entry'!F$30:F$100)</f>
        <v>0</v>
      </c>
      <c r="F36" s="196">
        <f>SUMIF('IE Data Entry'!$B$30:$B$100,'IE SUMMARY'!$T36,'IE Data Entry'!H$30:H$100)</f>
        <v>0</v>
      </c>
      <c r="G36" s="196">
        <f>SUMIF('IE Data Entry'!$B$30:$B$100,'IE SUMMARY'!$T36,'IE Data Entry'!I$30:I$100)</f>
        <v>0</v>
      </c>
      <c r="H36" s="196">
        <f>SUMIF('IE Data Entry'!$B$30:$B$100,'IE SUMMARY'!$T36,'IE Data Entry'!J$30:J$100)</f>
        <v>0</v>
      </c>
      <c r="I36" s="197">
        <f ca="1">+Proforma!F60*12</f>
        <v>0</v>
      </c>
      <c r="J36" s="657">
        <f t="shared" ca="1" si="8"/>
        <v>0</v>
      </c>
      <c r="K36" s="199"/>
      <c r="L36" s="195"/>
      <c r="M36" s="195"/>
      <c r="N36" s="195"/>
      <c r="O36" s="175"/>
      <c r="P36" s="195"/>
      <c r="Q36" s="195"/>
      <c r="R36" s="195"/>
      <c r="S36" s="195"/>
      <c r="T36" s="176">
        <v>5401</v>
      </c>
    </row>
    <row r="37" spans="1:20" x14ac:dyDescent="0.2">
      <c r="A37" s="569" t="s">
        <v>178</v>
      </c>
      <c r="B37" s="196">
        <f>SUMIF('IE Data Entry'!$B$30:$B$100,'IE SUMMARY'!$T37,'IE Data Entry'!C$30:C$100)</f>
        <v>0</v>
      </c>
      <c r="C37" s="196">
        <f>SUMIF('IE Data Entry'!$B$30:$B$100,'IE SUMMARY'!$T37,'IE Data Entry'!D$30:D$100)</f>
        <v>0</v>
      </c>
      <c r="D37" s="196">
        <f>SUMIF('IE Data Entry'!$B$30:$B$100,'IE SUMMARY'!$T37,'IE Data Entry'!E$30:E$100)</f>
        <v>63258</v>
      </c>
      <c r="E37" s="196">
        <f>SUMIF('IE Data Entry'!$B$30:$B$100,'IE SUMMARY'!$T37,'IE Data Entry'!F$30:F$100)</f>
        <v>0</v>
      </c>
      <c r="F37" s="196">
        <f>SUMIF('IE Data Entry'!$B$30:$B$100,'IE SUMMARY'!$T37,'IE Data Entry'!H$30:H$100)</f>
        <v>0</v>
      </c>
      <c r="G37" s="196">
        <f>SUMIF('IE Data Entry'!$B$30:$B$100,'IE SUMMARY'!$T37,'IE Data Entry'!I$30:I$100)</f>
        <v>0</v>
      </c>
      <c r="H37" s="196">
        <f>SUMIF('IE Data Entry'!$B$30:$B$100,'IE SUMMARY'!$T37,'IE Data Entry'!J$30:J$100)</f>
        <v>0</v>
      </c>
      <c r="I37" s="197">
        <f ca="1">+Proforma!F61*12</f>
        <v>64523.16</v>
      </c>
      <c r="J37" s="657">
        <f t="shared" ca="1" si="8"/>
        <v>1265.1600000000035</v>
      </c>
      <c r="K37" s="199"/>
      <c r="L37" s="195"/>
      <c r="M37" s="195"/>
      <c r="N37" s="195"/>
      <c r="O37" s="175"/>
      <c r="P37" s="195"/>
      <c r="Q37" s="195"/>
      <c r="R37" s="195"/>
      <c r="S37" s="195"/>
      <c r="T37" s="176">
        <v>5405</v>
      </c>
    </row>
    <row r="38" spans="1:20" x14ac:dyDescent="0.2">
      <c r="A38" s="569" t="s">
        <v>196</v>
      </c>
      <c r="B38" s="196">
        <f>SUMIF('IE Data Entry'!$B$30:$B$100,'IE SUMMARY'!$T38,'IE Data Entry'!C$30:C$100)</f>
        <v>0</v>
      </c>
      <c r="C38" s="196">
        <f>SUMIF('IE Data Entry'!$B$30:$B$100,'IE SUMMARY'!$T38,'IE Data Entry'!D$30:D$100)</f>
        <v>0</v>
      </c>
      <c r="D38" s="196">
        <f>SUMIF('IE Data Entry'!$B$30:$B$100,'IE SUMMARY'!$T38,'IE Data Entry'!E$30:E$100)</f>
        <v>0</v>
      </c>
      <c r="E38" s="196">
        <f>SUMIF('IE Data Entry'!$B$30:$B$100,'IE SUMMARY'!$T38,'IE Data Entry'!F$30:F$100)</f>
        <v>0</v>
      </c>
      <c r="F38" s="196">
        <f>SUMIF('IE Data Entry'!$B$30:$B$100,'IE SUMMARY'!$T38,'IE Data Entry'!H$30:H$100)</f>
        <v>0</v>
      </c>
      <c r="G38" s="196">
        <f>SUMIF('IE Data Entry'!$B$30:$B$100,'IE SUMMARY'!$T38,'IE Data Entry'!I$30:I$100)</f>
        <v>0</v>
      </c>
      <c r="H38" s="196">
        <f>SUMIF('IE Data Entry'!$B$30:$B$100,'IE SUMMARY'!$T38,'IE Data Entry'!J$30:J$100)</f>
        <v>0</v>
      </c>
      <c r="I38" s="197">
        <f ca="1">+Proforma!F62*12</f>
        <v>0</v>
      </c>
      <c r="J38" s="657">
        <f t="shared" ca="1" si="8"/>
        <v>0</v>
      </c>
      <c r="K38" s="199"/>
      <c r="L38" s="195"/>
      <c r="M38" s="195"/>
      <c r="N38" s="195"/>
      <c r="O38" s="175"/>
      <c r="P38" s="195"/>
      <c r="Q38" s="195"/>
      <c r="R38" s="195"/>
      <c r="S38" s="195"/>
      <c r="T38" s="176">
        <v>5403</v>
      </c>
    </row>
    <row r="39" spans="1:20" x14ac:dyDescent="0.2">
      <c r="A39" s="569" t="s">
        <v>197</v>
      </c>
      <c r="B39" s="196">
        <f>SUMIF('IE Data Entry'!$B$30:$B$100,'IE SUMMARY'!$T39,'IE Data Entry'!C$30:C$100)</f>
        <v>0</v>
      </c>
      <c r="C39" s="196">
        <f>SUMIF('IE Data Entry'!$B$30:$B$100,'IE SUMMARY'!$T39,'IE Data Entry'!D$30:D$100)</f>
        <v>0</v>
      </c>
      <c r="D39" s="196">
        <f>SUMIF('IE Data Entry'!$B$30:$B$100,'IE SUMMARY'!$T39,'IE Data Entry'!E$30:E$100)</f>
        <v>6408</v>
      </c>
      <c r="E39" s="196">
        <f>SUMIF('IE Data Entry'!$B$30:$B$100,'IE SUMMARY'!$T39,'IE Data Entry'!F$30:F$100)</f>
        <v>0</v>
      </c>
      <c r="F39" s="196">
        <f>SUMIF('IE Data Entry'!$B$30:$B$100,'IE SUMMARY'!$T39,'IE Data Entry'!H$30:H$100)</f>
        <v>0</v>
      </c>
      <c r="G39" s="196">
        <f>SUMIF('IE Data Entry'!$B$30:$B$100,'IE SUMMARY'!$T39,'IE Data Entry'!I$30:I$100)</f>
        <v>0</v>
      </c>
      <c r="H39" s="196">
        <f>SUMIF('IE Data Entry'!$B$30:$B$100,'IE SUMMARY'!$T39,'IE Data Entry'!J$30:J$100)</f>
        <v>0</v>
      </c>
      <c r="I39" s="197">
        <f ca="1">+Proforma!F63*12</f>
        <v>6536.16</v>
      </c>
      <c r="J39" s="657">
        <f t="shared" ca="1" si="8"/>
        <v>128.15999999999985</v>
      </c>
      <c r="K39" s="199"/>
      <c r="L39" s="195"/>
      <c r="M39" s="195"/>
      <c r="N39" s="195"/>
      <c r="O39" s="175"/>
      <c r="P39" s="195"/>
      <c r="Q39" s="195"/>
      <c r="R39" s="195"/>
      <c r="S39" s="195"/>
      <c r="T39" s="176">
        <v>5402</v>
      </c>
    </row>
    <row r="40" spans="1:20" x14ac:dyDescent="0.2">
      <c r="A40" s="569" t="s">
        <v>198</v>
      </c>
      <c r="B40" s="196">
        <f>SUMIF('IE Data Entry'!$B$30:$B$100,'IE SUMMARY'!$T40,'IE Data Entry'!C$30:C$100)</f>
        <v>0</v>
      </c>
      <c r="C40" s="196">
        <f>SUMIF('IE Data Entry'!$B$30:$B$100,'IE SUMMARY'!$T40,'IE Data Entry'!D$30:D$100)</f>
        <v>0</v>
      </c>
      <c r="D40" s="196">
        <f>SUMIF('IE Data Entry'!$B$30:$B$100,'IE SUMMARY'!$T40,'IE Data Entry'!E$30:E$100)</f>
        <v>1601</v>
      </c>
      <c r="E40" s="196">
        <f>SUMIF('IE Data Entry'!$B$30:$B$100,'IE SUMMARY'!$T40,'IE Data Entry'!F$30:F$100)</f>
        <v>0</v>
      </c>
      <c r="F40" s="196">
        <f>SUMIF('IE Data Entry'!$B$30:$B$100,'IE SUMMARY'!$T40,'IE Data Entry'!H$30:H$100)</f>
        <v>0</v>
      </c>
      <c r="G40" s="196">
        <f>SUMIF('IE Data Entry'!$B$30:$B$100,'IE SUMMARY'!$T40,'IE Data Entry'!I$30:I$100)</f>
        <v>0</v>
      </c>
      <c r="H40" s="196">
        <f>SUMIF('IE Data Entry'!$B$30:$B$100,'IE SUMMARY'!$T40,'IE Data Entry'!J$30:J$100)</f>
        <v>0</v>
      </c>
      <c r="I40" s="197">
        <f>+Proforma!F64*12</f>
        <v>4000</v>
      </c>
      <c r="J40" s="657">
        <f t="shared" si="8"/>
        <v>2399</v>
      </c>
      <c r="K40" s="199"/>
      <c r="L40" s="195"/>
      <c r="M40" s="195"/>
      <c r="N40" s="195"/>
      <c r="O40" s="175"/>
      <c r="P40" s="195"/>
      <c r="Q40" s="195"/>
      <c r="R40" s="195"/>
      <c r="S40" s="195"/>
      <c r="T40" s="176">
        <v>5603</v>
      </c>
    </row>
    <row r="41" spans="1:20" x14ac:dyDescent="0.2">
      <c r="A41" s="569" t="s">
        <v>199</v>
      </c>
      <c r="B41" s="196">
        <f>SUMIF('IE Data Entry'!$B$30:$B$100,'IE SUMMARY'!$T41,'IE Data Entry'!C$30:C$100)</f>
        <v>0</v>
      </c>
      <c r="C41" s="196">
        <f>SUMIF('IE Data Entry'!$B$30:$B$100,'IE SUMMARY'!$T41,'IE Data Entry'!D$30:D$100)</f>
        <v>0</v>
      </c>
      <c r="D41" s="196">
        <f>SUMIF('IE Data Entry'!$B$30:$B$100,'IE SUMMARY'!$T41,'IE Data Entry'!E$30:E$100)</f>
        <v>11558</v>
      </c>
      <c r="E41" s="196">
        <f>SUMIF('IE Data Entry'!$B$30:$B$100,'IE SUMMARY'!$T41,'IE Data Entry'!F$30:F$100)</f>
        <v>0</v>
      </c>
      <c r="F41" s="196">
        <f>SUMIF('IE Data Entry'!$B$30:$B$100,'IE SUMMARY'!$T41,'IE Data Entry'!H$30:H$100)</f>
        <v>0</v>
      </c>
      <c r="G41" s="196">
        <f>SUMIF('IE Data Entry'!$B$30:$B$100,'IE SUMMARY'!$T41,'IE Data Entry'!I$30:I$100)</f>
        <v>0</v>
      </c>
      <c r="H41" s="196">
        <f>SUMIF('IE Data Entry'!$B$30:$B$100,'IE SUMMARY'!$T41,'IE Data Entry'!J$30:J$100)</f>
        <v>0</v>
      </c>
      <c r="I41" s="197">
        <f>+Proforma!F65*12</f>
        <v>12500</v>
      </c>
      <c r="J41" s="657">
        <f t="shared" si="8"/>
        <v>942</v>
      </c>
      <c r="K41" s="199"/>
      <c r="L41" s="195"/>
      <c r="M41" s="195"/>
      <c r="N41" s="195"/>
      <c r="O41" s="175"/>
      <c r="P41" s="195"/>
      <c r="Q41" s="195"/>
      <c r="R41" s="195"/>
      <c r="S41" s="195"/>
      <c r="T41" s="176">
        <v>5020</v>
      </c>
    </row>
    <row r="42" spans="1:20" x14ac:dyDescent="0.2">
      <c r="A42" s="569" t="s">
        <v>472</v>
      </c>
      <c r="B42" s="196">
        <f>SUMIF('IE Data Entry'!$B$30:$B$100,'IE SUMMARY'!$T42,'IE Data Entry'!C$30:C$100)</f>
        <v>0</v>
      </c>
      <c r="C42" s="196">
        <f>SUMIF('IE Data Entry'!$B$30:$B$100,'IE SUMMARY'!$T42,'IE Data Entry'!D$30:D$100)</f>
        <v>0</v>
      </c>
      <c r="D42" s="196">
        <f>SUMIF('IE Data Entry'!$B$30:$B$100,'IE SUMMARY'!$T42,'IE Data Entry'!E$30:E$100)</f>
        <v>58699</v>
      </c>
      <c r="E42" s="196">
        <f>SUMIF('IE Data Entry'!$B$30:$B$100,'IE SUMMARY'!$T42,'IE Data Entry'!F$30:F$100)</f>
        <v>0</v>
      </c>
      <c r="F42" s="196">
        <f>SUMIF('IE Data Entry'!$B$30:$B$100,'IE SUMMARY'!$T42,'IE Data Entry'!H$30:H$100)</f>
        <v>0</v>
      </c>
      <c r="G42" s="196">
        <f>SUMIF('IE Data Entry'!$B$30:$B$100,'IE SUMMARY'!$T42,'IE Data Entry'!I$30:I$100)</f>
        <v>0</v>
      </c>
      <c r="H42" s="196">
        <f>SUMIF('IE Data Entry'!$B$30:$B$100,'IE SUMMARY'!$T42,'IE Data Entry'!J$30:J$100)</f>
        <v>60500</v>
      </c>
      <c r="I42" s="197">
        <f>+Proforma!F66*12</f>
        <v>60500</v>
      </c>
      <c r="J42" s="657">
        <f t="shared" si="8"/>
        <v>1801</v>
      </c>
      <c r="K42" s="199"/>
      <c r="L42" s="195"/>
      <c r="M42" s="195"/>
      <c r="N42" s="195"/>
      <c r="O42" s="175"/>
      <c r="P42" s="195"/>
      <c r="Q42" s="195"/>
      <c r="R42" s="195"/>
      <c r="S42" s="195"/>
      <c r="T42" s="176">
        <v>5104</v>
      </c>
    </row>
    <row r="43" spans="1:20" x14ac:dyDescent="0.2">
      <c r="A43" s="569" t="s">
        <v>473</v>
      </c>
      <c r="B43" s="196">
        <f>SUMIF('IE Data Entry'!$B$30:$B$100,'IE SUMMARY'!$T43,'IE Data Entry'!C$30:C$100)</f>
        <v>0</v>
      </c>
      <c r="C43" s="196">
        <f>SUMIF('IE Data Entry'!$B$30:$B$100,'IE SUMMARY'!$T43,'IE Data Entry'!D$30:D$100)</f>
        <v>0</v>
      </c>
      <c r="D43" s="196">
        <f>SUMIF('IE Data Entry'!$B$30:$B$100,'IE SUMMARY'!$T43,'IE Data Entry'!E$30:E$100)</f>
        <v>15349</v>
      </c>
      <c r="E43" s="196">
        <f>SUMIF('IE Data Entry'!$B$30:$B$100,'IE SUMMARY'!$T43,'IE Data Entry'!F$30:F$100)</f>
        <v>0</v>
      </c>
      <c r="F43" s="196">
        <f>SUMIF('IE Data Entry'!$B$30:$B$100,'IE SUMMARY'!$T43,'IE Data Entry'!H$30:H$100)</f>
        <v>0</v>
      </c>
      <c r="G43" s="196">
        <f>SUMIF('IE Data Entry'!$B$30:$B$100,'IE SUMMARY'!$T43,'IE Data Entry'!I$30:I$100)</f>
        <v>0</v>
      </c>
      <c r="H43" s="196">
        <f>SUMIF('IE Data Entry'!$B$30:$B$100,'IE SUMMARY'!$T43,'IE Data Entry'!J$30:J$100)</f>
        <v>12100</v>
      </c>
      <c r="I43" s="197">
        <f ca="1">+Proforma!F67*12</f>
        <v>15655.98</v>
      </c>
      <c r="J43" s="657">
        <f t="shared" ca="1" si="8"/>
        <v>306.97999999999956</v>
      </c>
      <c r="K43" s="199"/>
      <c r="L43" s="195"/>
      <c r="M43" s="195"/>
      <c r="N43" s="195"/>
      <c r="O43" s="175"/>
      <c r="P43" s="195"/>
      <c r="Q43" s="195"/>
      <c r="R43" s="195"/>
      <c r="S43" s="195"/>
      <c r="T43" s="176">
        <v>5109</v>
      </c>
    </row>
    <row r="44" spans="1:20" x14ac:dyDescent="0.2">
      <c r="A44" s="569" t="s">
        <v>474</v>
      </c>
      <c r="B44" s="196">
        <f>SUMIF('IE Data Entry'!$B$30:$B$100,'IE SUMMARY'!$T44,'IE Data Entry'!C$30:C$100)</f>
        <v>0</v>
      </c>
      <c r="C44" s="196">
        <f>SUMIF('IE Data Entry'!$B$30:$B$100,'IE SUMMARY'!$T44,'IE Data Entry'!D$30:D$100)</f>
        <v>0</v>
      </c>
      <c r="D44" s="196">
        <f>SUMIF('IE Data Entry'!$B$30:$B$100,'IE SUMMARY'!$T44,'IE Data Entry'!E$30:E$100)</f>
        <v>36977</v>
      </c>
      <c r="E44" s="196">
        <f>SUMIF('IE Data Entry'!$B$30:$B$100,'IE SUMMARY'!$T44,'IE Data Entry'!F$30:F$100)</f>
        <v>0</v>
      </c>
      <c r="F44" s="196">
        <f>SUMIF('IE Data Entry'!$B$30:$B$100,'IE SUMMARY'!$T44,'IE Data Entry'!H$30:H$100)</f>
        <v>0</v>
      </c>
      <c r="G44" s="196">
        <f>SUMIF('IE Data Entry'!$B$30:$B$100,'IE SUMMARY'!$T44,'IE Data Entry'!I$30:I$100)</f>
        <v>0</v>
      </c>
      <c r="H44" s="196">
        <f>SUMIF('IE Data Entry'!$B$30:$B$100,'IE SUMMARY'!$T44,'IE Data Entry'!J$30:J$100)</f>
        <v>12100</v>
      </c>
      <c r="I44" s="197">
        <f ca="1">+Proforma!F68*12</f>
        <v>37716.54</v>
      </c>
      <c r="J44" s="657">
        <f t="shared" ca="1" si="8"/>
        <v>739.54000000000087</v>
      </c>
      <c r="K44" s="199"/>
      <c r="L44" s="195"/>
      <c r="M44" s="195"/>
      <c r="N44" s="195"/>
      <c r="O44" s="175"/>
      <c r="P44" s="195"/>
      <c r="Q44" s="195"/>
      <c r="R44" s="195"/>
      <c r="S44" s="195"/>
      <c r="T44" s="176">
        <v>5200</v>
      </c>
    </row>
    <row r="45" spans="1:20" x14ac:dyDescent="0.2">
      <c r="A45" s="198" t="s">
        <v>449</v>
      </c>
      <c r="B45" s="196">
        <f>SUMIF('IE Data Entry'!$B$30:$B$100,'IE SUMMARY'!$T45,'IE Data Entry'!C$30:C$100)</f>
        <v>0</v>
      </c>
      <c r="C45" s="196">
        <f>SUMIF('IE Data Entry'!$B$30:$B$100,'IE SUMMARY'!$T45,'IE Data Entry'!D$30:D$100)</f>
        <v>0</v>
      </c>
      <c r="D45" s="196">
        <f>SUMIF('IE Data Entry'!$B$30:$B$100,'IE SUMMARY'!$T45,'IE Data Entry'!E$30:E$100)</f>
        <v>160319</v>
      </c>
      <c r="E45" s="196">
        <f>SUMIF('IE Data Entry'!$B$30:$B$100,'IE SUMMARY'!$T45,'IE Data Entry'!F$30:F$100)</f>
        <v>0</v>
      </c>
      <c r="F45" s="196">
        <f>SUMIF('IE Data Entry'!$B$30:$B$100,'IE SUMMARY'!$T45,'IE Data Entry'!H$30:H$100)</f>
        <v>0</v>
      </c>
      <c r="G45" s="196">
        <f>SUMIF('IE Data Entry'!$B$30:$B$100,'IE SUMMARY'!$T45,'IE Data Entry'!I$30:I$100)</f>
        <v>0</v>
      </c>
      <c r="H45" s="196">
        <f>SUMIF('IE Data Entry'!$B$30:$B$100,'IE SUMMARY'!$T45,'IE Data Entry'!J$30:J$100)</f>
        <v>97900</v>
      </c>
      <c r="I45" s="197">
        <f>+Proforma!F69*12</f>
        <v>82500</v>
      </c>
      <c r="J45" s="657">
        <f t="shared" ref="J45:J55" si="9">IFERROR(I45-(AVERAGEIF(B45:G45,"&gt;0",B45:G45)),I45)</f>
        <v>-77819</v>
      </c>
      <c r="K45" s="199"/>
      <c r="L45" s="195"/>
      <c r="M45" s="195"/>
      <c r="N45" s="195"/>
      <c r="O45" s="175"/>
      <c r="P45" s="195"/>
      <c r="Q45" s="195"/>
      <c r="R45" s="195"/>
      <c r="S45" s="195"/>
      <c r="T45" s="176">
        <v>5301</v>
      </c>
    </row>
    <row r="46" spans="1:20" x14ac:dyDescent="0.2">
      <c r="A46" s="569" t="s">
        <v>203</v>
      </c>
      <c r="B46" s="196">
        <f>SUMIF('IE Data Entry'!$B$30:$B$100,'IE SUMMARY'!$T46,'IE Data Entry'!C$30:C$100)</f>
        <v>0</v>
      </c>
      <c r="C46" s="196">
        <f>SUMIF('IE Data Entry'!$B$30:$B$100,'IE SUMMARY'!$T46,'IE Data Entry'!D$30:D$100)</f>
        <v>0</v>
      </c>
      <c r="D46" s="196">
        <f>SUMIF('IE Data Entry'!$B$30:$B$100,'IE SUMMARY'!$T46,'IE Data Entry'!E$30:E$100)</f>
        <v>28392</v>
      </c>
      <c r="E46" s="196">
        <f>SUMIF('IE Data Entry'!$B$30:$B$100,'IE SUMMARY'!$T46,'IE Data Entry'!F$30:F$100)</f>
        <v>0</v>
      </c>
      <c r="F46" s="196">
        <f>SUMIF('IE Data Entry'!$B$30:$B$100,'IE SUMMARY'!$T46,'IE Data Entry'!H$30:H$100)</f>
        <v>0</v>
      </c>
      <c r="G46" s="196">
        <f>SUMIF('IE Data Entry'!$B$30:$B$100,'IE SUMMARY'!$T46,'IE Data Entry'!I$30:I$100)</f>
        <v>0</v>
      </c>
      <c r="H46" s="196">
        <f>SUMIF('IE Data Entry'!$B$30:$B$100,'IE SUMMARY'!$T46,'IE Data Entry'!J$30:J$100)</f>
        <v>16940</v>
      </c>
      <c r="I46" s="197">
        <f ca="1">+Proforma!F70*12</f>
        <v>28392</v>
      </c>
      <c r="J46" s="657">
        <f t="shared" ca="1" si="9"/>
        <v>0</v>
      </c>
      <c r="K46" s="199"/>
      <c r="L46" s="195"/>
      <c r="M46" s="195"/>
      <c r="N46" s="195"/>
      <c r="O46" s="175"/>
      <c r="P46" s="195"/>
      <c r="Q46" s="195"/>
      <c r="R46" s="195"/>
      <c r="S46" s="195"/>
      <c r="T46" s="176">
        <v>5053</v>
      </c>
    </row>
    <row r="47" spans="1:20" x14ac:dyDescent="0.2">
      <c r="A47" s="569" t="s">
        <v>204</v>
      </c>
      <c r="B47" s="196">
        <f>SUMIF('IE Data Entry'!$B$30:$B$100,'IE SUMMARY'!$T47,'IE Data Entry'!C$30:C$100)</f>
        <v>0</v>
      </c>
      <c r="C47" s="196">
        <f>SUMIF('IE Data Entry'!$B$30:$B$100,'IE SUMMARY'!$T47,'IE Data Entry'!D$30:D$100)</f>
        <v>0</v>
      </c>
      <c r="D47" s="196">
        <f>SUMIF('IE Data Entry'!$B$30:$B$100,'IE SUMMARY'!$T47,'IE Data Entry'!E$30:E$100)</f>
        <v>0</v>
      </c>
      <c r="E47" s="196">
        <f>SUMIF('IE Data Entry'!$B$30:$B$100,'IE SUMMARY'!$T47,'IE Data Entry'!F$30:F$100)</f>
        <v>0</v>
      </c>
      <c r="F47" s="196">
        <f>SUMIF('IE Data Entry'!$B$30:$B$100,'IE SUMMARY'!$T47,'IE Data Entry'!H$30:H$100)</f>
        <v>0</v>
      </c>
      <c r="G47" s="196">
        <f>SUMIF('IE Data Entry'!$B$30:$B$100,'IE SUMMARY'!$T47,'IE Data Entry'!I$30:I$100)</f>
        <v>0</v>
      </c>
      <c r="H47" s="196">
        <f>SUMIF('IE Data Entry'!$B$30:$B$100,'IE SUMMARY'!$T47,'IE Data Entry'!J$30:J$100)</f>
        <v>0</v>
      </c>
      <c r="I47" s="197">
        <f>+Proforma!F71*12</f>
        <v>1095</v>
      </c>
      <c r="J47" s="657">
        <f t="shared" si="9"/>
        <v>1095</v>
      </c>
      <c r="K47" s="199"/>
      <c r="L47" s="195"/>
      <c r="M47" s="195"/>
      <c r="N47" s="195"/>
      <c r="O47" s="175"/>
      <c r="P47" s="195"/>
      <c r="Q47" s="195"/>
      <c r="R47" s="195"/>
      <c r="S47" s="195"/>
      <c r="T47" s="176">
        <v>5604</v>
      </c>
    </row>
    <row r="48" spans="1:20" x14ac:dyDescent="0.2">
      <c r="A48" s="569" t="s">
        <v>205</v>
      </c>
      <c r="B48" s="196">
        <f>SUMIF('IE Data Entry'!$B$30:$B$100,'IE SUMMARY'!$T48,'IE Data Entry'!C$30:C$100)</f>
        <v>0</v>
      </c>
      <c r="C48" s="196">
        <f>SUMIF('IE Data Entry'!$B$30:$B$100,'IE SUMMARY'!$T48,'IE Data Entry'!D$30:D$100)</f>
        <v>0</v>
      </c>
      <c r="D48" s="196">
        <f>SUMIF('IE Data Entry'!$B$30:$B$100,'IE SUMMARY'!$T48,'IE Data Entry'!E$30:E$100)</f>
        <v>10985</v>
      </c>
      <c r="E48" s="196">
        <f>SUMIF('IE Data Entry'!$B$30:$B$100,'IE SUMMARY'!$T48,'IE Data Entry'!F$30:F$100)</f>
        <v>0</v>
      </c>
      <c r="F48" s="196">
        <f>SUMIF('IE Data Entry'!$B$30:$B$100,'IE SUMMARY'!$T48,'IE Data Entry'!H$30:H$100)</f>
        <v>0</v>
      </c>
      <c r="G48" s="196">
        <f>SUMIF('IE Data Entry'!$B$30:$B$100,'IE SUMMARY'!$T48,'IE Data Entry'!I$30:I$100)</f>
        <v>0</v>
      </c>
      <c r="H48" s="196">
        <f>SUMIF('IE Data Entry'!$B$30:$B$100,'IE SUMMARY'!$T48,'IE Data Entry'!J$30:J$100)</f>
        <v>0</v>
      </c>
      <c r="I48" s="197">
        <f>+Proforma!F72*12</f>
        <v>2500</v>
      </c>
      <c r="J48" s="657">
        <f t="shared" si="9"/>
        <v>-8485</v>
      </c>
      <c r="K48" s="199"/>
      <c r="L48" s="195"/>
      <c r="M48" s="195"/>
      <c r="N48" s="195"/>
      <c r="O48" s="175"/>
      <c r="P48" s="195"/>
      <c r="Q48" s="195"/>
      <c r="R48" s="195"/>
      <c r="S48" s="195"/>
      <c r="T48" s="176">
        <v>5062</v>
      </c>
    </row>
    <row r="49" spans="1:20" x14ac:dyDescent="0.2">
      <c r="A49" s="569" t="s">
        <v>206</v>
      </c>
      <c r="B49" s="196">
        <f>SUMIF('IE Data Entry'!$B$30:$B$100,'IE SUMMARY'!$T49,'IE Data Entry'!C$30:C$100)</f>
        <v>0</v>
      </c>
      <c r="C49" s="196">
        <f>SUMIF('IE Data Entry'!$B$30:$B$100,'IE SUMMARY'!$T49,'IE Data Entry'!D$30:D$100)</f>
        <v>0</v>
      </c>
      <c r="D49" s="196">
        <f>SUMIF('IE Data Entry'!$B$30:$B$100,'IE SUMMARY'!$T49,'IE Data Entry'!E$30:E$100)</f>
        <v>0</v>
      </c>
      <c r="E49" s="196">
        <f>SUMIF('IE Data Entry'!$B$30:$B$100,'IE SUMMARY'!$T49,'IE Data Entry'!F$30:F$100)</f>
        <v>0</v>
      </c>
      <c r="F49" s="196">
        <f>SUMIF('IE Data Entry'!$B$30:$B$100,'IE SUMMARY'!$T49,'IE Data Entry'!H$30:H$100)</f>
        <v>0</v>
      </c>
      <c r="G49" s="196">
        <f>SUMIF('IE Data Entry'!$B$30:$B$100,'IE SUMMARY'!$T49,'IE Data Entry'!I$30:I$100)</f>
        <v>0</v>
      </c>
      <c r="H49" s="196">
        <f>SUMIF('IE Data Entry'!$B$30:$B$100,'IE SUMMARY'!$T49,'IE Data Entry'!J$30:J$100)</f>
        <v>0</v>
      </c>
      <c r="I49" s="197">
        <f>+Proforma!F73*12</f>
        <v>1700</v>
      </c>
      <c r="J49" s="657">
        <f t="shared" si="9"/>
        <v>1700</v>
      </c>
      <c r="K49" s="199"/>
      <c r="L49" s="195"/>
      <c r="M49" s="195"/>
      <c r="N49" s="195"/>
      <c r="O49" s="175"/>
      <c r="P49" s="195"/>
      <c r="Q49" s="195"/>
      <c r="R49" s="195"/>
      <c r="S49" s="195"/>
      <c r="T49" s="176">
        <v>5302</v>
      </c>
    </row>
    <row r="50" spans="1:20" x14ac:dyDescent="0.2">
      <c r="A50" s="569" t="s">
        <v>207</v>
      </c>
      <c r="B50" s="196">
        <f>SUMIF('IE Data Entry'!$B$30:$B$100,'IE SUMMARY'!$T50,'IE Data Entry'!C$30:C$100)</f>
        <v>0</v>
      </c>
      <c r="C50" s="196">
        <f>SUMIF('IE Data Entry'!$B$30:$B$100,'IE SUMMARY'!$T50,'IE Data Entry'!D$30:D$100)</f>
        <v>0</v>
      </c>
      <c r="D50" s="196">
        <f>SUMIF('IE Data Entry'!$B$30:$B$100,'IE SUMMARY'!$T50,'IE Data Entry'!E$30:E$100)</f>
        <v>1826</v>
      </c>
      <c r="E50" s="196">
        <f>SUMIF('IE Data Entry'!$B$30:$B$100,'IE SUMMARY'!$T50,'IE Data Entry'!F$30:F$100)</f>
        <v>0</v>
      </c>
      <c r="F50" s="196">
        <f>SUMIF('IE Data Entry'!$B$30:$B$100,'IE SUMMARY'!$T50,'IE Data Entry'!H$30:H$100)</f>
        <v>0</v>
      </c>
      <c r="G50" s="196">
        <f>SUMIF('IE Data Entry'!$B$30:$B$100,'IE SUMMARY'!$T50,'IE Data Entry'!I$30:I$100)</f>
        <v>0</v>
      </c>
      <c r="H50" s="196">
        <f>SUMIF('IE Data Entry'!$B$30:$B$100,'IE SUMMARY'!$T50,'IE Data Entry'!J$30:J$100)</f>
        <v>0</v>
      </c>
      <c r="I50" s="197">
        <f>+Proforma!F74*12</f>
        <v>0</v>
      </c>
      <c r="J50" s="657">
        <f t="shared" si="9"/>
        <v>-1826</v>
      </c>
      <c r="K50" s="199"/>
      <c r="L50" s="195"/>
      <c r="M50" s="195"/>
      <c r="N50" s="195"/>
      <c r="O50" s="175"/>
      <c r="P50" s="195"/>
      <c r="Q50" s="195"/>
      <c r="R50" s="195"/>
      <c r="S50" s="195"/>
      <c r="T50" s="176">
        <v>5001</v>
      </c>
    </row>
    <row r="51" spans="1:20" x14ac:dyDescent="0.2">
      <c r="A51" s="569" t="s">
        <v>208</v>
      </c>
      <c r="B51" s="196">
        <f>SUMIF('IE Data Entry'!$B$30:$B$100,'IE SUMMARY'!$T51,'IE Data Entry'!C$30:C$100)</f>
        <v>0</v>
      </c>
      <c r="C51" s="196">
        <f>SUMIF('IE Data Entry'!$B$30:$B$100,'IE SUMMARY'!$T51,'IE Data Entry'!D$30:D$100)</f>
        <v>0</v>
      </c>
      <c r="D51" s="196">
        <f>SUMIF('IE Data Entry'!$B$30:$B$100,'IE SUMMARY'!$T51,'IE Data Entry'!E$30:E$100)</f>
        <v>0</v>
      </c>
      <c r="E51" s="196">
        <f>SUMIF('IE Data Entry'!$B$30:$B$100,'IE SUMMARY'!$T51,'IE Data Entry'!F$30:F$100)</f>
        <v>0</v>
      </c>
      <c r="F51" s="196">
        <f>SUMIF('IE Data Entry'!$B$30:$B$100,'IE SUMMARY'!$T51,'IE Data Entry'!H$30:H$100)</f>
        <v>0</v>
      </c>
      <c r="G51" s="196">
        <f>SUMIF('IE Data Entry'!$B$30:$B$100,'IE SUMMARY'!$T51,'IE Data Entry'!I$30:I$100)</f>
        <v>0</v>
      </c>
      <c r="H51" s="196">
        <f>SUMIF('IE Data Entry'!$B$30:$B$100,'IE SUMMARY'!$T51,'IE Data Entry'!J$30:J$100)</f>
        <v>0</v>
      </c>
      <c r="I51" s="197">
        <f>+Proforma!F75*12</f>
        <v>2450</v>
      </c>
      <c r="J51" s="657">
        <f t="shared" si="9"/>
        <v>2450</v>
      </c>
      <c r="K51" s="199"/>
      <c r="L51" s="195"/>
      <c r="M51" s="195"/>
      <c r="N51" s="195"/>
      <c r="O51" s="175"/>
      <c r="P51" s="195"/>
      <c r="Q51" s="195"/>
      <c r="R51" s="195"/>
      <c r="S51" s="195"/>
      <c r="T51" s="176">
        <v>5061</v>
      </c>
    </row>
    <row r="52" spans="1:20" x14ac:dyDescent="0.2">
      <c r="A52" s="569" t="s">
        <v>209</v>
      </c>
      <c r="B52" s="196">
        <f>SUMIF('IE Data Entry'!$B$30:$B$100,'IE SUMMARY'!$T52,'IE Data Entry'!C$30:C$100)</f>
        <v>0</v>
      </c>
      <c r="C52" s="196">
        <f>SUMIF('IE Data Entry'!$B$30:$B$100,'IE SUMMARY'!$T52,'IE Data Entry'!D$30:D$100)</f>
        <v>0</v>
      </c>
      <c r="D52" s="196">
        <f>SUMIF('IE Data Entry'!$B$30:$B$100,'IE SUMMARY'!$T52,'IE Data Entry'!E$30:E$100)</f>
        <v>0</v>
      </c>
      <c r="E52" s="196">
        <f>SUMIF('IE Data Entry'!$B$30:$B$100,'IE SUMMARY'!$T52,'IE Data Entry'!F$30:F$100)</f>
        <v>0</v>
      </c>
      <c r="F52" s="196">
        <f>SUMIF('IE Data Entry'!$B$30:$B$100,'IE SUMMARY'!$T52,'IE Data Entry'!H$30:H$100)</f>
        <v>0</v>
      </c>
      <c r="G52" s="196">
        <f>SUMIF('IE Data Entry'!$B$30:$B$100,'IE SUMMARY'!$T52,'IE Data Entry'!I$30:I$100)</f>
        <v>0</v>
      </c>
      <c r="H52" s="196">
        <f>SUMIF('IE Data Entry'!$B$30:$B$100,'IE SUMMARY'!$T52,'IE Data Entry'!J$30:J$100)</f>
        <v>500</v>
      </c>
      <c r="I52" s="197">
        <f ca="1">+Proforma!F76*12</f>
        <v>0</v>
      </c>
      <c r="J52" s="657">
        <f t="shared" ca="1" si="9"/>
        <v>0</v>
      </c>
      <c r="K52" s="199"/>
      <c r="L52" s="195"/>
      <c r="M52" s="195"/>
      <c r="N52" s="195"/>
      <c r="O52" s="175"/>
      <c r="P52" s="195"/>
      <c r="Q52" s="195"/>
      <c r="R52" s="195"/>
      <c r="S52" s="195"/>
      <c r="T52" s="176">
        <v>5304</v>
      </c>
    </row>
    <row r="53" spans="1:20" x14ac:dyDescent="0.2">
      <c r="A53" s="569" t="s">
        <v>210</v>
      </c>
      <c r="B53" s="196">
        <f>SUMIF('IE Data Entry'!$B$30:$B$100,'IE SUMMARY'!$T53,'IE Data Entry'!C$30:C$100)</f>
        <v>0</v>
      </c>
      <c r="C53" s="196">
        <f>SUMIF('IE Data Entry'!$B$30:$B$100,'IE SUMMARY'!$T53,'IE Data Entry'!D$30:D$100)</f>
        <v>0</v>
      </c>
      <c r="D53" s="196">
        <f>SUMIF('IE Data Entry'!$B$30:$B$100,'IE SUMMARY'!$T53,'IE Data Entry'!E$30:E$100)</f>
        <v>1468</v>
      </c>
      <c r="E53" s="196">
        <f>SUMIF('IE Data Entry'!$B$30:$B$100,'IE SUMMARY'!$T53,'IE Data Entry'!F$30:F$100)</f>
        <v>0</v>
      </c>
      <c r="F53" s="196">
        <f>SUMIF('IE Data Entry'!$B$30:$B$100,'IE SUMMARY'!$T53,'IE Data Entry'!H$30:H$100)</f>
        <v>0</v>
      </c>
      <c r="G53" s="196">
        <f>SUMIF('IE Data Entry'!$B$30:$B$100,'IE SUMMARY'!$T53,'IE Data Entry'!I$30:I$100)</f>
        <v>0</v>
      </c>
      <c r="H53" s="196">
        <f>SUMIF('IE Data Entry'!$B$30:$B$100,'IE SUMMARY'!$T53,'IE Data Entry'!J$30:J$100)</f>
        <v>250</v>
      </c>
      <c r="I53" s="197">
        <f>+Proforma!F77*12</f>
        <v>3504</v>
      </c>
      <c r="J53" s="657">
        <f t="shared" si="9"/>
        <v>2036</v>
      </c>
      <c r="K53" s="199"/>
      <c r="L53" s="195"/>
      <c r="M53" s="195"/>
      <c r="N53" s="195"/>
      <c r="O53" s="175"/>
      <c r="P53" s="195"/>
      <c r="Q53" s="195"/>
      <c r="R53" s="195"/>
      <c r="S53" s="195"/>
      <c r="T53" s="176">
        <v>5064</v>
      </c>
    </row>
    <row r="54" spans="1:20" x14ac:dyDescent="0.2">
      <c r="A54" s="569" t="s">
        <v>211</v>
      </c>
      <c r="B54" s="196">
        <f>SUMIF('IE Data Entry'!$B$30:$B$100,'IE SUMMARY'!$T54,'IE Data Entry'!C$30:C$100)</f>
        <v>0</v>
      </c>
      <c r="C54" s="196">
        <f>SUMIF('IE Data Entry'!$B$30:$B$100,'IE SUMMARY'!$T54,'IE Data Entry'!D$30:D$100)</f>
        <v>0</v>
      </c>
      <c r="D54" s="196">
        <f>SUMIF('IE Data Entry'!$B$30:$B$100,'IE SUMMARY'!$T54,'IE Data Entry'!E$30:E$100)</f>
        <v>26627</v>
      </c>
      <c r="E54" s="196">
        <f>SUMIF('IE Data Entry'!$B$30:$B$100,'IE SUMMARY'!$T54,'IE Data Entry'!F$30:F$100)</f>
        <v>0</v>
      </c>
      <c r="F54" s="196">
        <f>SUMIF('IE Data Entry'!$B$30:$B$100,'IE SUMMARY'!$T54,'IE Data Entry'!H$30:H$100)</f>
        <v>0</v>
      </c>
      <c r="G54" s="196">
        <f>SUMIF('IE Data Entry'!$B$30:$B$100,'IE SUMMARY'!$T54,'IE Data Entry'!I$30:I$100)</f>
        <v>0</v>
      </c>
      <c r="H54" s="196">
        <f>SUMIF('IE Data Entry'!$B$30:$B$100,'IE SUMMARY'!$T54,'IE Data Entry'!J$30:J$100)</f>
        <v>4840</v>
      </c>
      <c r="I54" s="197">
        <f>+Proforma!F78*12</f>
        <v>2500</v>
      </c>
      <c r="J54" s="657">
        <f t="shared" si="9"/>
        <v>-24127</v>
      </c>
      <c r="K54" s="199"/>
      <c r="L54" s="172" t="str">
        <f>IF(ISERROR((+(G56-E56)/E56)),"",(+(G56-E56)/E56))</f>
        <v/>
      </c>
      <c r="M54" s="180"/>
      <c r="N54" s="199"/>
      <c r="P54" s="199"/>
      <c r="Q54" s="199"/>
      <c r="R54" s="199"/>
      <c r="S54" s="199"/>
      <c r="T54" s="176">
        <v>5601</v>
      </c>
    </row>
    <row r="55" spans="1:20" x14ac:dyDescent="0.2">
      <c r="A55" s="569" t="s">
        <v>475</v>
      </c>
      <c r="B55" s="196">
        <f>SUMIF('IE Data Entry'!$B$30:$B$100,'IE SUMMARY'!$T55,'IE Data Entry'!C$30:C$100)</f>
        <v>0</v>
      </c>
      <c r="C55" s="196">
        <f>SUMIF('IE Data Entry'!$B$30:$B$100,'IE SUMMARY'!$T55,'IE Data Entry'!D$30:D$100)</f>
        <v>0</v>
      </c>
      <c r="D55" s="196">
        <f>SUMIF('IE Data Entry'!$B$30:$B$100,'IE SUMMARY'!$T55,'IE Data Entry'!E$30:E$100)</f>
        <v>125283</v>
      </c>
      <c r="E55" s="196">
        <f>SUMIF('IE Data Entry'!$B$30:$B$100,'IE SUMMARY'!$T55,'IE Data Entry'!F$30:F$100)</f>
        <v>0</v>
      </c>
      <c r="F55" s="196">
        <f>SUMIF('IE Data Entry'!$B$30:$B$100,'IE SUMMARY'!$T55,'IE Data Entry'!H$30:H$100)</f>
        <v>0</v>
      </c>
      <c r="G55" s="196">
        <f>SUMIF('IE Data Entry'!$B$30:$B$100,'IE SUMMARY'!$T55,'IE Data Entry'!I$30:I$100)</f>
        <v>0</v>
      </c>
      <c r="H55" s="196">
        <f>SUMIF('IE Data Entry'!$B$30:$B$100,'IE SUMMARY'!$T55,'IE Data Entry'!J$30:J$100)</f>
        <v>42120</v>
      </c>
      <c r="I55" s="197">
        <f>+Proforma!F79*12</f>
        <v>42120</v>
      </c>
      <c r="J55" s="657">
        <f t="shared" si="9"/>
        <v>-83163</v>
      </c>
      <c r="K55" s="199"/>
      <c r="L55" s="182" t="str">
        <f>IF(ISERROR((+(G56-F56)/F56)),"",(+(G56-F56)/F56))</f>
        <v/>
      </c>
      <c r="M55" s="180"/>
      <c r="N55" s="199"/>
      <c r="P55" s="199"/>
      <c r="Q55" s="199"/>
      <c r="R55" s="199"/>
      <c r="S55" s="199"/>
      <c r="T55" s="176">
        <v>5000</v>
      </c>
    </row>
    <row r="56" spans="1:20" x14ac:dyDescent="0.2">
      <c r="A56" s="200" t="s">
        <v>476</v>
      </c>
      <c r="B56" s="648">
        <f t="shared" ref="B56:I56" si="10">SUM(B32:B55)</f>
        <v>0</v>
      </c>
      <c r="C56" s="648">
        <f t="shared" si="10"/>
        <v>0</v>
      </c>
      <c r="D56" s="648">
        <f t="shared" si="10"/>
        <v>737558</v>
      </c>
      <c r="E56" s="648">
        <f t="shared" si="10"/>
        <v>0</v>
      </c>
      <c r="F56" s="648">
        <f t="shared" si="10"/>
        <v>0</v>
      </c>
      <c r="G56" s="648">
        <f t="shared" si="10"/>
        <v>0</v>
      </c>
      <c r="H56" s="648">
        <f t="shared" si="10"/>
        <v>351503.6</v>
      </c>
      <c r="I56" s="648">
        <f t="shared" ca="1" si="10"/>
        <v>600057.28999999992</v>
      </c>
      <c r="J56" s="659">
        <f t="shared" ca="1" si="8"/>
        <v>-137500.71000000008</v>
      </c>
      <c r="K56" s="493"/>
      <c r="L56" s="182">
        <f>IF(ISERROR((+(G56-D56)/D56)),"",(+(G56-D56)/D56))</f>
        <v>-1</v>
      </c>
      <c r="M56" s="180"/>
      <c r="N56" s="201"/>
      <c r="Q56" s="199"/>
      <c r="R56" s="199"/>
      <c r="S56" s="199"/>
    </row>
    <row r="57" spans="1:20" x14ac:dyDescent="0.2">
      <c r="A57" s="202" t="s">
        <v>463</v>
      </c>
      <c r="B57" s="180"/>
      <c r="C57" s="182" t="str">
        <f>IF(ISERROR((+(C56-B56)/B56)),"",(+(C56-B56)/B56))</f>
        <v/>
      </c>
      <c r="D57" s="182" t="str">
        <f>IF(ISERROR((+(D56-C56)/C56)),"",(+(D56-C56)/C56))</f>
        <v/>
      </c>
      <c r="E57" s="182">
        <f>IF(ISERROR((+(E56-D56)/D56)),"",(+(E56-D56)/D56))</f>
        <v>-1</v>
      </c>
      <c r="F57" s="182">
        <f>IF(ISERROR((+(F56-D56)/D56)),"",(+(F56-D56)/D56))</f>
        <v>-1</v>
      </c>
      <c r="G57" s="203"/>
      <c r="H57" s="203"/>
      <c r="J57" s="508"/>
      <c r="N57" s="203"/>
      <c r="O57" s="203"/>
      <c r="Q57" s="204"/>
      <c r="R57" s="204"/>
      <c r="S57" s="204"/>
    </row>
    <row r="58" spans="1:20" x14ac:dyDescent="0.2">
      <c r="A58" s="205" t="s">
        <v>477</v>
      </c>
      <c r="B58" s="206" t="str">
        <f>IF(ISERROR((+B56/B26)),"",(+B56/B26))</f>
        <v/>
      </c>
      <c r="C58" s="206" t="str">
        <f>IF(ISERROR((+C56/C26)),"",(+C56/C26))</f>
        <v/>
      </c>
      <c r="D58" s="206" t="str">
        <f>IF(ISERROR((+D56/D26)),"",(+D56/D26))</f>
        <v/>
      </c>
      <c r="E58" s="206" t="str">
        <f>IF(ISERROR((+E56/E26)),"",(+E56/E26))</f>
        <v/>
      </c>
      <c r="F58" s="206" t="str">
        <f>IF(ISERROR((+F56/F26)),"",(+F56/F26))</f>
        <v/>
      </c>
      <c r="G58" s="207"/>
      <c r="H58" s="207"/>
      <c r="I58" s="206">
        <f ca="1">IF(ISERROR((+I56/I26)),"",(+I56/I26))</f>
        <v>0.7123187203228869</v>
      </c>
      <c r="J58" s="508"/>
      <c r="K58" s="206"/>
      <c r="L58" s="180"/>
      <c r="M58" s="203"/>
      <c r="N58" s="203"/>
      <c r="O58" s="203"/>
      <c r="P58" s="204"/>
      <c r="Q58" s="204"/>
      <c r="R58" s="204"/>
      <c r="S58" s="204"/>
    </row>
    <row r="59" spans="1:20" x14ac:dyDescent="0.2">
      <c r="A59" s="202"/>
      <c r="B59" s="161"/>
      <c r="C59" s="161"/>
      <c r="D59" s="161"/>
      <c r="E59" s="161"/>
      <c r="F59" s="778" t="str">
        <f>Current_Year&amp;" Annualized"</f>
        <v>2025 Annualized</v>
      </c>
      <c r="G59" s="778" t="s">
        <v>453</v>
      </c>
      <c r="H59" s="651"/>
      <c r="I59" s="182"/>
      <c r="J59" s="498" t="s">
        <v>456</v>
      </c>
      <c r="K59" s="182"/>
      <c r="L59" s="180"/>
      <c r="M59" s="203"/>
      <c r="N59" s="203"/>
      <c r="O59" s="203"/>
      <c r="P59" s="204"/>
      <c r="Q59" s="204"/>
      <c r="R59" s="204"/>
      <c r="S59" s="204"/>
    </row>
    <row r="60" spans="1:20" ht="17" thickBot="1" x14ac:dyDescent="0.25">
      <c r="B60" s="162">
        <f>+B31</f>
        <v>2022</v>
      </c>
      <c r="C60" s="162">
        <f>+C31</f>
        <v>2023</v>
      </c>
      <c r="D60" s="162">
        <f>+D31</f>
        <v>2024</v>
      </c>
      <c r="E60" s="162" t="str">
        <f>+E31</f>
        <v>Trailing 12</v>
      </c>
      <c r="F60" s="779"/>
      <c r="G60" s="779"/>
      <c r="H60" s="652" t="s">
        <v>454</v>
      </c>
      <c r="I60" s="342" t="str">
        <f>+I31</f>
        <v>BVG Yr 1 Projection</v>
      </c>
      <c r="J60" s="499" t="s">
        <v>469</v>
      </c>
      <c r="K60" s="494"/>
      <c r="L60" s="172">
        <f>IF(ISERROR((+(G62-E62)/E62)),"",(+(G62-E62)/E62))</f>
        <v>-1</v>
      </c>
      <c r="M60" s="180"/>
    </row>
    <row r="61" spans="1:20" ht="16" thickBot="1" x14ac:dyDescent="0.25">
      <c r="A61" s="187" t="s">
        <v>478</v>
      </c>
      <c r="B61" s="619">
        <f t="shared" ref="B61:I61" si="11">+B26-B56</f>
        <v>0</v>
      </c>
      <c r="C61" s="619">
        <f t="shared" si="11"/>
        <v>0</v>
      </c>
      <c r="D61" s="619">
        <f t="shared" si="11"/>
        <v>-737558</v>
      </c>
      <c r="E61" s="619">
        <f t="shared" si="11"/>
        <v>0</v>
      </c>
      <c r="F61" s="619">
        <f t="shared" si="11"/>
        <v>0</v>
      </c>
      <c r="G61" s="619">
        <f t="shared" si="11"/>
        <v>0</v>
      </c>
      <c r="H61" s="619">
        <f t="shared" si="11"/>
        <v>-351503.6</v>
      </c>
      <c r="I61" s="341">
        <f t="shared" ca="1" si="11"/>
        <v>242342.71000000008</v>
      </c>
      <c r="J61" s="503">
        <f t="shared" ca="1" si="8"/>
        <v>242342.71000000008</v>
      </c>
      <c r="K61" s="199"/>
      <c r="L61" s="182" t="str">
        <f>IF(ISERROR((+(G61-F61)/F61)),"",(+(G61-F61)/F61))</f>
        <v/>
      </c>
      <c r="M61" s="180"/>
    </row>
    <row r="62" spans="1:20" ht="16" thickTop="1" x14ac:dyDescent="0.2">
      <c r="A62" s="202" t="s">
        <v>463</v>
      </c>
      <c r="B62" s="180"/>
      <c r="C62" s="182" t="str">
        <f>IF(ISERROR((+(C61-B61)/B61)),"",(+(C61-B61)/B61))</f>
        <v/>
      </c>
      <c r="D62" s="182" t="str">
        <f>IF(ISERROR((+(D61-C61)/C61)),"",(+(D61-C61)/C61))</f>
        <v/>
      </c>
      <c r="E62" s="182">
        <f>IF(ISERROR((+(E61-D61)/D61)),"",(+(E61-D61)/D61))</f>
        <v>-1</v>
      </c>
      <c r="F62" s="182">
        <f>IF(ISERROR((+(F61-D61)/D61)),"",(+(F61-D61)/D61))</f>
        <v>-1</v>
      </c>
      <c r="G62" s="203"/>
      <c r="H62" s="203"/>
      <c r="L62" s="182">
        <f>IF(ISERROR((+(G61-D61)/D61)),"",(+(G61-D61)/D61))</f>
        <v>-1</v>
      </c>
      <c r="M62" s="180"/>
    </row>
    <row r="64" spans="1:20" x14ac:dyDescent="0.2">
      <c r="A64" s="774" t="s">
        <v>479</v>
      </c>
      <c r="B64" s="774"/>
      <c r="C64" s="774"/>
      <c r="D64" s="774"/>
      <c r="E64" s="774"/>
      <c r="F64" s="774"/>
      <c r="G64" s="774"/>
      <c r="H64" s="774"/>
      <c r="I64" s="774"/>
      <c r="J64" s="495"/>
      <c r="K64" s="495"/>
    </row>
    <row r="65" spans="1:11" x14ac:dyDescent="0.2">
      <c r="A65" s="218" t="s">
        <v>480</v>
      </c>
      <c r="B65" s="218">
        <f>+B60</f>
        <v>2022</v>
      </c>
      <c r="C65" s="218">
        <f t="shared" ref="C65:I65" si="12">+C60</f>
        <v>2023</v>
      </c>
      <c r="D65" s="218">
        <f t="shared" si="12"/>
        <v>2024</v>
      </c>
      <c r="E65" s="218" t="str">
        <f t="shared" si="12"/>
        <v>Trailing 12</v>
      </c>
      <c r="F65" s="218" t="str">
        <f>+F59</f>
        <v>2025 Annualized</v>
      </c>
      <c r="G65" s="218" t="str">
        <f>+G59</f>
        <v>Broker Projection</v>
      </c>
      <c r="H65" s="218" t="s">
        <v>454</v>
      </c>
      <c r="I65" s="218" t="str">
        <f t="shared" si="12"/>
        <v>BVG Yr 1 Projection</v>
      </c>
      <c r="J65" s="160"/>
      <c r="K65" s="160"/>
    </row>
    <row r="66" spans="1:11" x14ac:dyDescent="0.2">
      <c r="A66" s="750" t="s">
        <v>481</v>
      </c>
      <c r="B66" s="199">
        <f t="shared" ref="B66:I66" si="13">SUM(B15:B19)</f>
        <v>0</v>
      </c>
      <c r="C66" s="199">
        <f t="shared" si="13"/>
        <v>0</v>
      </c>
      <c r="D66" s="199">
        <f t="shared" si="13"/>
        <v>0</v>
      </c>
      <c r="E66" s="199">
        <f t="shared" si="13"/>
        <v>0</v>
      </c>
      <c r="F66" s="199">
        <f t="shared" si="13"/>
        <v>0</v>
      </c>
      <c r="G66" s="199">
        <f t="shared" si="13"/>
        <v>0</v>
      </c>
      <c r="H66" s="199">
        <f t="shared" si="13"/>
        <v>0</v>
      </c>
      <c r="I66" s="199">
        <f t="shared" si="13"/>
        <v>28800</v>
      </c>
      <c r="J66" s="496"/>
      <c r="K66" s="216"/>
    </row>
    <row r="67" spans="1:11" x14ac:dyDescent="0.2">
      <c r="A67" s="750" t="s">
        <v>482</v>
      </c>
      <c r="B67" s="199">
        <f t="shared" ref="B67:I67" si="14">SUM(B35:B39)</f>
        <v>0</v>
      </c>
      <c r="C67" s="199">
        <f t="shared" si="14"/>
        <v>0</v>
      </c>
      <c r="D67" s="199">
        <f t="shared" si="14"/>
        <v>71425</v>
      </c>
      <c r="E67" s="199">
        <f t="shared" si="14"/>
        <v>0</v>
      </c>
      <c r="F67" s="199">
        <f t="shared" si="14"/>
        <v>0</v>
      </c>
      <c r="G67" s="199">
        <f t="shared" si="14"/>
        <v>0</v>
      </c>
      <c r="H67" s="199">
        <f t="shared" si="14"/>
        <v>0</v>
      </c>
      <c r="I67" s="199">
        <f t="shared" ca="1" si="14"/>
        <v>72853.5</v>
      </c>
      <c r="J67" s="496"/>
      <c r="K67" s="216"/>
    </row>
    <row r="68" spans="1:11" x14ac:dyDescent="0.2">
      <c r="A68" s="750" t="s">
        <v>483</v>
      </c>
      <c r="B68" s="751">
        <f>+B66-B67</f>
        <v>0</v>
      </c>
      <c r="C68" s="751">
        <f t="shared" ref="C68:I68" si="15">+C66-C67</f>
        <v>0</v>
      </c>
      <c r="D68" s="751">
        <f t="shared" si="15"/>
        <v>-71425</v>
      </c>
      <c r="E68" s="751">
        <f t="shared" si="15"/>
        <v>0</v>
      </c>
      <c r="F68" s="751">
        <f t="shared" si="15"/>
        <v>0</v>
      </c>
      <c r="G68" s="751">
        <f t="shared" si="15"/>
        <v>0</v>
      </c>
      <c r="H68" s="751">
        <f t="shared" ref="H68" si="16">+H66-H67</f>
        <v>0</v>
      </c>
      <c r="I68" s="751">
        <f t="shared" ca="1" si="15"/>
        <v>-44053.5</v>
      </c>
      <c r="J68" s="496"/>
      <c r="K68" s="216"/>
    </row>
    <row r="69" spans="1:11" x14ac:dyDescent="0.2">
      <c r="A69" s="750" t="s">
        <v>484</v>
      </c>
      <c r="B69" s="217" t="str">
        <f>IF(ISERROR((+B66/B67)),"",(+B66/B67))</f>
        <v/>
      </c>
      <c r="C69" s="217"/>
      <c r="D69" s="217">
        <f t="shared" ref="D69:I69" si="17">IF(ISERROR((+D66/D67)),"",(+D66/D67))</f>
        <v>0</v>
      </c>
      <c r="E69" s="217" t="str">
        <f t="shared" si="17"/>
        <v/>
      </c>
      <c r="F69" s="217" t="str">
        <f t="shared" si="17"/>
        <v/>
      </c>
      <c r="G69" s="217" t="str">
        <f t="shared" si="17"/>
        <v/>
      </c>
      <c r="H69" s="217" t="str">
        <f t="shared" ref="H69" si="18">IF(ISERROR((+H66/H67)),"",(+H66/H67))</f>
        <v/>
      </c>
      <c r="I69" s="217">
        <f t="shared" ca="1" si="17"/>
        <v>0.39531388334122586</v>
      </c>
      <c r="J69" s="496"/>
      <c r="K69" s="217"/>
    </row>
    <row r="70" spans="1:11" x14ac:dyDescent="0.2">
      <c r="B70" s="199"/>
      <c r="C70" s="199"/>
      <c r="D70" s="199"/>
      <c r="E70" s="199"/>
      <c r="F70" s="199"/>
      <c r="G70" s="199"/>
      <c r="H70" s="199"/>
      <c r="I70" s="199"/>
      <c r="J70" s="496"/>
    </row>
    <row r="71" spans="1:11" x14ac:dyDescent="0.2">
      <c r="A71" s="160" t="s">
        <v>485</v>
      </c>
      <c r="B71" s="656"/>
      <c r="C71" s="199"/>
      <c r="D71" s="199"/>
      <c r="E71" s="199"/>
      <c r="F71" s="199"/>
      <c r="G71" s="199"/>
      <c r="H71" s="199"/>
      <c r="I71" s="199"/>
      <c r="J71" s="496"/>
    </row>
    <row r="72" spans="1:11" x14ac:dyDescent="0.2">
      <c r="A72" s="750" t="s">
        <v>486</v>
      </c>
      <c r="B72" s="199">
        <f t="shared" ref="B72:I72" si="19">B15</f>
        <v>0</v>
      </c>
      <c r="C72" s="199">
        <f t="shared" si="19"/>
        <v>0</v>
      </c>
      <c r="D72" s="199">
        <f t="shared" si="19"/>
        <v>0</v>
      </c>
      <c r="E72" s="199">
        <f t="shared" si="19"/>
        <v>0</v>
      </c>
      <c r="F72" s="199">
        <f t="shared" si="19"/>
        <v>0</v>
      </c>
      <c r="G72" s="199">
        <f t="shared" si="19"/>
        <v>0</v>
      </c>
      <c r="H72" s="199">
        <f t="shared" si="19"/>
        <v>0</v>
      </c>
      <c r="I72" s="199">
        <f t="shared" si="19"/>
        <v>0</v>
      </c>
      <c r="J72" s="496"/>
      <c r="K72" s="216"/>
    </row>
    <row r="73" spans="1:11" x14ac:dyDescent="0.2">
      <c r="A73" s="750" t="s">
        <v>487</v>
      </c>
      <c r="B73" s="199">
        <f t="shared" ref="B73:I73" si="20">B35</f>
        <v>0</v>
      </c>
      <c r="C73" s="199">
        <f t="shared" si="20"/>
        <v>0</v>
      </c>
      <c r="D73" s="199">
        <f t="shared" si="20"/>
        <v>1759</v>
      </c>
      <c r="E73" s="199">
        <f t="shared" si="20"/>
        <v>0</v>
      </c>
      <c r="F73" s="199">
        <f t="shared" si="20"/>
        <v>0</v>
      </c>
      <c r="G73" s="199">
        <f t="shared" si="20"/>
        <v>0</v>
      </c>
      <c r="H73" s="199">
        <f t="shared" si="20"/>
        <v>0</v>
      </c>
      <c r="I73" s="199">
        <f t="shared" ca="1" si="20"/>
        <v>1794.1800000000003</v>
      </c>
      <c r="J73" s="496"/>
      <c r="K73" s="216"/>
    </row>
    <row r="74" spans="1:11" x14ac:dyDescent="0.2">
      <c r="A74" s="750" t="s">
        <v>488</v>
      </c>
      <c r="B74" s="751">
        <f>+B72-B73</f>
        <v>0</v>
      </c>
      <c r="C74" s="751">
        <f t="shared" ref="C74:I74" si="21">+C72-C73</f>
        <v>0</v>
      </c>
      <c r="D74" s="751">
        <f t="shared" si="21"/>
        <v>-1759</v>
      </c>
      <c r="E74" s="751">
        <f t="shared" si="21"/>
        <v>0</v>
      </c>
      <c r="F74" s="751">
        <f t="shared" si="21"/>
        <v>0</v>
      </c>
      <c r="G74" s="751">
        <f t="shared" si="21"/>
        <v>0</v>
      </c>
      <c r="H74" s="751">
        <f t="shared" ref="H74" si="22">+H72-H73</f>
        <v>0</v>
      </c>
      <c r="I74" s="751">
        <f t="shared" ca="1" si="21"/>
        <v>-1794.1800000000003</v>
      </c>
      <c r="J74" s="496"/>
      <c r="K74" s="216"/>
    </row>
    <row r="75" spans="1:11" x14ac:dyDescent="0.2">
      <c r="A75" s="750" t="s">
        <v>489</v>
      </c>
      <c r="B75" s="677" t="str">
        <f>IF(ISERROR((+B72/B73)),"",(+B72/B73))</f>
        <v/>
      </c>
      <c r="C75" s="677"/>
      <c r="D75" s="677">
        <f t="shared" ref="D75:I75" si="23">IF(ISERROR((+D72/D73)),"",(+D72/D73))</f>
        <v>0</v>
      </c>
      <c r="E75" s="677" t="str">
        <f t="shared" si="23"/>
        <v/>
      </c>
      <c r="F75" s="677" t="str">
        <f t="shared" si="23"/>
        <v/>
      </c>
      <c r="G75" s="677" t="str">
        <f t="shared" si="23"/>
        <v/>
      </c>
      <c r="H75" s="677" t="str">
        <f t="shared" ref="H75" si="24">IF(ISERROR((+H72/H73)),"",(+H72/H73))</f>
        <v/>
      </c>
      <c r="I75" s="677">
        <f t="shared" ca="1" si="23"/>
        <v>0</v>
      </c>
      <c r="J75" s="496"/>
      <c r="K75" s="217"/>
    </row>
    <row r="76" spans="1:11" x14ac:dyDescent="0.2">
      <c r="B76" s="199"/>
      <c r="C76" s="199"/>
      <c r="D76" s="199"/>
      <c r="E76" s="199"/>
      <c r="F76" s="199"/>
      <c r="G76" s="199"/>
      <c r="H76" s="199"/>
      <c r="I76" s="199"/>
      <c r="J76" s="496"/>
    </row>
    <row r="77" spans="1:11" x14ac:dyDescent="0.2">
      <c r="A77" s="160" t="s">
        <v>490</v>
      </c>
      <c r="B77" s="656"/>
      <c r="C77" s="199"/>
      <c r="D77" s="199"/>
      <c r="E77" s="199"/>
      <c r="F77" s="199"/>
      <c r="G77" s="199"/>
      <c r="H77" s="199"/>
      <c r="I77" s="199"/>
      <c r="J77" s="496"/>
    </row>
    <row r="78" spans="1:11" x14ac:dyDescent="0.2">
      <c r="A78" s="750" t="s">
        <v>491</v>
      </c>
      <c r="B78" s="199">
        <f t="shared" ref="B78:I78" si="25">B16</f>
        <v>0</v>
      </c>
      <c r="C78" s="199">
        <f t="shared" si="25"/>
        <v>0</v>
      </c>
      <c r="D78" s="199">
        <f t="shared" si="25"/>
        <v>0</v>
      </c>
      <c r="E78" s="199">
        <f t="shared" si="25"/>
        <v>0</v>
      </c>
      <c r="F78" s="199">
        <f t="shared" si="25"/>
        <v>0</v>
      </c>
      <c r="G78" s="199">
        <f t="shared" si="25"/>
        <v>0</v>
      </c>
      <c r="H78" s="199">
        <f t="shared" si="25"/>
        <v>0</v>
      </c>
      <c r="I78" s="199">
        <f t="shared" si="25"/>
        <v>0</v>
      </c>
      <c r="J78" s="496"/>
      <c r="K78" s="216"/>
    </row>
    <row r="79" spans="1:11" x14ac:dyDescent="0.2">
      <c r="A79" s="750" t="s">
        <v>492</v>
      </c>
      <c r="B79" s="199">
        <f t="shared" ref="B79:I79" si="26">B36</f>
        <v>0</v>
      </c>
      <c r="C79" s="199">
        <f t="shared" si="26"/>
        <v>0</v>
      </c>
      <c r="D79" s="199">
        <f t="shared" si="26"/>
        <v>0</v>
      </c>
      <c r="E79" s="199">
        <f t="shared" si="26"/>
        <v>0</v>
      </c>
      <c r="F79" s="199">
        <f t="shared" si="26"/>
        <v>0</v>
      </c>
      <c r="G79" s="199">
        <f t="shared" si="26"/>
        <v>0</v>
      </c>
      <c r="H79" s="199">
        <f t="shared" si="26"/>
        <v>0</v>
      </c>
      <c r="I79" s="199">
        <f t="shared" ca="1" si="26"/>
        <v>0</v>
      </c>
      <c r="J79" s="496"/>
      <c r="K79" s="216"/>
    </row>
    <row r="80" spans="1:11" x14ac:dyDescent="0.2">
      <c r="A80" s="750" t="s">
        <v>490</v>
      </c>
      <c r="B80" s="751">
        <f>+B78-B79</f>
        <v>0</v>
      </c>
      <c r="C80" s="751">
        <f t="shared" ref="C80:I80" si="27">+C78-C79</f>
        <v>0</v>
      </c>
      <c r="D80" s="751">
        <f t="shared" si="27"/>
        <v>0</v>
      </c>
      <c r="E80" s="751">
        <f t="shared" si="27"/>
        <v>0</v>
      </c>
      <c r="F80" s="751">
        <f t="shared" si="27"/>
        <v>0</v>
      </c>
      <c r="G80" s="751">
        <f t="shared" si="27"/>
        <v>0</v>
      </c>
      <c r="H80" s="751">
        <f t="shared" ref="H80" si="28">+H78-H79</f>
        <v>0</v>
      </c>
      <c r="I80" s="751">
        <f t="shared" ca="1" si="27"/>
        <v>0</v>
      </c>
      <c r="J80" s="496"/>
      <c r="K80" s="216"/>
    </row>
    <row r="81" spans="1:11" x14ac:dyDescent="0.2">
      <c r="A81" s="750" t="s">
        <v>493</v>
      </c>
      <c r="B81" s="677" t="str">
        <f>IF(ISERROR((+B78/B79)),"",(+B78/B79))</f>
        <v/>
      </c>
      <c r="C81" s="677" t="str">
        <f t="shared" ref="C81:I81" si="29">IF(ISERROR((+C78/C79)),"",(+C78/C79))</f>
        <v/>
      </c>
      <c r="D81" s="677" t="str">
        <f t="shared" si="29"/>
        <v/>
      </c>
      <c r="E81" s="677" t="str">
        <f t="shared" si="29"/>
        <v/>
      </c>
      <c r="F81" s="677" t="str">
        <f t="shared" si="29"/>
        <v/>
      </c>
      <c r="G81" s="677" t="str">
        <f t="shared" si="29"/>
        <v/>
      </c>
      <c r="H81" s="677" t="str">
        <f t="shared" ref="H81" si="30">IF(ISERROR((+H78/H79)),"",(+H78/H79))</f>
        <v/>
      </c>
      <c r="I81" s="677" t="str">
        <f t="shared" ca="1" si="29"/>
        <v/>
      </c>
      <c r="J81" s="496"/>
      <c r="K81" s="217"/>
    </row>
    <row r="82" spans="1:11" x14ac:dyDescent="0.2">
      <c r="B82" s="199"/>
      <c r="C82" s="199"/>
      <c r="D82" s="199"/>
      <c r="E82" s="199"/>
      <c r="F82" s="199"/>
      <c r="G82" s="199"/>
      <c r="H82" s="199"/>
      <c r="I82" s="199"/>
      <c r="J82" s="496"/>
    </row>
    <row r="83" spans="1:11" x14ac:dyDescent="0.2">
      <c r="A83" s="160" t="s">
        <v>494</v>
      </c>
      <c r="B83" s="656"/>
      <c r="C83" s="199"/>
      <c r="D83" s="199"/>
      <c r="E83" s="199"/>
      <c r="F83" s="199"/>
      <c r="G83" s="199"/>
      <c r="H83" s="199"/>
      <c r="I83" s="199"/>
      <c r="J83" s="496"/>
    </row>
    <row r="84" spans="1:11" x14ac:dyDescent="0.2">
      <c r="A84" s="750" t="s">
        <v>495</v>
      </c>
      <c r="B84" s="199">
        <f t="shared" ref="B84:I84" si="31">B17</f>
        <v>0</v>
      </c>
      <c r="C84" s="199">
        <f t="shared" si="31"/>
        <v>0</v>
      </c>
      <c r="D84" s="199">
        <f t="shared" si="31"/>
        <v>0</v>
      </c>
      <c r="E84" s="199">
        <f t="shared" si="31"/>
        <v>0</v>
      </c>
      <c r="F84" s="199">
        <f t="shared" si="31"/>
        <v>0</v>
      </c>
      <c r="G84" s="199">
        <f t="shared" si="31"/>
        <v>0</v>
      </c>
      <c r="H84" s="199">
        <f t="shared" si="31"/>
        <v>0</v>
      </c>
      <c r="I84" s="199">
        <f t="shared" si="31"/>
        <v>28800</v>
      </c>
      <c r="J84" s="496"/>
      <c r="K84" s="216"/>
    </row>
    <row r="85" spans="1:11" x14ac:dyDescent="0.2">
      <c r="A85" s="750" t="s">
        <v>496</v>
      </c>
      <c r="B85" s="199">
        <f t="shared" ref="B85:I85" si="32">B37</f>
        <v>0</v>
      </c>
      <c r="C85" s="199">
        <f t="shared" si="32"/>
        <v>0</v>
      </c>
      <c r="D85" s="199">
        <f t="shared" si="32"/>
        <v>63258</v>
      </c>
      <c r="E85" s="199">
        <f t="shared" si="32"/>
        <v>0</v>
      </c>
      <c r="F85" s="199">
        <f t="shared" si="32"/>
        <v>0</v>
      </c>
      <c r="G85" s="199">
        <f t="shared" si="32"/>
        <v>0</v>
      </c>
      <c r="H85" s="199">
        <f t="shared" si="32"/>
        <v>0</v>
      </c>
      <c r="I85" s="199">
        <f t="shared" ca="1" si="32"/>
        <v>64523.16</v>
      </c>
      <c r="J85" s="496"/>
      <c r="K85" s="216"/>
    </row>
    <row r="86" spans="1:11" x14ac:dyDescent="0.2">
      <c r="A86" s="750" t="s">
        <v>494</v>
      </c>
      <c r="B86" s="751">
        <f>+B84-B85</f>
        <v>0</v>
      </c>
      <c r="C86" s="751">
        <f t="shared" ref="C86:I86" si="33">+C84-C85</f>
        <v>0</v>
      </c>
      <c r="D86" s="751">
        <f t="shared" si="33"/>
        <v>-63258</v>
      </c>
      <c r="E86" s="751">
        <f t="shared" si="33"/>
        <v>0</v>
      </c>
      <c r="F86" s="751">
        <f t="shared" si="33"/>
        <v>0</v>
      </c>
      <c r="G86" s="751">
        <f t="shared" si="33"/>
        <v>0</v>
      </c>
      <c r="H86" s="751">
        <f t="shared" ref="H86" si="34">+H84-H85</f>
        <v>0</v>
      </c>
      <c r="I86" s="751">
        <f t="shared" ca="1" si="33"/>
        <v>-35723.160000000003</v>
      </c>
      <c r="J86" s="496"/>
      <c r="K86" s="216"/>
    </row>
    <row r="87" spans="1:11" x14ac:dyDescent="0.2">
      <c r="A87" s="750" t="s">
        <v>497</v>
      </c>
      <c r="B87" s="677" t="str">
        <f>IF(ISERROR((+B84/B85)),"",(+B84/B85))</f>
        <v/>
      </c>
      <c r="C87" s="677" t="str">
        <f t="shared" ref="C87:I87" si="35">IF(ISERROR((+C84/C85)),"",(+C84/C85))</f>
        <v/>
      </c>
      <c r="D87" s="677">
        <f t="shared" si="35"/>
        <v>0</v>
      </c>
      <c r="E87" s="677" t="str">
        <f t="shared" si="35"/>
        <v/>
      </c>
      <c r="F87" s="677" t="str">
        <f t="shared" si="35"/>
        <v/>
      </c>
      <c r="G87" s="677" t="str">
        <f t="shared" si="35"/>
        <v/>
      </c>
      <c r="H87" s="677" t="str">
        <f t="shared" ref="H87" si="36">IF(ISERROR((+H84/H85)),"",(+H84/H85))</f>
        <v/>
      </c>
      <c r="I87" s="677">
        <f t="shared" ca="1" si="35"/>
        <v>0.44635135662915454</v>
      </c>
      <c r="J87" s="496"/>
      <c r="K87" s="217"/>
    </row>
    <row r="88" spans="1:11" x14ac:dyDescent="0.2">
      <c r="B88" s="199"/>
      <c r="C88" s="199"/>
      <c r="D88" s="199"/>
      <c r="E88" s="199"/>
      <c r="F88" s="199"/>
      <c r="G88" s="199"/>
      <c r="H88" s="199"/>
      <c r="I88" s="199"/>
      <c r="J88" s="496"/>
    </row>
    <row r="89" spans="1:11" x14ac:dyDescent="0.2">
      <c r="A89" s="160" t="s">
        <v>498</v>
      </c>
      <c r="B89" s="656"/>
      <c r="C89" s="199"/>
      <c r="D89" s="199"/>
      <c r="E89" s="199"/>
      <c r="F89" s="199"/>
      <c r="G89" s="199"/>
      <c r="H89" s="199"/>
      <c r="I89" s="199"/>
      <c r="J89" s="496"/>
    </row>
    <row r="90" spans="1:11" x14ac:dyDescent="0.2">
      <c r="A90" s="750" t="s">
        <v>499</v>
      </c>
      <c r="B90" s="199">
        <f t="shared" ref="B90:I90" si="37">B18</f>
        <v>0</v>
      </c>
      <c r="C90" s="199">
        <f t="shared" si="37"/>
        <v>0</v>
      </c>
      <c r="D90" s="199">
        <f t="shared" si="37"/>
        <v>0</v>
      </c>
      <c r="E90" s="199">
        <f t="shared" si="37"/>
        <v>0</v>
      </c>
      <c r="F90" s="199">
        <f t="shared" si="37"/>
        <v>0</v>
      </c>
      <c r="G90" s="199">
        <f t="shared" si="37"/>
        <v>0</v>
      </c>
      <c r="H90" s="199">
        <f t="shared" si="37"/>
        <v>0</v>
      </c>
      <c r="I90" s="199">
        <f t="shared" si="37"/>
        <v>0</v>
      </c>
      <c r="J90" s="496"/>
      <c r="K90" s="216"/>
    </row>
    <row r="91" spans="1:11" x14ac:dyDescent="0.2">
      <c r="A91" s="750" t="s">
        <v>500</v>
      </c>
      <c r="B91" s="199">
        <f t="shared" ref="B91:I91" si="38">B38</f>
        <v>0</v>
      </c>
      <c r="C91" s="199">
        <f t="shared" si="38"/>
        <v>0</v>
      </c>
      <c r="D91" s="199">
        <f t="shared" si="38"/>
        <v>0</v>
      </c>
      <c r="E91" s="199">
        <f t="shared" si="38"/>
        <v>0</v>
      </c>
      <c r="F91" s="199">
        <f t="shared" si="38"/>
        <v>0</v>
      </c>
      <c r="G91" s="199">
        <f t="shared" si="38"/>
        <v>0</v>
      </c>
      <c r="H91" s="199">
        <f t="shared" si="38"/>
        <v>0</v>
      </c>
      <c r="I91" s="199">
        <f t="shared" ca="1" si="38"/>
        <v>0</v>
      </c>
      <c r="J91" s="496"/>
      <c r="K91" s="216"/>
    </row>
    <row r="92" spans="1:11" x14ac:dyDescent="0.2">
      <c r="A92" s="750" t="s">
        <v>498</v>
      </c>
      <c r="B92" s="751">
        <f>+B90-B91</f>
        <v>0</v>
      </c>
      <c r="C92" s="751">
        <f t="shared" ref="C92" si="39">+C90-C91</f>
        <v>0</v>
      </c>
      <c r="D92" s="751">
        <f t="shared" ref="D92" si="40">+D90-D91</f>
        <v>0</v>
      </c>
      <c r="E92" s="751">
        <f t="shared" ref="E92" si="41">+E90-E91</f>
        <v>0</v>
      </c>
      <c r="F92" s="751">
        <f t="shared" ref="F92" si="42">+F90-F91</f>
        <v>0</v>
      </c>
      <c r="G92" s="751">
        <f t="shared" ref="G92:H92" si="43">+G90-G91</f>
        <v>0</v>
      </c>
      <c r="H92" s="751">
        <f t="shared" si="43"/>
        <v>0</v>
      </c>
      <c r="I92" s="751">
        <f t="shared" ref="I92" ca="1" si="44">+I90-I91</f>
        <v>0</v>
      </c>
      <c r="J92" s="496"/>
      <c r="K92" s="216"/>
    </row>
    <row r="93" spans="1:11" x14ac:dyDescent="0.2">
      <c r="A93" s="750" t="s">
        <v>501</v>
      </c>
      <c r="B93" s="677" t="str">
        <f>IF(ISERROR((+B90/B91)),"",(+B90/B91))</f>
        <v/>
      </c>
      <c r="C93" s="677" t="str">
        <f t="shared" ref="C93:I93" si="45">IF(ISERROR((+C90/C91)),"",(+C90/C91))</f>
        <v/>
      </c>
      <c r="D93" s="677" t="str">
        <f t="shared" si="45"/>
        <v/>
      </c>
      <c r="E93" s="677" t="str">
        <f t="shared" si="45"/>
        <v/>
      </c>
      <c r="F93" s="677" t="str">
        <f t="shared" si="45"/>
        <v/>
      </c>
      <c r="G93" s="677" t="str">
        <f t="shared" si="45"/>
        <v/>
      </c>
      <c r="H93" s="677" t="str">
        <f t="shared" ref="H93" si="46">IF(ISERROR((+H90/H91)),"",(+H90/H91))</f>
        <v/>
      </c>
      <c r="I93" s="677" t="str">
        <f t="shared" ca="1" si="45"/>
        <v/>
      </c>
      <c r="J93" s="496"/>
      <c r="K93" s="217"/>
    </row>
    <row r="94" spans="1:11" x14ac:dyDescent="0.2">
      <c r="B94" s="199"/>
      <c r="C94" s="199"/>
      <c r="D94" s="199"/>
      <c r="E94" s="199"/>
      <c r="F94" s="199"/>
      <c r="G94" s="199"/>
      <c r="H94" s="199"/>
      <c r="I94" s="199"/>
      <c r="J94" s="496"/>
    </row>
    <row r="95" spans="1:11" x14ac:dyDescent="0.2">
      <c r="A95" s="160" t="s">
        <v>502</v>
      </c>
      <c r="B95" s="656"/>
      <c r="C95" s="199"/>
      <c r="D95" s="199"/>
      <c r="E95" s="199"/>
      <c r="F95" s="199"/>
      <c r="G95" s="199"/>
      <c r="H95" s="199"/>
      <c r="I95" s="199"/>
      <c r="J95" s="496"/>
    </row>
    <row r="96" spans="1:11" x14ac:dyDescent="0.2">
      <c r="A96" s="750" t="s">
        <v>503</v>
      </c>
      <c r="B96" s="199">
        <f t="shared" ref="B96:I96" si="47">B19</f>
        <v>0</v>
      </c>
      <c r="C96" s="199">
        <f t="shared" si="47"/>
        <v>0</v>
      </c>
      <c r="D96" s="199">
        <f t="shared" si="47"/>
        <v>0</v>
      </c>
      <c r="E96" s="199">
        <f t="shared" si="47"/>
        <v>0</v>
      </c>
      <c r="F96" s="199">
        <f t="shared" si="47"/>
        <v>0</v>
      </c>
      <c r="G96" s="199">
        <f t="shared" si="47"/>
        <v>0</v>
      </c>
      <c r="H96" s="199">
        <f t="shared" si="47"/>
        <v>0</v>
      </c>
      <c r="I96" s="199">
        <f t="shared" si="47"/>
        <v>0</v>
      </c>
      <c r="J96" s="496"/>
      <c r="K96" s="216"/>
    </row>
    <row r="97" spans="1:11" x14ac:dyDescent="0.2">
      <c r="A97" s="750" t="s">
        <v>504</v>
      </c>
      <c r="B97" s="199">
        <f t="shared" ref="B97:I97" si="48">B39</f>
        <v>0</v>
      </c>
      <c r="C97" s="199">
        <f t="shared" si="48"/>
        <v>0</v>
      </c>
      <c r="D97" s="199">
        <f t="shared" si="48"/>
        <v>6408</v>
      </c>
      <c r="E97" s="199">
        <f t="shared" si="48"/>
        <v>0</v>
      </c>
      <c r="F97" s="199">
        <f t="shared" si="48"/>
        <v>0</v>
      </c>
      <c r="G97" s="199">
        <f t="shared" si="48"/>
        <v>0</v>
      </c>
      <c r="H97" s="199">
        <f t="shared" si="48"/>
        <v>0</v>
      </c>
      <c r="I97" s="199">
        <f t="shared" ca="1" si="48"/>
        <v>6536.16</v>
      </c>
      <c r="J97" s="496"/>
      <c r="K97" s="216"/>
    </row>
    <row r="98" spans="1:11" x14ac:dyDescent="0.2">
      <c r="A98" s="750" t="s">
        <v>502</v>
      </c>
      <c r="B98" s="751">
        <f>+B96-B97</f>
        <v>0</v>
      </c>
      <c r="C98" s="751">
        <f t="shared" ref="C98" si="49">+C96-C97</f>
        <v>0</v>
      </c>
      <c r="D98" s="751">
        <f t="shared" ref="D98" si="50">+D96-D97</f>
        <v>-6408</v>
      </c>
      <c r="E98" s="751">
        <f t="shared" ref="E98" si="51">+E96-E97</f>
        <v>0</v>
      </c>
      <c r="F98" s="751">
        <f t="shared" ref="F98" si="52">+F96-F97</f>
        <v>0</v>
      </c>
      <c r="G98" s="751">
        <f t="shared" ref="G98:H98" si="53">+G96-G97</f>
        <v>0</v>
      </c>
      <c r="H98" s="751">
        <f t="shared" si="53"/>
        <v>0</v>
      </c>
      <c r="I98" s="751">
        <f t="shared" ref="I98" ca="1" si="54">+I96-I97</f>
        <v>-6536.16</v>
      </c>
      <c r="J98" s="496"/>
      <c r="K98" s="216"/>
    </row>
    <row r="99" spans="1:11" x14ac:dyDescent="0.2">
      <c r="A99" s="750" t="s">
        <v>505</v>
      </c>
      <c r="B99" s="677" t="str">
        <f>IF(ISERROR((+B96/B97)),"",(+B96/B97))</f>
        <v/>
      </c>
      <c r="C99" s="677" t="str">
        <f t="shared" ref="C99:I99" si="55">IF(ISERROR((+C96/C97)),"",(+C96/C97))</f>
        <v/>
      </c>
      <c r="D99" s="677">
        <f t="shared" si="55"/>
        <v>0</v>
      </c>
      <c r="E99" s="677" t="str">
        <f t="shared" si="55"/>
        <v/>
      </c>
      <c r="F99" s="677" t="str">
        <f t="shared" si="55"/>
        <v/>
      </c>
      <c r="G99" s="677" t="str">
        <f t="shared" si="55"/>
        <v/>
      </c>
      <c r="H99" s="677" t="str">
        <f t="shared" ref="H99" si="56">IF(ISERROR((+H96/H97)),"",(+H96/H97))</f>
        <v/>
      </c>
      <c r="I99" s="677">
        <f t="shared" ca="1" si="55"/>
        <v>0</v>
      </c>
      <c r="J99" s="496"/>
      <c r="K99" s="217"/>
    </row>
    <row r="100" spans="1:11" x14ac:dyDescent="0.2">
      <c r="B100" s="199"/>
      <c r="C100" s="199"/>
      <c r="D100" s="199"/>
      <c r="E100" s="199"/>
      <c r="F100" s="199"/>
      <c r="G100" s="199"/>
      <c r="H100" s="199"/>
      <c r="I100" s="199"/>
      <c r="J100" s="496"/>
    </row>
    <row r="101" spans="1:11" x14ac:dyDescent="0.2">
      <c r="A101" s="160" t="s">
        <v>506</v>
      </c>
      <c r="B101" s="656"/>
      <c r="C101" s="199"/>
      <c r="D101" s="199"/>
      <c r="E101" s="199"/>
      <c r="F101" s="199"/>
      <c r="G101" s="199"/>
      <c r="H101" s="199"/>
      <c r="I101" s="199"/>
      <c r="J101" s="496"/>
    </row>
    <row r="102" spans="1:11" x14ac:dyDescent="0.2">
      <c r="A102" s="750" t="s">
        <v>507</v>
      </c>
      <c r="B102" s="199">
        <f t="shared" ref="B102:I102" si="57">SUM(B18:B19)</f>
        <v>0</v>
      </c>
      <c r="C102" s="199">
        <f t="shared" si="57"/>
        <v>0</v>
      </c>
      <c r="D102" s="199">
        <f t="shared" si="57"/>
        <v>0</v>
      </c>
      <c r="E102" s="199">
        <f t="shared" si="57"/>
        <v>0</v>
      </c>
      <c r="F102" s="199">
        <f t="shared" si="57"/>
        <v>0</v>
      </c>
      <c r="G102" s="199">
        <f t="shared" si="57"/>
        <v>0</v>
      </c>
      <c r="H102" s="199">
        <f t="shared" si="57"/>
        <v>0</v>
      </c>
      <c r="I102" s="199">
        <f t="shared" si="57"/>
        <v>0</v>
      </c>
      <c r="J102" s="496"/>
      <c r="K102" s="216"/>
    </row>
    <row r="103" spans="1:11" x14ac:dyDescent="0.2">
      <c r="A103" s="750" t="s">
        <v>508</v>
      </c>
      <c r="B103" s="199">
        <f t="shared" ref="B103:I103" si="58">SUM(B38:B39)</f>
        <v>0</v>
      </c>
      <c r="C103" s="199">
        <f t="shared" si="58"/>
        <v>0</v>
      </c>
      <c r="D103" s="199">
        <f t="shared" si="58"/>
        <v>6408</v>
      </c>
      <c r="E103" s="199">
        <f t="shared" si="58"/>
        <v>0</v>
      </c>
      <c r="F103" s="199">
        <f t="shared" si="58"/>
        <v>0</v>
      </c>
      <c r="G103" s="199">
        <f t="shared" si="58"/>
        <v>0</v>
      </c>
      <c r="H103" s="199">
        <f t="shared" si="58"/>
        <v>0</v>
      </c>
      <c r="I103" s="199">
        <f t="shared" ca="1" si="58"/>
        <v>6536.16</v>
      </c>
      <c r="J103" s="496"/>
      <c r="K103" s="216"/>
    </row>
    <row r="104" spans="1:11" x14ac:dyDescent="0.2">
      <c r="A104" s="750" t="s">
        <v>506</v>
      </c>
      <c r="B104" s="751">
        <f>+B102-B103</f>
        <v>0</v>
      </c>
      <c r="C104" s="751">
        <f t="shared" ref="C104" si="59">+C102-C103</f>
        <v>0</v>
      </c>
      <c r="D104" s="751">
        <f t="shared" ref="D104" si="60">+D102-D103</f>
        <v>-6408</v>
      </c>
      <c r="E104" s="751">
        <f t="shared" ref="E104" si="61">+E102-E103</f>
        <v>0</v>
      </c>
      <c r="F104" s="751">
        <f t="shared" ref="F104" si="62">+F102-F103</f>
        <v>0</v>
      </c>
      <c r="G104" s="751">
        <f t="shared" ref="G104:H104" si="63">+G102-G103</f>
        <v>0</v>
      </c>
      <c r="H104" s="751">
        <f t="shared" si="63"/>
        <v>0</v>
      </c>
      <c r="I104" s="751">
        <f t="shared" ref="I104" ca="1" si="64">+I102-I103</f>
        <v>-6536.16</v>
      </c>
      <c r="J104" s="496"/>
      <c r="K104" s="216"/>
    </row>
    <row r="105" spans="1:11" x14ac:dyDescent="0.2">
      <c r="A105" s="750" t="s">
        <v>509</v>
      </c>
      <c r="B105" s="677" t="str">
        <f>IF(ISERROR((+B102/B103)),"",(+B102/B103))</f>
        <v/>
      </c>
      <c r="C105" s="677"/>
      <c r="D105" s="677">
        <f t="shared" ref="D105:I105" si="65">IF(ISERROR((+D102/D103)),"",(+D102/D103))</f>
        <v>0</v>
      </c>
      <c r="E105" s="677" t="str">
        <f t="shared" si="65"/>
        <v/>
      </c>
      <c r="F105" s="677" t="str">
        <f t="shared" si="65"/>
        <v/>
      </c>
      <c r="G105" s="677" t="str">
        <f t="shared" si="65"/>
        <v/>
      </c>
      <c r="H105" s="677"/>
      <c r="I105" s="677">
        <f t="shared" ca="1" si="65"/>
        <v>0</v>
      </c>
      <c r="J105" s="217"/>
      <c r="K105" s="217"/>
    </row>
    <row r="110" spans="1:11" x14ac:dyDescent="0.2">
      <c r="A110" s="174" t="s">
        <v>510</v>
      </c>
      <c r="B110" s="174">
        <f>+B60</f>
        <v>2022</v>
      </c>
      <c r="C110" s="174">
        <f t="shared" ref="C110:E110" si="66">+C60</f>
        <v>2023</v>
      </c>
      <c r="D110" s="174">
        <f t="shared" si="66"/>
        <v>2024</v>
      </c>
      <c r="E110" s="174" t="str">
        <f t="shared" si="66"/>
        <v>Trailing 12</v>
      </c>
      <c r="F110" s="174" t="str">
        <f>LEFT(F31,4)&amp;" Ann."</f>
        <v>2025 Ann.</v>
      </c>
      <c r="G110" s="174" t="s">
        <v>432</v>
      </c>
      <c r="H110" s="174" t="s">
        <v>427</v>
      </c>
      <c r="I110" s="174" t="s">
        <v>455</v>
      </c>
      <c r="J110" s="174"/>
      <c r="K110" s="174"/>
    </row>
  </sheetData>
  <mergeCells count="9">
    <mergeCell ref="F59:F60"/>
    <mergeCell ref="G59:G60"/>
    <mergeCell ref="A64:I64"/>
    <mergeCell ref="A1:G1"/>
    <mergeCell ref="A3:G3"/>
    <mergeCell ref="F4:F5"/>
    <mergeCell ref="G4:G5"/>
    <mergeCell ref="A29:G29"/>
    <mergeCell ref="H4:H5"/>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A1CD38-0102-4834-932D-032EA85C1A01}">
  <sheetPr codeName="Sheet13">
    <tabColor rgb="FF7030A0"/>
  </sheetPr>
  <dimension ref="A1"/>
  <sheetViews>
    <sheetView workbookViewId="0">
      <selection activeCell="B2" sqref="B2"/>
    </sheetView>
  </sheetViews>
  <sheetFormatPr baseColWidth="10" defaultColWidth="9.1640625" defaultRowHeight="15" x14ac:dyDescent="0.2"/>
  <cols>
    <col min="1" max="16384" width="9.1640625" style="150"/>
  </cols>
  <sheetData/>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A1317AC504AE0142992D80EE5044DF72" ma:contentTypeVersion="20" ma:contentTypeDescription="Create a new document." ma:contentTypeScope="" ma:versionID="4db5e129ab31c285a89695e92eebe5c5">
  <xsd:schema xmlns:xsd="http://www.w3.org/2001/XMLSchema" xmlns:xs="http://www.w3.org/2001/XMLSchema" xmlns:p="http://schemas.microsoft.com/office/2006/metadata/properties" xmlns:ns2="0765e0a5-7ba2-402d-9946-2e0ed7c63ed3" xmlns:ns3="6e23940f-583b-478a-a4f1-8d38fb5b28cc" targetNamespace="http://schemas.microsoft.com/office/2006/metadata/properties" ma:root="true" ma:fieldsID="8ab809647096a3a550d3b962d30810b0" ns2:_="" ns3:_="">
    <xsd:import namespace="0765e0a5-7ba2-402d-9946-2e0ed7c63ed3"/>
    <xsd:import namespace="6e23940f-583b-478a-a4f1-8d38fb5b28cc"/>
    <xsd:element name="properties">
      <xsd:complexType>
        <xsd:sequence>
          <xsd:element name="documentManagement">
            <xsd:complexType>
              <xsd:all>
                <xsd:element ref="ns2:_dlc_DocId" minOccurs="0"/>
                <xsd:element ref="ns2:_dlc_DocIdUrl" minOccurs="0"/>
                <xsd:element ref="ns2:_dlc_DocIdPersistId" minOccurs="0"/>
                <xsd:element ref="ns3:MediaServiceMetadata" minOccurs="0"/>
                <xsd:element ref="ns3:MediaServiceFastMetadata" minOccurs="0"/>
                <xsd:element ref="ns3:MediaServiceAutoKeyPoints" minOccurs="0"/>
                <xsd:element ref="ns3:MediaServiceKeyPoints"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Location" minOccurs="0"/>
                <xsd:element ref="ns2:SharedWithUsers" minOccurs="0"/>
                <xsd:element ref="ns2:SharedWithDetails" minOccurs="0"/>
                <xsd:element ref="ns3:MediaLengthInSeconds" minOccurs="0"/>
                <xsd:element ref="ns3:lcf76f155ced4ddcb4097134ff3c332f" minOccurs="0"/>
                <xsd:element ref="ns2:TaxCatchAll" minOccurs="0"/>
                <xsd:element ref="ns3:LotNumber"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765e0a5-7ba2-402d-9946-2e0ed7c63ed3"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SharedWithUsers" ma:index="2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2" nillable="true" ma:displayName="Shared With Details" ma:internalName="SharedWithDetails" ma:readOnly="true">
      <xsd:simpleType>
        <xsd:restriction base="dms:Note">
          <xsd:maxLength value="255"/>
        </xsd:restriction>
      </xsd:simpleType>
    </xsd:element>
    <xsd:element name="TaxCatchAll" ma:index="26" nillable="true" ma:displayName="Taxonomy Catch All Column" ma:hidden="true" ma:list="{0bbe2277-244b-4676-a645-2c737af1fdef}" ma:internalName="TaxCatchAll" ma:showField="CatchAllData" ma:web="0765e0a5-7ba2-402d-9946-2e0ed7c63ed3">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6e23940f-583b-478a-a4f1-8d38fb5b28cc"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DateTaken" ma:index="15" nillable="true" ma:displayName="MediaServiceDateTaken" ma:hidden="true" ma:internalName="MediaServiceDateTaken" ma:readOnly="true">
      <xsd:simpleType>
        <xsd:restriction base="dms:Text"/>
      </xsd:simpleType>
    </xsd:element>
    <xsd:element name="MediaServiceAutoTags" ma:index="16" nillable="true" ma:displayName="Tags" ma:internalName="MediaServiceAutoTags"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Location" ma:index="20" nillable="true" ma:displayName="Location" ma:internalName="MediaServiceLocation" ma:readOnly="true">
      <xsd:simpleType>
        <xsd:restriction base="dms:Text"/>
      </xsd:simpleType>
    </xsd:element>
    <xsd:element name="MediaLengthInSeconds" ma:index="23" nillable="true" ma:displayName="Length (seconds)" ma:internalName="MediaLengthInSeconds" ma:readOnly="true">
      <xsd:simpleType>
        <xsd:restriction base="dms:Unknown"/>
      </xsd:simpleType>
    </xsd:element>
    <xsd:element name="lcf76f155ced4ddcb4097134ff3c332f" ma:index="25" nillable="true" ma:taxonomy="true" ma:internalName="lcf76f155ced4ddcb4097134ff3c332f" ma:taxonomyFieldName="MediaServiceImageTags" ma:displayName="Image Tags" ma:readOnly="false" ma:fieldId="{5cf76f15-5ced-4ddc-b409-7134ff3c332f}" ma:taxonomyMulti="true" ma:sspId="33fb32de-e536-4b53-ad92-a645299bf04f" ma:termSetId="09814cd3-568e-fe90-9814-8d621ff8fb84" ma:anchorId="fba54fb3-c3e1-fe81-a776-ca4b69148c4d" ma:open="true" ma:isKeyword="false">
      <xsd:complexType>
        <xsd:sequence>
          <xsd:element ref="pc:Terms" minOccurs="0" maxOccurs="1"/>
        </xsd:sequence>
      </xsd:complexType>
    </xsd:element>
    <xsd:element name="LotNumber" ma:index="27" nillable="true" ma:displayName="Number Order" ma:format="Dropdown" ma:internalName="LotNumber" ma:percentage="FALSE">
      <xsd:simpleType>
        <xsd:restriction base="dms:Number">
          <xsd:maxInclusive value="999"/>
          <xsd:minInclusive value="0"/>
        </xsd:restriction>
      </xsd:simpleType>
    </xsd:element>
    <xsd:element name="MediaServiceObjectDetectorVersions" ma:index="28"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9"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_dlc_DocId xmlns="0765e0a5-7ba2-402d-9946-2e0ed7c63ed3">URSRN5MXTWVJ-218288145-224905</_dlc_DocId>
    <_dlc_DocIdUrl xmlns="0765e0a5-7ba2-402d-9946-2e0ed7c63ed3">
      <Url>https://netorg4686179.sharepoint.com/_layouts/15/DocIdRedir.aspx?ID=URSRN5MXTWVJ-218288145-224905</Url>
      <Description>URSRN5MXTWVJ-218288145-224905</Description>
    </_dlc_DocIdUrl>
    <TaxCatchAll xmlns="0765e0a5-7ba2-402d-9946-2e0ed7c63ed3" xsi:nil="true"/>
    <lcf76f155ced4ddcb4097134ff3c332f xmlns="6e23940f-583b-478a-a4f1-8d38fb5b28cc">
      <Terms xmlns="http://schemas.microsoft.com/office/infopath/2007/PartnerControls"/>
    </lcf76f155ced4ddcb4097134ff3c332f>
    <LotNumber xmlns="6e23940f-583b-478a-a4f1-8d38fb5b28cc" xsi:nil="true"/>
  </documentManagement>
</p:properties>
</file>

<file path=customXml/item4.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Props1.xml><?xml version="1.0" encoding="utf-8"?>
<ds:datastoreItem xmlns:ds="http://schemas.openxmlformats.org/officeDocument/2006/customXml" ds:itemID="{1FEE7931-965C-4716-AA0A-D6F74EF988F2}">
  <ds:schemaRefs>
    <ds:schemaRef ds:uri="http://schemas.microsoft.com/sharepoint/v3/contenttype/forms"/>
  </ds:schemaRefs>
</ds:datastoreItem>
</file>

<file path=customXml/itemProps2.xml><?xml version="1.0" encoding="utf-8"?>
<ds:datastoreItem xmlns:ds="http://schemas.openxmlformats.org/officeDocument/2006/customXml" ds:itemID="{D5C59E40-FCD0-41DD-86EE-166D7E80EFE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765e0a5-7ba2-402d-9946-2e0ed7c63ed3"/>
    <ds:schemaRef ds:uri="6e23940f-583b-478a-a4f1-8d38fb5b28c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3A34812-8725-4855-807D-D659D4C9EB7D}">
  <ds:schemaRefs>
    <ds:schemaRef ds:uri="http://purl.org/dc/dcmitype/"/>
    <ds:schemaRef ds:uri="http://schemas.microsoft.com/office/infopath/2007/PartnerControls"/>
    <ds:schemaRef ds:uri="http://www.w3.org/XML/1998/namespace"/>
    <ds:schemaRef ds:uri="6e23940f-583b-478a-a4f1-8d38fb5b28cc"/>
    <ds:schemaRef ds:uri="http://purl.org/dc/elements/1.1/"/>
    <ds:schemaRef ds:uri="http://schemas.microsoft.com/office/2006/documentManagement/types"/>
    <ds:schemaRef ds:uri="http://schemas.microsoft.com/office/2006/metadata/properties"/>
    <ds:schemaRef ds:uri="http://schemas.openxmlformats.org/package/2006/metadata/core-properties"/>
    <ds:schemaRef ds:uri="0765e0a5-7ba2-402d-9946-2e0ed7c63ed3"/>
    <ds:schemaRef ds:uri="http://purl.org/dc/terms/"/>
  </ds:schemaRefs>
</ds:datastoreItem>
</file>

<file path=customXml/itemProps4.xml><?xml version="1.0" encoding="utf-8"?>
<ds:datastoreItem xmlns:ds="http://schemas.openxmlformats.org/officeDocument/2006/customXml" ds:itemID="{A8472779-7EEF-4CD4-9B21-6D99EAECB1B0}">
  <ds:schemaRefs>
    <ds:schemaRef ds:uri="http://schemas.microsoft.com/sharepoint/events"/>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6" baseType="variant">
      <vt:variant>
        <vt:lpstr>Worksheets</vt:lpstr>
      </vt:variant>
      <vt:variant>
        <vt:i4>11</vt:i4>
      </vt:variant>
      <vt:variant>
        <vt:lpstr>Charts</vt:lpstr>
      </vt:variant>
      <vt:variant>
        <vt:i4>1</vt:i4>
      </vt:variant>
      <vt:variant>
        <vt:lpstr>Named Ranges</vt:lpstr>
      </vt:variant>
      <vt:variant>
        <vt:i4>37</vt:i4>
      </vt:variant>
    </vt:vector>
  </HeadingPairs>
  <TitlesOfParts>
    <vt:vector size="49" baseType="lpstr">
      <vt:lpstr>Executive Summary</vt:lpstr>
      <vt:lpstr>Financial Summary</vt:lpstr>
      <vt:lpstr>Park Images</vt:lpstr>
      <vt:lpstr>Proforma</vt:lpstr>
      <vt:lpstr>Notes</vt:lpstr>
      <vt:lpstr>Comps-Market-Park</vt:lpstr>
      <vt:lpstr>IE Data Entry</vt:lpstr>
      <vt:lpstr>IE SUMMARY</vt:lpstr>
      <vt:lpstr>Expense Compare Chart</vt:lpstr>
      <vt:lpstr>BVG Chart Of Accounts</vt:lpstr>
      <vt:lpstr>WaterFall</vt:lpstr>
      <vt:lpstr>Chart1</vt:lpstr>
      <vt:lpstr>AcquisitionFee</vt:lpstr>
      <vt:lpstr>AssetMgmtFee</vt:lpstr>
      <vt:lpstr>BVG_Internal</vt:lpstr>
      <vt:lpstr>BVGPromote</vt:lpstr>
      <vt:lpstr>ChartOfAccounts</vt:lpstr>
      <vt:lpstr>CommAssets</vt:lpstr>
      <vt:lpstr>Cost_of_Sale</vt:lpstr>
      <vt:lpstr>WaterFall!CU?</vt:lpstr>
      <vt:lpstr>Current_Year</vt:lpstr>
      <vt:lpstr>DispositionFee</vt:lpstr>
      <vt:lpstr>WaterFall!Equity_Share_LP</vt:lpstr>
      <vt:lpstr>WaterFall!Equity_Share_Sponsor</vt:lpstr>
      <vt:lpstr>FirstRefiYear</vt:lpstr>
      <vt:lpstr>GlobalInflation</vt:lpstr>
      <vt:lpstr>GoingInCapToHide</vt:lpstr>
      <vt:lpstr>Income_Account_Codes</vt:lpstr>
      <vt:lpstr>InitialLoan</vt:lpstr>
      <vt:lpstr>InvestorPref</vt:lpstr>
      <vt:lpstr>InvestorPromote</vt:lpstr>
      <vt:lpstr>MgmtFee</vt:lpstr>
      <vt:lpstr>MgmtFeeLimit</vt:lpstr>
      <vt:lpstr>MoveCount</vt:lpstr>
      <vt:lpstr>NewTaxes</vt:lpstr>
      <vt:lpstr>NoHighlightRange</vt:lpstr>
      <vt:lpstr>NoOfSpaces</vt:lpstr>
      <vt:lpstr>OccPadsNum</vt:lpstr>
      <vt:lpstr>OtherFTE</vt:lpstr>
      <vt:lpstr>Park_Name</vt:lpstr>
      <vt:lpstr>WaterFall!Preferred_Return</vt:lpstr>
      <vt:lpstr>Proforma!Print_Titles</vt:lpstr>
      <vt:lpstr>WaterFall!Promote_Structure</vt:lpstr>
      <vt:lpstr>Purchase_Price</vt:lpstr>
      <vt:lpstr>RefiCap</vt:lpstr>
      <vt:lpstr>RefinanceFee</vt:lpstr>
      <vt:lpstr>ResAssets</vt:lpstr>
      <vt:lpstr>SewerInflation</vt:lpstr>
      <vt:lpstr>WaterFall!Total_Equity</vt:lpstr>
    </vt:vector>
  </TitlesOfParts>
  <Manager/>
  <Company>Woodcrest Homes</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The BoaVida Group</dc:creator>
  <cp:keywords/>
  <dc:description/>
  <cp:lastModifiedBy>Rachel Zirin</cp:lastModifiedBy>
  <cp:revision/>
  <dcterms:created xsi:type="dcterms:W3CDTF">2002-10-16T22:59:56Z</dcterms:created>
  <dcterms:modified xsi:type="dcterms:W3CDTF">2025-09-02T19:18:43Z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0x010100A1317AC504AE0142992D80EE5044DF72</vt:lpwstr>
  </property>
  <property fmtid="{D5CDD505-2E9C-101B-9397-08002B2CF9AE}" pid="3" name="_dlc_DocIdItemGuid">
    <vt:lpwstr>277a8c4a-c0b6-4954-8234-5a6e64409666</vt:lpwstr>
  </property>
  <property fmtid="{D5CDD505-2E9C-101B-9397-08002B2CF9AE}" pid="4" name="MediaServiceImageTags">
    <vt:lpwstr/>
  </property>
</Properties>
</file>