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24"/>
  <workbookPr showInkAnnotation="0" updateLinks="never" codeName="ThisWorkbook"/>
  <mc:AlternateContent xmlns:mc="http://schemas.openxmlformats.org/markup-compatibility/2006">
    <mc:Choice Requires="x15">
      <x15ac:absPath xmlns:x15ac="http://schemas.microsoft.com/office/spreadsheetml/2010/11/ac" url="/Users/rachelzirin/Downloads/"/>
    </mc:Choice>
  </mc:AlternateContent>
  <xr:revisionPtr revIDLastSave="0" documentId="8_{09FA9036-E79D-074C-83A7-09F1328F4172}" xr6:coauthVersionLast="47" xr6:coauthVersionMax="47" xr10:uidLastSave="{00000000-0000-0000-0000-000000000000}"/>
  <bookViews>
    <workbookView xWindow="6800" yWindow="500" windowWidth="29040" windowHeight="15720" xr2:uid="{047DD966-0158-484F-9EE6-B569EC8A0788}"/>
  </bookViews>
  <sheets>
    <sheet name="Executive Summary" sheetId="8" r:id="rId1"/>
    <sheet name="Financial Summary" sheetId="7" r:id="rId2"/>
    <sheet name="Park Images" sheetId="5" r:id="rId3"/>
    <sheet name="Notes" sheetId="2" r:id="rId4"/>
    <sheet name="Proforma" sheetId="1" r:id="rId5"/>
    <sheet name="Comps-Market-Park" sheetId="4" state="hidden" r:id="rId6"/>
    <sheet name="IE Data Entry" sheetId="11" state="hidden" r:id="rId7"/>
    <sheet name="IE SUMMARY" sheetId="12" state="hidden" r:id="rId8"/>
    <sheet name="Chart1" sheetId="13" state="hidden" r:id="rId9"/>
    <sheet name="Expense Compare Chart" sheetId="14" state="hidden" r:id="rId10"/>
    <sheet name="BVG Chart Of Accounts" sheetId="15" state="hidden" r:id="rId11"/>
    <sheet name="WaterFall" sheetId="19" state="hidden" r:id="rId12"/>
  </sheets>
  <definedNames>
    <definedName name="_Fill" localSheetId="11" hidden="1">#REF!</definedName>
    <definedName name="_Fill" hidden="1">#REF!</definedName>
    <definedName name="_Order1" hidden="1">0</definedName>
    <definedName name="_Table2_Out" localSheetId="11" hidden="1">#REF!</definedName>
    <definedName name="_Table2_Out" hidden="1">#REF!</definedName>
    <definedName name="AcquisitionFee">Proforma!$N$6</definedName>
    <definedName name="AssetMgmtFee">Proforma!$N$7</definedName>
    <definedName name="BVG_Internal">Proforma!$153:$391</definedName>
    <definedName name="BVGPromote">Proforma!$K$21</definedName>
    <definedName name="ChartOfAccounts">'BVG Chart Of Accounts'!$A$18:$B$41</definedName>
    <definedName name="CommAssets">Notes!$D$73</definedName>
    <definedName name="Cost_of_Sale">Proforma!$I$157</definedName>
    <definedName name="CU?" localSheetId="11">WaterFall!$A$5</definedName>
    <definedName name="Current_Year">'IE Data Entry'!$B$3</definedName>
    <definedName name="DispositionFee">Proforma!$N$9</definedName>
    <definedName name="Equity_Share_LP" localSheetId="11">WaterFall!$C$9</definedName>
    <definedName name="Equity_Share_Sponsor" localSheetId="11">WaterFall!$C$8</definedName>
    <definedName name="FirstRefiYear">Proforma!$D$97</definedName>
    <definedName name="GlobalInflation">Proforma!$J$4</definedName>
    <definedName name="GoingInCapToHide">Proforma!$C$7:$D$7</definedName>
    <definedName name="Hilton" localSheetId="11"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Proforma!$F$92</definedName>
    <definedName name="IntroPrintArea" localSheetId="11" hidden="1">#REF!</definedName>
    <definedName name="IntroPrintArea" hidden="1">#REF!</definedName>
    <definedName name="InvestorPref">Proforma!$K$22</definedName>
    <definedName name="InvestorPromote">Proforma!$K$20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#REF!</definedName>
    <definedName name="MgmtFee">Proforma!$J$5</definedName>
    <definedName name="MgmtFeeLimit">Proforma!$J$6</definedName>
    <definedName name="MoveCount">'IE Data Entry'!$P$2</definedName>
    <definedName name="NewTaxes">Notes!$D$54</definedName>
    <definedName name="NoHighlightRange">Proforma!$E$29:$AJ$85</definedName>
    <definedName name="NoOfSpaces">Proforma!$D$15</definedName>
    <definedName name="OccPadsNum">Proforma!$E$15</definedName>
    <definedName name="OtherFTE">Notes!$K$51</definedName>
    <definedName name="Park_Name">Proforma!$U$1</definedName>
    <definedName name="Preferred_Return" localSheetId="11">WaterFall!$E$14</definedName>
    <definedName name="_xlnm.Print_Titles" localSheetId="4">Proforma!$33:$34</definedName>
    <definedName name="Promote_Structure" localSheetId="11">WaterFall!$B$13:$I$17</definedName>
    <definedName name="Purchase_Price">Proforma!$D$4</definedName>
    <definedName name="RefiCap">Proforma!$E$102</definedName>
    <definedName name="RefinanceFee">Proforma!$N$8</definedName>
    <definedName name="ResAssets">Notes!$D$79</definedName>
    <definedName name="SewerInflation">Proforma!$E$47</definedName>
    <definedName name="Total_Equity" localSheetId="11">WaterFall!$D$10</definedName>
    <definedName name="wrn.bankrep." localSheetId="11" hidden="1">{#N/A,#N/A,FALSE,"ExecSum";#N/A,#N/A,FALSE,"Summary";#N/A,#N/A,FALSE,"Budget";#N/A,#N/A,FALSE,"CashFlow"}</definedName>
    <definedName name="wrn.bankrep." hidden="1">{#N/A,#N/A,FALSE,"ExecSum";#N/A,#N/A,FALSE,"Summary";#N/A,#N/A,FALSE,"Budget";#N/A,#N/A,FALSE,"CashFlow"}</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2" l="1"/>
  <c r="C9" i="2"/>
  <c r="D91" i="1"/>
  <c r="F341" i="1"/>
  <c r="G341" i="1"/>
  <c r="H341" i="1"/>
  <c r="I341" i="1"/>
  <c r="J341" i="1"/>
  <c r="K341" i="1"/>
  <c r="L341" i="1"/>
  <c r="M341" i="1"/>
  <c r="N341" i="1"/>
  <c r="O341" i="1"/>
  <c r="F337" i="1"/>
  <c r="G337" i="1"/>
  <c r="H337" i="1"/>
  <c r="I337" i="1"/>
  <c r="J337" i="1"/>
  <c r="K337" i="1"/>
  <c r="L337" i="1"/>
  <c r="M337" i="1"/>
  <c r="N337" i="1"/>
  <c r="O337" i="1"/>
  <c r="F288" i="1"/>
  <c r="G288" i="1"/>
  <c r="H288" i="1"/>
  <c r="I288" i="1"/>
  <c r="J288" i="1"/>
  <c r="F284" i="1"/>
  <c r="G284" i="1"/>
  <c r="H284" i="1"/>
  <c r="I284" i="1"/>
  <c r="J284" i="1"/>
  <c r="F285" i="1"/>
  <c r="G285" i="1"/>
  <c r="H285" i="1"/>
  <c r="I285" i="1"/>
  <c r="J285" i="1"/>
  <c r="F235" i="1"/>
  <c r="G235" i="1"/>
  <c r="H235" i="1"/>
  <c r="C235" i="1"/>
  <c r="C288" i="1" s="1"/>
  <c r="C341" i="1" s="1"/>
  <c r="H231" i="1"/>
  <c r="G231" i="1"/>
  <c r="F231" i="1"/>
  <c r="C231" i="1"/>
  <c r="C284" i="1" s="1"/>
  <c r="C337" i="1" s="1"/>
  <c r="D95" i="1"/>
  <c r="N13" i="1" l="1"/>
  <c r="C103" i="1" l="1"/>
  <c r="K16" i="1" l="1"/>
  <c r="L16" i="1" s="1"/>
  <c r="C8" i="2" l="1"/>
  <c r="D17" i="1" l="1"/>
  <c r="G338" i="1"/>
  <c r="H338" i="1"/>
  <c r="I338" i="1"/>
  <c r="J338" i="1"/>
  <c r="K338" i="1"/>
  <c r="L338" i="1"/>
  <c r="M338" i="1"/>
  <c r="N338" i="1"/>
  <c r="O338" i="1"/>
  <c r="F338" i="1"/>
  <c r="G232" i="1"/>
  <c r="H232" i="1"/>
  <c r="F232" i="1"/>
  <c r="C234" i="1"/>
  <c r="C287" i="1" s="1"/>
  <c r="C340" i="1" s="1"/>
  <c r="C233" i="1"/>
  <c r="C286" i="1" s="1"/>
  <c r="C339" i="1" s="1"/>
  <c r="C232" i="1"/>
  <c r="Q2" i="11"/>
  <c r="F64" i="1"/>
  <c r="Q3" i="11"/>
  <c r="S2" i="4"/>
  <c r="P11" i="4" s="1"/>
  <c r="P3" i="4"/>
  <c r="R11" i="4" s="1"/>
  <c r="N4" i="4"/>
  <c r="M11" i="4"/>
  <c r="N11" i="4" s="1"/>
  <c r="P7" i="4"/>
  <c r="M7" i="4"/>
  <c r="U19" i="1"/>
  <c r="S20" i="1"/>
  <c r="Q4" i="4" l="1"/>
  <c r="S11" i="4"/>
  <c r="C285" i="1"/>
  <c r="C338" i="1" s="1"/>
  <c r="T22" i="1"/>
  <c r="P19" i="1" l="1"/>
  <c r="P23" i="1" s="1"/>
  <c r="O22" i="1"/>
  <c r="O21" i="1"/>
  <c r="O20" i="1"/>
  <c r="B45" i="12"/>
  <c r="C45" i="12"/>
  <c r="D45" i="12"/>
  <c r="E45" i="12"/>
  <c r="G45" i="12"/>
  <c r="B46" i="12"/>
  <c r="C46" i="12"/>
  <c r="D46" i="12"/>
  <c r="E46" i="12"/>
  <c r="G46" i="12"/>
  <c r="B47" i="12"/>
  <c r="C47" i="12"/>
  <c r="D47" i="12"/>
  <c r="E47" i="12"/>
  <c r="G47" i="12"/>
  <c r="H47" i="12"/>
  <c r="B48" i="12"/>
  <c r="C48" i="12"/>
  <c r="D48" i="12"/>
  <c r="E48" i="12"/>
  <c r="G48" i="12"/>
  <c r="H48" i="12"/>
  <c r="B49" i="12"/>
  <c r="C49" i="12"/>
  <c r="D49" i="12"/>
  <c r="E49" i="12"/>
  <c r="G49" i="12"/>
  <c r="H49" i="12"/>
  <c r="B50" i="12"/>
  <c r="C50" i="12"/>
  <c r="D50" i="12"/>
  <c r="E50" i="12"/>
  <c r="G50" i="12"/>
  <c r="H50" i="12"/>
  <c r="B51" i="12"/>
  <c r="C51" i="12"/>
  <c r="D51" i="12"/>
  <c r="E51" i="12"/>
  <c r="G51" i="12"/>
  <c r="H51" i="12"/>
  <c r="B52" i="12"/>
  <c r="C52" i="12"/>
  <c r="D52" i="12"/>
  <c r="E52" i="12"/>
  <c r="G52" i="12"/>
  <c r="H52" i="12"/>
  <c r="B53" i="12"/>
  <c r="C53" i="12"/>
  <c r="D53" i="12"/>
  <c r="E53" i="12"/>
  <c r="G53" i="12"/>
  <c r="H53" i="12"/>
  <c r="B54" i="12"/>
  <c r="C54" i="12"/>
  <c r="D54" i="12"/>
  <c r="E54" i="12"/>
  <c r="G54" i="12"/>
  <c r="B55" i="12"/>
  <c r="C55" i="12"/>
  <c r="D55" i="12"/>
  <c r="E55" i="12"/>
  <c r="G55" i="12"/>
  <c r="H35" i="12"/>
  <c r="H36" i="12"/>
  <c r="H79" i="12" s="1"/>
  <c r="H37" i="12"/>
  <c r="H85" i="12" s="1"/>
  <c r="H38" i="12"/>
  <c r="H39" i="12"/>
  <c r="H97" i="12" s="1"/>
  <c r="H40" i="12"/>
  <c r="H41" i="12"/>
  <c r="H15" i="12"/>
  <c r="H16" i="12"/>
  <c r="H78" i="12" s="1"/>
  <c r="H17" i="12"/>
  <c r="H84" i="12" s="1"/>
  <c r="H18" i="12"/>
  <c r="H90" i="12" s="1"/>
  <c r="H19" i="12"/>
  <c r="H96" i="12" s="1"/>
  <c r="H20" i="12"/>
  <c r="H24" i="12"/>
  <c r="H7" i="12"/>
  <c r="H8" i="12"/>
  <c r="H9" i="12"/>
  <c r="H10" i="12"/>
  <c r="J43" i="11"/>
  <c r="H45" i="12" s="1"/>
  <c r="D23" i="2"/>
  <c r="C23" i="2" s="1"/>
  <c r="C24" i="2"/>
  <c r="C22" i="2"/>
  <c r="C21" i="2"/>
  <c r="F75" i="1"/>
  <c r="I51" i="12" s="1"/>
  <c r="O19" i="1"/>
  <c r="E108" i="1"/>
  <c r="M22" i="1" l="1"/>
  <c r="O25" i="1"/>
  <c r="O23" i="1"/>
  <c r="H102" i="12"/>
  <c r="H21" i="12"/>
  <c r="H72" i="12"/>
  <c r="H66" i="12"/>
  <c r="H11" i="12"/>
  <c r="H67" i="12"/>
  <c r="H103" i="12"/>
  <c r="H80" i="12"/>
  <c r="H81" i="12"/>
  <c r="H98" i="12"/>
  <c r="H99" i="12"/>
  <c r="H91" i="12"/>
  <c r="H93" i="12" s="1"/>
  <c r="H87" i="12"/>
  <c r="H73" i="12"/>
  <c r="H86" i="12"/>
  <c r="G29" i="11"/>
  <c r="H29" i="11"/>
  <c r="H9" i="11"/>
  <c r="Q4" i="11" s="1"/>
  <c r="G9" i="11"/>
  <c r="D15" i="1"/>
  <c r="L11" i="4" l="1"/>
  <c r="O11" i="4" s="1"/>
  <c r="Q11" i="4" s="1"/>
  <c r="G29" i="1"/>
  <c r="H29" i="1" s="1"/>
  <c r="H68" i="12"/>
  <c r="H69" i="12"/>
  <c r="H75" i="12"/>
  <c r="H104" i="12"/>
  <c r="H26" i="12"/>
  <c r="H92" i="12"/>
  <c r="J44" i="11"/>
  <c r="H46" i="12" s="1"/>
  <c r="E70" i="1"/>
  <c r="H74" i="12"/>
  <c r="E4" i="1"/>
  <c r="D10" i="1" s="1"/>
  <c r="J30" i="11"/>
  <c r="J52" i="11"/>
  <c r="H54" i="12" s="1"/>
  <c r="J42" i="11"/>
  <c r="H44" i="12" s="1"/>
  <c r="J41" i="11"/>
  <c r="H43" i="12" s="1"/>
  <c r="J40" i="11"/>
  <c r="H42" i="12" s="1"/>
  <c r="T11" i="4" l="1"/>
  <c r="J32" i="11"/>
  <c r="H34" i="12" s="1"/>
  <c r="J31" i="11"/>
  <c r="H33" i="12" s="1"/>
  <c r="H32" i="12"/>
  <c r="T1" i="1"/>
  <c r="D1" i="1" s="1"/>
  <c r="AI113" i="1"/>
  <c r="AJ113" i="1"/>
  <c r="P25" i="1"/>
  <c r="G27" i="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D32" i="12"/>
  <c r="G7" i="19"/>
  <c r="G5" i="19"/>
  <c r="B106" i="19"/>
  <c r="B99" i="19"/>
  <c r="B93" i="19"/>
  <c r="B84" i="19"/>
  <c r="B78" i="19"/>
  <c r="F74" i="19"/>
  <c r="F81" i="19" s="1"/>
  <c r="B69" i="19"/>
  <c r="B67" i="19"/>
  <c r="F62" i="19"/>
  <c r="B59" i="19"/>
  <c r="F53" i="19"/>
  <c r="F38" i="19"/>
  <c r="G37" i="19"/>
  <c r="H37" i="19" s="1"/>
  <c r="I37" i="19" s="1"/>
  <c r="F31" i="19"/>
  <c r="E16" i="19"/>
  <c r="C88" i="19" s="1"/>
  <c r="E15" i="19"/>
  <c r="C73" i="19" s="1"/>
  <c r="B80" i="19" s="1"/>
  <c r="H14" i="19"/>
  <c r="I14" i="19" s="1"/>
  <c r="E14" i="19"/>
  <c r="C52" i="19" s="1"/>
  <c r="B13" i="19"/>
  <c r="C9" i="19"/>
  <c r="H17" i="19" s="1"/>
  <c r="I17" i="19" s="1"/>
  <c r="C44" i="19"/>
  <c r="D44" i="19" s="1"/>
  <c r="E15" i="1"/>
  <c r="G65" i="12"/>
  <c r="I60" i="12"/>
  <c r="I65" i="12" s="1"/>
  <c r="D25" i="11"/>
  <c r="E25" i="11"/>
  <c r="F25" i="11"/>
  <c r="G25" i="11"/>
  <c r="I25" i="11"/>
  <c r="C25" i="11"/>
  <c r="F101" i="11"/>
  <c r="C79" i="1"/>
  <c r="C30" i="1"/>
  <c r="C31" i="1"/>
  <c r="C29" i="1"/>
  <c r="D36" i="1"/>
  <c r="D35" i="1"/>
  <c r="D34" i="1"/>
  <c r="C100" i="1"/>
  <c r="F17" i="1"/>
  <c r="E51" i="1"/>
  <c r="D161" i="1" s="1"/>
  <c r="E161" i="1" s="1"/>
  <c r="E35" i="1"/>
  <c r="E36" i="1"/>
  <c r="E34" i="1"/>
  <c r="C66" i="1"/>
  <c r="F45" i="1"/>
  <c r="F47" i="1"/>
  <c r="I18" i="12" s="1"/>
  <c r="F48" i="1"/>
  <c r="B48" i="1" s="1"/>
  <c r="F49" i="1"/>
  <c r="F44" i="1"/>
  <c r="G334" i="1"/>
  <c r="H334" i="1"/>
  <c r="I334" i="1"/>
  <c r="J334" i="1"/>
  <c r="G336" i="1"/>
  <c r="H336" i="1"/>
  <c r="I336" i="1"/>
  <c r="J336" i="1"/>
  <c r="K336" i="1"/>
  <c r="L336" i="1"/>
  <c r="M336" i="1"/>
  <c r="N336" i="1"/>
  <c r="O336" i="1"/>
  <c r="G343" i="1"/>
  <c r="H343" i="1"/>
  <c r="I343" i="1"/>
  <c r="J343" i="1"/>
  <c r="K343" i="1"/>
  <c r="L343" i="1"/>
  <c r="M343" i="1"/>
  <c r="N343" i="1"/>
  <c r="F334" i="1"/>
  <c r="F336" i="1"/>
  <c r="F343" i="1"/>
  <c r="C302" i="1"/>
  <c r="C355" i="1" s="1"/>
  <c r="C312" i="1"/>
  <c r="C313" i="1"/>
  <c r="G281" i="1"/>
  <c r="H281" i="1"/>
  <c r="I281" i="1"/>
  <c r="J281" i="1"/>
  <c r="G283" i="1"/>
  <c r="H283" i="1"/>
  <c r="I283" i="1"/>
  <c r="J283" i="1"/>
  <c r="G290" i="1"/>
  <c r="H290" i="1"/>
  <c r="I290" i="1"/>
  <c r="F281" i="1"/>
  <c r="F283" i="1"/>
  <c r="F290" i="1"/>
  <c r="C276" i="1"/>
  <c r="C329" i="1" s="1"/>
  <c r="C291" i="1"/>
  <c r="C344" i="1" s="1"/>
  <c r="C244" i="1"/>
  <c r="C297" i="1" s="1"/>
  <c r="C350" i="1" s="1"/>
  <c r="C245" i="1"/>
  <c r="C298" i="1" s="1"/>
  <c r="C351" i="1" s="1"/>
  <c r="C246" i="1"/>
  <c r="C299" i="1" s="1"/>
  <c r="C352" i="1" s="1"/>
  <c r="C247" i="1"/>
  <c r="C300" i="1" s="1"/>
  <c r="C353" i="1" s="1"/>
  <c r="C248" i="1"/>
  <c r="C301" i="1" s="1"/>
  <c r="C354" i="1" s="1"/>
  <c r="C250" i="1"/>
  <c r="C303" i="1" s="1"/>
  <c r="C356" i="1" s="1"/>
  <c r="C251" i="1"/>
  <c r="C304" i="1" s="1"/>
  <c r="C357" i="1" s="1"/>
  <c r="C252" i="1"/>
  <c r="C305" i="1" s="1"/>
  <c r="C358" i="1" s="1"/>
  <c r="C253" i="1"/>
  <c r="C306" i="1" s="1"/>
  <c r="C359" i="1" s="1"/>
  <c r="C254" i="1"/>
  <c r="C307" i="1" s="1"/>
  <c r="C360" i="1" s="1"/>
  <c r="C255" i="1"/>
  <c r="C308" i="1" s="1"/>
  <c r="C361" i="1" s="1"/>
  <c r="C256" i="1"/>
  <c r="C309" i="1" s="1"/>
  <c r="C362" i="1" s="1"/>
  <c r="C243" i="1"/>
  <c r="C296" i="1" s="1"/>
  <c r="C349" i="1" s="1"/>
  <c r="F224" i="1"/>
  <c r="G224" i="1"/>
  <c r="H224" i="1"/>
  <c r="F228" i="1"/>
  <c r="G228" i="1"/>
  <c r="H228" i="1"/>
  <c r="F230" i="1"/>
  <c r="G230" i="1"/>
  <c r="H230" i="1"/>
  <c r="F237" i="1"/>
  <c r="G237" i="1"/>
  <c r="C216" i="1"/>
  <c r="C269" i="1" s="1"/>
  <c r="C322" i="1" s="1"/>
  <c r="C217" i="1"/>
  <c r="C270" i="1" s="1"/>
  <c r="C323" i="1" s="1"/>
  <c r="C218" i="1"/>
  <c r="C271" i="1" s="1"/>
  <c r="C324" i="1" s="1"/>
  <c r="C219" i="1"/>
  <c r="C272" i="1" s="1"/>
  <c r="C325" i="1" s="1"/>
  <c r="C220" i="1"/>
  <c r="C273" i="1" s="1"/>
  <c r="C326" i="1" s="1"/>
  <c r="C221" i="1"/>
  <c r="C274" i="1" s="1"/>
  <c r="C327" i="1" s="1"/>
  <c r="C278" i="1"/>
  <c r="C331" i="1" s="1"/>
  <c r="C227" i="1"/>
  <c r="C280" i="1" s="1"/>
  <c r="C333" i="1" s="1"/>
  <c r="C228" i="1"/>
  <c r="C281" i="1" s="1"/>
  <c r="C334" i="1" s="1"/>
  <c r="C229" i="1"/>
  <c r="C282" i="1" s="1"/>
  <c r="C335" i="1" s="1"/>
  <c r="C230" i="1"/>
  <c r="C283" i="1" s="1"/>
  <c r="C336" i="1" s="1"/>
  <c r="C236" i="1"/>
  <c r="C289" i="1" s="1"/>
  <c r="C342" i="1" s="1"/>
  <c r="C237" i="1"/>
  <c r="C290" i="1" s="1"/>
  <c r="C343" i="1" s="1"/>
  <c r="C239" i="1"/>
  <c r="C292" i="1" s="1"/>
  <c r="C345" i="1" s="1"/>
  <c r="C215" i="1"/>
  <c r="C268" i="1" s="1"/>
  <c r="C321" i="1" s="1"/>
  <c r="C28" i="2"/>
  <c r="I48" i="2"/>
  <c r="G51" i="2"/>
  <c r="J51" i="2" s="1"/>
  <c r="I50" i="2"/>
  <c r="I49" i="2"/>
  <c r="G45" i="2"/>
  <c r="K45" i="2" s="1"/>
  <c r="I44" i="2"/>
  <c r="I43" i="2"/>
  <c r="I42" i="2"/>
  <c r="I37" i="2"/>
  <c r="I38" i="2"/>
  <c r="G39" i="2"/>
  <c r="I36" i="2"/>
  <c r="F14" i="1"/>
  <c r="G14" i="1" s="1"/>
  <c r="F13" i="1"/>
  <c r="G13" i="1" s="1"/>
  <c r="C159" i="1"/>
  <c r="D35" i="2"/>
  <c r="D41" i="2" s="1"/>
  <c r="D53" i="2"/>
  <c r="D52" i="2"/>
  <c r="B50" i="2"/>
  <c r="D63" i="2"/>
  <c r="D67" i="2" s="1"/>
  <c r="D55" i="1"/>
  <c r="F323" i="1"/>
  <c r="D77" i="2"/>
  <c r="D76" i="2"/>
  <c r="D75" i="2"/>
  <c r="D73" i="2"/>
  <c r="G90" i="1"/>
  <c r="G43" i="12"/>
  <c r="G42" i="12"/>
  <c r="G38" i="12"/>
  <c r="G91" i="12" s="1"/>
  <c r="G36" i="12"/>
  <c r="G79" i="12" s="1"/>
  <c r="G35" i="12"/>
  <c r="G73" i="12" s="1"/>
  <c r="E42" i="12"/>
  <c r="E40" i="12"/>
  <c r="E37" i="12"/>
  <c r="E85" i="12" s="1"/>
  <c r="E34" i="12"/>
  <c r="F59" i="12"/>
  <c r="F65" i="12" s="1"/>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D38" i="12"/>
  <c r="C38" i="12"/>
  <c r="B38" i="12"/>
  <c r="G37" i="12"/>
  <c r="G85" i="12" s="1"/>
  <c r="D37" i="12"/>
  <c r="D85" i="12" s="1"/>
  <c r="C37" i="12"/>
  <c r="C85" i="12" s="1"/>
  <c r="B37" i="12"/>
  <c r="B85" i="12" s="1"/>
  <c r="E36" i="12"/>
  <c r="E79" i="12" s="1"/>
  <c r="D36" i="12"/>
  <c r="C36" i="12"/>
  <c r="C79" i="12" s="1"/>
  <c r="B36" i="12"/>
  <c r="B79" i="12" s="1"/>
  <c r="E35" i="12"/>
  <c r="E73" i="12" s="1"/>
  <c r="D35" i="12"/>
  <c r="C35" i="12"/>
  <c r="C73" i="12" s="1"/>
  <c r="B35" i="12"/>
  <c r="B73" i="12" s="1"/>
  <c r="G34" i="12"/>
  <c r="D34" i="12"/>
  <c r="C34" i="12"/>
  <c r="B34" i="12"/>
  <c r="G33" i="12"/>
  <c r="E33" i="12"/>
  <c r="D33" i="12"/>
  <c r="C33" i="12"/>
  <c r="B33" i="12"/>
  <c r="E32" i="12"/>
  <c r="C32" i="12"/>
  <c r="B32" i="12"/>
  <c r="F31" i="12"/>
  <c r="F110" i="12" s="1"/>
  <c r="G24" i="12"/>
  <c r="E24" i="12"/>
  <c r="D24" i="12"/>
  <c r="C24" i="12"/>
  <c r="B24" i="12"/>
  <c r="G20" i="12"/>
  <c r="E20" i="12"/>
  <c r="D20" i="12"/>
  <c r="C20" i="12"/>
  <c r="B20" i="12"/>
  <c r="G19" i="12"/>
  <c r="G96" i="12" s="1"/>
  <c r="E19" i="12"/>
  <c r="E96" i="12" s="1"/>
  <c r="D19" i="12"/>
  <c r="D96" i="12" s="1"/>
  <c r="C19" i="12"/>
  <c r="C96" i="12" s="1"/>
  <c r="B19" i="12"/>
  <c r="G18" i="12"/>
  <c r="G90" i="12" s="1"/>
  <c r="E18" i="12"/>
  <c r="E90" i="12" s="1"/>
  <c r="D18" i="12"/>
  <c r="C18" i="12"/>
  <c r="C90" i="12" s="1"/>
  <c r="B18" i="12"/>
  <c r="G17" i="12"/>
  <c r="G84" i="12" s="1"/>
  <c r="E17" i="12"/>
  <c r="E84" i="12" s="1"/>
  <c r="D17" i="12"/>
  <c r="D84" i="12" s="1"/>
  <c r="C17" i="12"/>
  <c r="C84" i="12" s="1"/>
  <c r="B17" i="12"/>
  <c r="G16" i="12"/>
  <c r="G78" i="12" s="1"/>
  <c r="E16" i="12"/>
  <c r="D16" i="12"/>
  <c r="D78" i="12" s="1"/>
  <c r="C16" i="12"/>
  <c r="B16" i="12"/>
  <c r="G15" i="12"/>
  <c r="G72" i="12" s="1"/>
  <c r="E15" i="12"/>
  <c r="E72" i="12" s="1"/>
  <c r="D15" i="12"/>
  <c r="D72" i="12" s="1"/>
  <c r="C15" i="12"/>
  <c r="C72" i="12" s="1"/>
  <c r="B15" i="12"/>
  <c r="G10" i="12"/>
  <c r="E10" i="12"/>
  <c r="D10" i="12"/>
  <c r="C10" i="12"/>
  <c r="B10" i="12"/>
  <c r="G9" i="12"/>
  <c r="E9" i="12"/>
  <c r="D9" i="12"/>
  <c r="C9" i="12"/>
  <c r="B9" i="12"/>
  <c r="G8" i="12"/>
  <c r="E8" i="12"/>
  <c r="D8" i="12"/>
  <c r="C8" i="12"/>
  <c r="B8" i="12"/>
  <c r="G7" i="12"/>
  <c r="E7" i="12"/>
  <c r="D7" i="12"/>
  <c r="C7" i="12"/>
  <c r="B7" i="12"/>
  <c r="F4" i="12"/>
  <c r="A1" i="12"/>
  <c r="E101" i="11"/>
  <c r="D101" i="11"/>
  <c r="C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F29" i="11"/>
  <c r="E31" i="12" s="1"/>
  <c r="L24" i="11"/>
  <c r="L23" i="11"/>
  <c r="L22" i="11"/>
  <c r="L21" i="11"/>
  <c r="L20" i="11"/>
  <c r="L19" i="11"/>
  <c r="L18" i="11"/>
  <c r="L17" i="11"/>
  <c r="L16" i="11"/>
  <c r="L15" i="11"/>
  <c r="L14" i="11"/>
  <c r="L13" i="11"/>
  <c r="L12" i="11"/>
  <c r="L11" i="11"/>
  <c r="L10" i="11"/>
  <c r="H5" i="11"/>
  <c r="H51" i="11" s="1"/>
  <c r="F53" i="12" s="1"/>
  <c r="A5" i="11"/>
  <c r="B4" i="11"/>
  <c r="B91" i="12"/>
  <c r="G101" i="11"/>
  <c r="C47" i="2"/>
  <c r="C49" i="2"/>
  <c r="C44" i="2"/>
  <c r="C45" i="2"/>
  <c r="C37" i="2"/>
  <c r="C40" i="2"/>
  <c r="C41" i="2"/>
  <c r="C39" i="2"/>
  <c r="C46" i="2"/>
  <c r="C36" i="2"/>
  <c r="C42" i="2"/>
  <c r="C38" i="2"/>
  <c r="C43" i="2"/>
  <c r="C48" i="2"/>
  <c r="G32" i="12"/>
  <c r="I101" i="11"/>
  <c r="E71" i="1"/>
  <c r="F30" i="1"/>
  <c r="G30" i="1" s="1"/>
  <c r="F31" i="1"/>
  <c r="G31" i="1" s="1"/>
  <c r="H31" i="1" s="1"/>
  <c r="F12" i="1"/>
  <c r="E37" i="1" s="1"/>
  <c r="F37" i="1" s="1"/>
  <c r="F46" i="1" s="1"/>
  <c r="F72" i="1"/>
  <c r="I48" i="12" s="1"/>
  <c r="B5" i="7"/>
  <c r="B9" i="8" s="1"/>
  <c r="A1" i="5"/>
  <c r="D50" i="1"/>
  <c r="D160" i="1" s="1"/>
  <c r="E160" i="1" s="1"/>
  <c r="F65" i="1"/>
  <c r="I41" i="12" s="1"/>
  <c r="F73" i="1"/>
  <c r="I49" i="12" s="1"/>
  <c r="F74" i="1"/>
  <c r="I50" i="12" s="1"/>
  <c r="F78" i="1"/>
  <c r="I54" i="12" s="1"/>
  <c r="K21" i="1"/>
  <c r="E38" i="8" s="1"/>
  <c r="D9" i="1"/>
  <c r="E34" i="8" s="1"/>
  <c r="F12" i="7"/>
  <c r="I12" i="7"/>
  <c r="H12" i="7"/>
  <c r="G12" i="7"/>
  <c r="E12" i="7"/>
  <c r="A2" i="7"/>
  <c r="D34" i="8"/>
  <c r="G9" i="8"/>
  <c r="B6" i="8"/>
  <c r="F63" i="19" l="1"/>
  <c r="H45" i="2"/>
  <c r="G37" i="1"/>
  <c r="G35" i="1"/>
  <c r="G39" i="1" s="1"/>
  <c r="C35" i="1"/>
  <c r="C39" i="1" s="1"/>
  <c r="A8" i="12"/>
  <c r="A11" i="11"/>
  <c r="C36" i="1"/>
  <c r="C40" i="1" s="1"/>
  <c r="A9" i="12"/>
  <c r="A12" i="11"/>
  <c r="C34" i="1"/>
  <c r="C38" i="1" s="1"/>
  <c r="A7" i="12"/>
  <c r="A10" i="11"/>
  <c r="G74" i="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G44" i="1"/>
  <c r="H44" i="1" s="1"/>
  <c r="I44" i="1" s="1"/>
  <c r="J44" i="1" s="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F44" i="19"/>
  <c r="F55" i="19"/>
  <c r="G78" i="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T43" i="1"/>
  <c r="G72" i="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J14" i="19"/>
  <c r="J45" i="2"/>
  <c r="H15" i="19"/>
  <c r="I15" i="19" s="1"/>
  <c r="E103" i="12"/>
  <c r="B47" i="1"/>
  <c r="G38" i="19"/>
  <c r="H38" i="19" s="1"/>
  <c r="I38" i="19" s="1"/>
  <c r="J37" i="19"/>
  <c r="B95" i="19"/>
  <c r="C103" i="19"/>
  <c r="H21" i="11"/>
  <c r="H77" i="11"/>
  <c r="H60" i="11"/>
  <c r="H74" i="11"/>
  <c r="B71" i="1"/>
  <c r="H71" i="11"/>
  <c r="H43" i="11"/>
  <c r="F45" i="12" s="1"/>
  <c r="H13" i="11"/>
  <c r="F10" i="12" s="1"/>
  <c r="H70" i="11"/>
  <c r="H42" i="11"/>
  <c r="F44" i="12" s="1"/>
  <c r="H12" i="11"/>
  <c r="F9" i="12" s="1"/>
  <c r="H69" i="11"/>
  <c r="H37" i="11"/>
  <c r="F39" i="12" s="1"/>
  <c r="F97" i="12" s="1"/>
  <c r="H84" i="11"/>
  <c r="H10" i="11"/>
  <c r="F75" i="19"/>
  <c r="H16" i="19"/>
  <c r="I16" i="19" s="1"/>
  <c r="J17" i="19" s="1"/>
  <c r="H79" i="11"/>
  <c r="H78" i="11"/>
  <c r="H20" i="11"/>
  <c r="F24" i="12" s="1"/>
  <c r="H41" i="11"/>
  <c r="F43" i="12" s="1"/>
  <c r="H22" i="11"/>
  <c r="H75" i="11"/>
  <c r="H46" i="11"/>
  <c r="F48" i="12" s="1"/>
  <c r="J48" i="12" s="1"/>
  <c r="H14" i="11"/>
  <c r="F15" i="12" s="1"/>
  <c r="H67" i="11"/>
  <c r="H39" i="11"/>
  <c r="F41" i="12" s="1"/>
  <c r="J41" i="12" s="1"/>
  <c r="H98" i="11"/>
  <c r="H66" i="11"/>
  <c r="H97" i="11"/>
  <c r="H65" i="11"/>
  <c r="H33" i="11"/>
  <c r="F35" i="12" s="1"/>
  <c r="F73" i="12" s="1"/>
  <c r="H80" i="11"/>
  <c r="H52" i="11"/>
  <c r="F54" i="12" s="1"/>
  <c r="F322" i="1"/>
  <c r="C4" i="2"/>
  <c r="C10" i="2" s="1"/>
  <c r="C30" i="2" s="1"/>
  <c r="A5" i="19"/>
  <c r="H38" i="11"/>
  <c r="F40" i="12" s="1"/>
  <c r="G93" i="1"/>
  <c r="H96" i="11"/>
  <c r="H95" i="11"/>
  <c r="H62" i="11"/>
  <c r="H91" i="11"/>
  <c r="H59" i="11"/>
  <c r="H35" i="11"/>
  <c r="F37" i="12" s="1"/>
  <c r="F85" i="12" s="1"/>
  <c r="H90" i="11"/>
  <c r="H58" i="11"/>
  <c r="H34" i="11"/>
  <c r="F36" i="12" s="1"/>
  <c r="F79" i="12" s="1"/>
  <c r="H89" i="11"/>
  <c r="H53" i="11"/>
  <c r="F55" i="12" s="1"/>
  <c r="H19" i="11"/>
  <c r="F20" i="12" s="1"/>
  <c r="H72" i="11"/>
  <c r="H47" i="11"/>
  <c r="F49" i="12" s="1"/>
  <c r="J49" i="12" s="1"/>
  <c r="H73" i="11"/>
  <c r="H56" i="11"/>
  <c r="H93" i="11"/>
  <c r="H76" i="11"/>
  <c r="H87" i="11"/>
  <c r="H55" i="11"/>
  <c r="H86" i="11"/>
  <c r="H54" i="11"/>
  <c r="H30" i="11"/>
  <c r="F32" i="12" s="1"/>
  <c r="H85" i="11"/>
  <c r="H15" i="11"/>
  <c r="F16" i="12" s="1"/>
  <c r="H68" i="11"/>
  <c r="H36" i="11"/>
  <c r="F38" i="12" s="1"/>
  <c r="F91" i="12" s="1"/>
  <c r="D79" i="2"/>
  <c r="D80" i="2" s="1"/>
  <c r="D83" i="2" s="1"/>
  <c r="F140" i="1" s="1"/>
  <c r="I51" i="2"/>
  <c r="H17" i="11"/>
  <c r="F18" i="12" s="1"/>
  <c r="J18" i="12" s="1"/>
  <c r="H16" i="11"/>
  <c r="F17" i="12" s="1"/>
  <c r="H92" i="11"/>
  <c r="H63" i="11"/>
  <c r="H94" i="11"/>
  <c r="H61" i="11"/>
  <c r="H23" i="11"/>
  <c r="H44" i="11"/>
  <c r="F46" i="12" s="1"/>
  <c r="H83" i="11"/>
  <c r="H31" i="11"/>
  <c r="F33" i="12" s="1"/>
  <c r="H82" i="11"/>
  <c r="H50" i="11"/>
  <c r="F52" i="12" s="1"/>
  <c r="H24" i="11"/>
  <c r="H81" i="11"/>
  <c r="H45" i="11"/>
  <c r="F47" i="12" s="1"/>
  <c r="H100" i="11"/>
  <c r="H64" i="11"/>
  <c r="H32" i="11"/>
  <c r="F34" i="12" s="1"/>
  <c r="H99" i="11"/>
  <c r="G47" i="1"/>
  <c r="H47" i="1" s="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E60" i="12"/>
  <c r="E110" i="12" s="1"/>
  <c r="E5" i="12"/>
  <c r="H49" i="11"/>
  <c r="F51" i="12" s="1"/>
  <c r="H88" i="11"/>
  <c r="H40" i="11"/>
  <c r="F42" i="12" s="1"/>
  <c r="H18" i="11"/>
  <c r="F19" i="12" s="1"/>
  <c r="F7" i="12"/>
  <c r="H57" i="11"/>
  <c r="H11" i="11"/>
  <c r="F8" i="12" s="1"/>
  <c r="H48" i="11"/>
  <c r="F50" i="12" s="1"/>
  <c r="J50" i="12" s="1"/>
  <c r="F106" i="1"/>
  <c r="I90" i="12"/>
  <c r="AI140" i="1"/>
  <c r="AI142" i="1" s="1"/>
  <c r="AJ140" i="1"/>
  <c r="AJ142" i="1" s="1"/>
  <c r="AH140" i="1"/>
  <c r="AH142" i="1" s="1"/>
  <c r="K51" i="2"/>
  <c r="C50" i="2"/>
  <c r="C54" i="2" s="1"/>
  <c r="C55" i="2" s="1"/>
  <c r="H51" i="2"/>
  <c r="H30" i="1"/>
  <c r="H35" i="1" s="1"/>
  <c r="H39" i="1" s="1"/>
  <c r="F71" i="1"/>
  <c r="I47" i="12" s="1"/>
  <c r="I19" i="12"/>
  <c r="I102" i="12" s="1"/>
  <c r="G48" i="1"/>
  <c r="H48" i="1" s="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F36" i="1"/>
  <c r="F40" i="1" s="1"/>
  <c r="B11" i="7"/>
  <c r="B10" i="7" s="1"/>
  <c r="B12" i="7" s="1"/>
  <c r="C10" i="7" s="1"/>
  <c r="F91" i="1"/>
  <c r="F110" i="1" s="1"/>
  <c r="F340" i="1" s="1"/>
  <c r="I15" i="12"/>
  <c r="B44" i="1"/>
  <c r="R43" i="1"/>
  <c r="G36" i="1"/>
  <c r="G40" i="1" s="1"/>
  <c r="G12" i="1"/>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F35" i="1"/>
  <c r="F217" i="1"/>
  <c r="E29" i="11"/>
  <c r="D31" i="12" s="1"/>
  <c r="D5" i="12" s="1"/>
  <c r="E9" i="11"/>
  <c r="P2" i="11" s="1"/>
  <c r="C4" i="11"/>
  <c r="E91" i="12"/>
  <c r="E92" i="12" s="1"/>
  <c r="B72" i="12"/>
  <c r="B74" i="12" s="1"/>
  <c r="B84" i="12"/>
  <c r="B86" i="12" s="1"/>
  <c r="B96" i="12"/>
  <c r="B99" i="12" s="1"/>
  <c r="B78" i="12"/>
  <c r="B80" i="12" s="1"/>
  <c r="D86" i="12"/>
  <c r="G103" i="12"/>
  <c r="B102" i="12"/>
  <c r="G97" i="12"/>
  <c r="G99" i="12" s="1"/>
  <c r="E75" i="12"/>
  <c r="E67" i="12"/>
  <c r="B11" i="12"/>
  <c r="B103" i="12"/>
  <c r="C66" i="12"/>
  <c r="G56" i="12"/>
  <c r="C78" i="12"/>
  <c r="C81" i="12" s="1"/>
  <c r="D79" i="12"/>
  <c r="D81" i="12" s="1"/>
  <c r="D103" i="12"/>
  <c r="C11" i="12"/>
  <c r="E56" i="12"/>
  <c r="D67" i="12"/>
  <c r="C67" i="12"/>
  <c r="D97" i="12"/>
  <c r="D99" i="12" s="1"/>
  <c r="E86" i="12"/>
  <c r="D91" i="12"/>
  <c r="G87" i="12"/>
  <c r="B56" i="12"/>
  <c r="E11" i="12"/>
  <c r="B67" i="12"/>
  <c r="G86" i="12"/>
  <c r="B90" i="12"/>
  <c r="G74" i="12"/>
  <c r="G75" i="12"/>
  <c r="D56" i="12"/>
  <c r="G67" i="12"/>
  <c r="C91" i="12"/>
  <c r="C92" i="12" s="1"/>
  <c r="C21" i="12"/>
  <c r="C56" i="12"/>
  <c r="C103" i="12"/>
  <c r="G66" i="12"/>
  <c r="D73" i="12"/>
  <c r="D75" i="12" s="1"/>
  <c r="G11" i="12"/>
  <c r="D102" i="12"/>
  <c r="D87" i="12"/>
  <c r="G21" i="12"/>
  <c r="E87" i="12"/>
  <c r="G93" i="12"/>
  <c r="B21" i="12"/>
  <c r="G102" i="12"/>
  <c r="G64" i="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I40" i="12"/>
  <c r="U1" i="1"/>
  <c r="J16" i="19"/>
  <c r="J15" i="19"/>
  <c r="F270" i="1"/>
  <c r="O43" i="1"/>
  <c r="S43" i="1"/>
  <c r="P43" i="1"/>
  <c r="Q43" i="1"/>
  <c r="N43" i="1"/>
  <c r="D41" i="1"/>
  <c r="D52" i="1" s="1"/>
  <c r="D53" i="1" s="1"/>
  <c r="F269" i="1"/>
  <c r="I39" i="2"/>
  <c r="I45" i="2"/>
  <c r="D44" i="2"/>
  <c r="K39" i="2"/>
  <c r="J39" i="2"/>
  <c r="J53" i="2" s="1"/>
  <c r="G53" i="2"/>
  <c r="H39" i="2"/>
  <c r="I20" i="12"/>
  <c r="B49" i="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G45" i="1"/>
  <c r="I16" i="12"/>
  <c r="B45" i="1"/>
  <c r="B73" i="1"/>
  <c r="B74" i="1"/>
  <c r="E77" i="1"/>
  <c r="B75" i="1"/>
  <c r="B78" i="1"/>
  <c r="B65" i="1"/>
  <c r="B72" i="1"/>
  <c r="E66" i="1"/>
  <c r="B17" i="7"/>
  <c r="B18" i="7" s="1"/>
  <c r="C9" i="8"/>
  <c r="D9" i="8" s="1"/>
  <c r="B64" i="1"/>
  <c r="F15" i="1"/>
  <c r="G15" i="1" s="1"/>
  <c r="F9" i="8" s="1"/>
  <c r="F50" i="1"/>
  <c r="I31" i="1"/>
  <c r="H36" i="1"/>
  <c r="H40" i="1" s="1"/>
  <c r="H90" i="1"/>
  <c r="H94" i="1" s="1"/>
  <c r="D42" i="2"/>
  <c r="D46" i="2"/>
  <c r="D43" i="2"/>
  <c r="D49" i="2"/>
  <c r="D36" i="2"/>
  <c r="D48" i="2"/>
  <c r="D39" i="2"/>
  <c r="D47" i="2"/>
  <c r="D40" i="2"/>
  <c r="D45" i="2"/>
  <c r="D38" i="2"/>
  <c r="D37" i="2"/>
  <c r="F216" i="1"/>
  <c r="F96" i="1"/>
  <c r="F94" i="1" s="1"/>
  <c r="F218" i="1" s="1"/>
  <c r="B46" i="1"/>
  <c r="I17" i="12"/>
  <c r="I24" i="12"/>
  <c r="B51" i="1"/>
  <c r="F34" i="1"/>
  <c r="I7" i="12" s="1"/>
  <c r="D11" i="12"/>
  <c r="G81" i="12"/>
  <c r="G80" i="12"/>
  <c r="E21" i="12"/>
  <c r="D90" i="12"/>
  <c r="E78" i="12"/>
  <c r="C99" i="12"/>
  <c r="C98" i="12"/>
  <c r="C86" i="12"/>
  <c r="C87" i="12"/>
  <c r="E99" i="12"/>
  <c r="E98" i="12"/>
  <c r="B66" i="12"/>
  <c r="E74" i="12"/>
  <c r="G92" i="12"/>
  <c r="D66" i="12"/>
  <c r="E66" i="12"/>
  <c r="C102" i="12"/>
  <c r="C74" i="12"/>
  <c r="D21" i="12"/>
  <c r="E102" i="12"/>
  <c r="F193" i="1" l="1"/>
  <c r="G106" i="1"/>
  <c r="H106" i="1" s="1"/>
  <c r="I106" i="1" s="1"/>
  <c r="J106" i="1" s="1"/>
  <c r="K106" i="1" s="1"/>
  <c r="L106" i="1" s="1"/>
  <c r="M106" i="1" s="1"/>
  <c r="N106" i="1" s="1"/>
  <c r="O106" i="1" s="1"/>
  <c r="E65" i="12"/>
  <c r="D5" i="1"/>
  <c r="E5" i="1" s="1"/>
  <c r="H37" i="1"/>
  <c r="G46" i="1"/>
  <c r="F234" i="1"/>
  <c r="F287" i="1"/>
  <c r="J20" i="12"/>
  <c r="J47" i="12"/>
  <c r="J7" i="12"/>
  <c r="J24" i="12"/>
  <c r="F96" i="12"/>
  <c r="J19" i="12"/>
  <c r="F72" i="12"/>
  <c r="F75" i="12" s="1"/>
  <c r="J15" i="12"/>
  <c r="F84" i="12"/>
  <c r="J17" i="12"/>
  <c r="F78" i="12"/>
  <c r="J16" i="12"/>
  <c r="D71" i="1"/>
  <c r="D72" i="1"/>
  <c r="D66" i="1"/>
  <c r="D65" i="1"/>
  <c r="D75" i="1"/>
  <c r="D67" i="1"/>
  <c r="E67" i="1" s="1"/>
  <c r="B67" i="1" s="1"/>
  <c r="D77" i="1"/>
  <c r="D69" i="1"/>
  <c r="D58" i="1"/>
  <c r="D64" i="1"/>
  <c r="D56" i="1"/>
  <c r="E56" i="1" s="1"/>
  <c r="D78" i="1"/>
  <c r="D57" i="1"/>
  <c r="D73" i="1"/>
  <c r="D70" i="1"/>
  <c r="G323" i="1"/>
  <c r="F113" i="1"/>
  <c r="F271" i="1"/>
  <c r="F87" i="12"/>
  <c r="F67" i="12"/>
  <c r="F103" i="12"/>
  <c r="F99" i="12"/>
  <c r="E93" i="12"/>
  <c r="C80" i="12"/>
  <c r="F102" i="12"/>
  <c r="F90" i="12"/>
  <c r="F92" i="12" s="1"/>
  <c r="F86" i="12"/>
  <c r="F66" i="12"/>
  <c r="F68" i="12" s="1"/>
  <c r="J40" i="12"/>
  <c r="G270" i="1"/>
  <c r="F324" i="1"/>
  <c r="G217" i="1"/>
  <c r="E9" i="7"/>
  <c r="I30" i="1"/>
  <c r="J30" i="1" s="1"/>
  <c r="F282" i="1"/>
  <c r="F229" i="1"/>
  <c r="D60" i="12"/>
  <c r="D110" i="12" s="1"/>
  <c r="F335" i="1"/>
  <c r="G335" i="1"/>
  <c r="I53" i="2"/>
  <c r="H25" i="11"/>
  <c r="J38" i="19"/>
  <c r="K37" i="19"/>
  <c r="D74" i="1"/>
  <c r="G105" i="12"/>
  <c r="B75" i="12"/>
  <c r="B81" i="12"/>
  <c r="G69" i="12"/>
  <c r="B98" i="12"/>
  <c r="F56" i="12"/>
  <c r="L55" i="12" s="1"/>
  <c r="F11" i="12"/>
  <c r="F98" i="12"/>
  <c r="F21" i="12"/>
  <c r="C68" i="12"/>
  <c r="H101" i="11"/>
  <c r="D105" i="12"/>
  <c r="D104" i="12"/>
  <c r="L54" i="12"/>
  <c r="I96" i="12"/>
  <c r="I72" i="12"/>
  <c r="I84" i="12"/>
  <c r="L140" i="1"/>
  <c r="L142" i="1" s="1"/>
  <c r="T140" i="1"/>
  <c r="T142" i="1" s="1"/>
  <c r="AB140" i="1"/>
  <c r="AB142" i="1" s="1"/>
  <c r="M140" i="1"/>
  <c r="M142" i="1" s="1"/>
  <c r="U140" i="1"/>
  <c r="U142" i="1" s="1"/>
  <c r="AC140" i="1"/>
  <c r="AC142" i="1" s="1"/>
  <c r="W140" i="1"/>
  <c r="W142" i="1" s="1"/>
  <c r="P140" i="1"/>
  <c r="P142" i="1" s="1"/>
  <c r="I140" i="1"/>
  <c r="I142" i="1" s="1"/>
  <c r="Y140" i="1"/>
  <c r="Y142" i="1" s="1"/>
  <c r="G140" i="1"/>
  <c r="G142" i="1" s="1"/>
  <c r="R140" i="1"/>
  <c r="R142" i="1" s="1"/>
  <c r="K140" i="1"/>
  <c r="K142" i="1" s="1"/>
  <c r="N140" i="1"/>
  <c r="N142" i="1" s="1"/>
  <c r="V140" i="1"/>
  <c r="V142" i="1" s="1"/>
  <c r="AD140" i="1"/>
  <c r="AD142" i="1" s="1"/>
  <c r="O140" i="1"/>
  <c r="O142" i="1" s="1"/>
  <c r="AE140" i="1"/>
  <c r="AE142" i="1" s="1"/>
  <c r="H140" i="1"/>
  <c r="H142" i="1" s="1"/>
  <c r="AF140" i="1"/>
  <c r="AF142" i="1" s="1"/>
  <c r="Q140" i="1"/>
  <c r="Q142" i="1" s="1"/>
  <c r="J140" i="1"/>
  <c r="J142" i="1" s="1"/>
  <c r="S140" i="1"/>
  <c r="S142" i="1" s="1"/>
  <c r="AG140" i="1"/>
  <c r="AG142" i="1" s="1"/>
  <c r="X140" i="1"/>
  <c r="X142" i="1" s="1"/>
  <c r="Z140" i="1"/>
  <c r="Z142" i="1" s="1"/>
  <c r="AA140" i="1"/>
  <c r="AA142" i="1" s="1"/>
  <c r="G71" i="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I9" i="12"/>
  <c r="J9" i="12" s="1"/>
  <c r="B36" i="1"/>
  <c r="F39" i="1"/>
  <c r="B35" i="1"/>
  <c r="I8" i="12"/>
  <c r="J8" i="12" s="1"/>
  <c r="B40" i="1"/>
  <c r="D98" i="12"/>
  <c r="G104" i="12"/>
  <c r="G68" i="12"/>
  <c r="D29" i="11"/>
  <c r="C31" i="12" s="1"/>
  <c r="D9" i="11"/>
  <c r="D4" i="11"/>
  <c r="B87" i="12"/>
  <c r="B26" i="12"/>
  <c r="B61" i="12" s="1"/>
  <c r="D80" i="12"/>
  <c r="D93" i="12"/>
  <c r="E12" i="12"/>
  <c r="L19" i="12"/>
  <c r="D92" i="12"/>
  <c r="G26" i="12"/>
  <c r="G61" i="12" s="1"/>
  <c r="L9" i="12"/>
  <c r="C12" i="12"/>
  <c r="B105" i="12"/>
  <c r="C57" i="12"/>
  <c r="G98" i="12"/>
  <c r="D159" i="1"/>
  <c r="D162" i="1" s="1"/>
  <c r="E162" i="1" s="1"/>
  <c r="B104" i="12"/>
  <c r="D12" i="12"/>
  <c r="D74" i="12"/>
  <c r="C26" i="12"/>
  <c r="C61" i="12" s="1"/>
  <c r="B92" i="12"/>
  <c r="B93" i="12"/>
  <c r="C22" i="12"/>
  <c r="D57" i="12"/>
  <c r="C93" i="12"/>
  <c r="E26" i="12"/>
  <c r="E61" i="12" s="1"/>
  <c r="L56" i="12"/>
  <c r="E57" i="12"/>
  <c r="L11" i="12"/>
  <c r="K53" i="2"/>
  <c r="C56" i="1"/>
  <c r="B6" i="7"/>
  <c r="D6" i="1"/>
  <c r="E9" i="8"/>
  <c r="F121" i="1"/>
  <c r="F245" i="1" s="1"/>
  <c r="F246" i="1" s="1"/>
  <c r="F38" i="1"/>
  <c r="B34" i="1"/>
  <c r="E50" i="1"/>
  <c r="B50" i="1"/>
  <c r="B70" i="1"/>
  <c r="F70" i="1"/>
  <c r="I46" i="12" s="1"/>
  <c r="J46" i="12" s="1"/>
  <c r="B77" i="1"/>
  <c r="F77" i="1"/>
  <c r="I53" i="12" s="1"/>
  <c r="J53" i="12" s="1"/>
  <c r="I78" i="12"/>
  <c r="I66" i="12"/>
  <c r="I21" i="12"/>
  <c r="B66" i="1"/>
  <c r="F66" i="1"/>
  <c r="F220" i="1"/>
  <c r="F273" i="1"/>
  <c r="F95" i="1"/>
  <c r="F326" i="1"/>
  <c r="I90" i="1"/>
  <c r="I94" i="1" s="1"/>
  <c r="H93" i="1"/>
  <c r="G113" i="1" s="1"/>
  <c r="G28" i="1"/>
  <c r="G34" i="1"/>
  <c r="D50" i="2"/>
  <c r="D54" i="2" s="1"/>
  <c r="J31" i="1"/>
  <c r="I36" i="1"/>
  <c r="I40" i="1" s="1"/>
  <c r="H45" i="1"/>
  <c r="E81" i="12"/>
  <c r="E80" i="12"/>
  <c r="D22" i="12"/>
  <c r="L21" i="12"/>
  <c r="C104" i="12"/>
  <c r="D26" i="12"/>
  <c r="E68" i="12"/>
  <c r="E69" i="12"/>
  <c r="D69" i="12"/>
  <c r="D68" i="12"/>
  <c r="E105" i="12"/>
  <c r="E104" i="12"/>
  <c r="B68" i="12"/>
  <c r="B69" i="12"/>
  <c r="E22" i="12"/>
  <c r="F74" i="12" l="1"/>
  <c r="F104" i="12"/>
  <c r="K334" i="1"/>
  <c r="J12" i="7"/>
  <c r="M334" i="1"/>
  <c r="L334" i="1"/>
  <c r="I37" i="1"/>
  <c r="H282" i="1"/>
  <c r="H46" i="1"/>
  <c r="F56" i="1"/>
  <c r="G56" i="1" s="1"/>
  <c r="H56" i="1" s="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I35" i="1"/>
  <c r="I39" i="1" s="1"/>
  <c r="J21" i="12"/>
  <c r="F69" i="12"/>
  <c r="F81" i="12"/>
  <c r="F80" i="12"/>
  <c r="F67" i="1"/>
  <c r="I43" i="12" s="1"/>
  <c r="J43" i="12" s="1"/>
  <c r="F342" i="1"/>
  <c r="F289" i="1"/>
  <c r="F236" i="1"/>
  <c r="E13" i="7"/>
  <c r="F105" i="12"/>
  <c r="F93" i="12"/>
  <c r="H53" i="2"/>
  <c r="G282" i="1"/>
  <c r="G193" i="1"/>
  <c r="G229" i="1"/>
  <c r="D65" i="12"/>
  <c r="L37" i="19"/>
  <c r="K38" i="19"/>
  <c r="F22" i="12"/>
  <c r="F57" i="12"/>
  <c r="F26" i="12"/>
  <c r="L10" i="12"/>
  <c r="F12" i="12"/>
  <c r="B58" i="12"/>
  <c r="E58" i="12"/>
  <c r="L20" i="12"/>
  <c r="E115" i="1"/>
  <c r="G236" i="1"/>
  <c r="F13" i="7"/>
  <c r="G289" i="1"/>
  <c r="G342" i="1"/>
  <c r="B56" i="1"/>
  <c r="E57" i="1"/>
  <c r="J35" i="1"/>
  <c r="J39" i="1" s="1"/>
  <c r="K30" i="1"/>
  <c r="B39" i="1"/>
  <c r="E58" i="1"/>
  <c r="C29" i="11"/>
  <c r="B31" i="12" s="1"/>
  <c r="C9" i="11"/>
  <c r="C5" i="12"/>
  <c r="C60" i="12"/>
  <c r="C58" i="12"/>
  <c r="C27" i="12"/>
  <c r="E27" i="12"/>
  <c r="L25" i="12" s="1"/>
  <c r="C62" i="12"/>
  <c r="E159" i="1"/>
  <c r="F41" i="1"/>
  <c r="E41" i="1" s="1"/>
  <c r="B14" i="7"/>
  <c r="B15" i="7" s="1"/>
  <c r="B7" i="7"/>
  <c r="F122" i="1"/>
  <c r="E196" i="1"/>
  <c r="E201" i="1" s="1"/>
  <c r="E206" i="1" s="1"/>
  <c r="E6" i="1"/>
  <c r="F272" i="1"/>
  <c r="F219" i="1"/>
  <c r="F97" i="1"/>
  <c r="F325" i="1"/>
  <c r="G66" i="1"/>
  <c r="H66" i="1" s="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I42" i="12"/>
  <c r="J42" i="12" s="1"/>
  <c r="I45" i="1"/>
  <c r="J36" i="1"/>
  <c r="J40" i="1" s="1"/>
  <c r="K31" i="1"/>
  <c r="G38" i="1"/>
  <c r="G41" i="1" s="1"/>
  <c r="H323" i="1"/>
  <c r="H217" i="1"/>
  <c r="G91" i="1"/>
  <c r="G110" i="1" s="1"/>
  <c r="G340" i="1" s="1"/>
  <c r="H270" i="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D55" i="2"/>
  <c r="C57" i="2"/>
  <c r="I29" i="1"/>
  <c r="H28" i="1"/>
  <c r="H34" i="1"/>
  <c r="J90" i="1"/>
  <c r="I93" i="1"/>
  <c r="B38" i="1"/>
  <c r="I10" i="12"/>
  <c r="J10" i="12" s="1"/>
  <c r="H218" i="1"/>
  <c r="H271" i="1"/>
  <c r="G9" i="7"/>
  <c r="H324" i="1"/>
  <c r="G70" i="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L27" i="12"/>
  <c r="D58" i="12"/>
  <c r="D61" i="12"/>
  <c r="D62" i="12" s="1"/>
  <c r="D27" i="12"/>
  <c r="N334" i="1" l="1"/>
  <c r="J37" i="1"/>
  <c r="I46" i="1"/>
  <c r="E130" i="1"/>
  <c r="E143" i="1" s="1"/>
  <c r="I32" i="12"/>
  <c r="J32" i="12" s="1"/>
  <c r="G234" i="1"/>
  <c r="G287" i="1"/>
  <c r="B41" i="1"/>
  <c r="H229" i="1"/>
  <c r="F58" i="12"/>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H335" i="1"/>
  <c r="F53" i="1"/>
  <c r="J53" i="11" s="1"/>
  <c r="H55" i="12" s="1"/>
  <c r="H56" i="12" s="1"/>
  <c r="H61" i="12" s="1"/>
  <c r="H193" i="1"/>
  <c r="L26" i="12"/>
  <c r="M37" i="19"/>
  <c r="L38" i="19"/>
  <c r="D79" i="1"/>
  <c r="F58" i="1"/>
  <c r="I34" i="12" s="1"/>
  <c r="J34" i="12" s="1"/>
  <c r="F27" i="12"/>
  <c r="F61" i="12"/>
  <c r="L61" i="12" s="1"/>
  <c r="B58" i="1"/>
  <c r="D38" i="8"/>
  <c r="E239" i="1"/>
  <c r="G109" i="1"/>
  <c r="G339" i="1" s="1"/>
  <c r="K109" i="1"/>
  <c r="K339" i="1" s="1"/>
  <c r="O109" i="1"/>
  <c r="O339" i="1" s="1"/>
  <c r="S109" i="1"/>
  <c r="W109" i="1"/>
  <c r="AA109" i="1"/>
  <c r="AE109" i="1"/>
  <c r="AI109" i="1"/>
  <c r="N109" i="1"/>
  <c r="N339" i="1" s="1"/>
  <c r="Z109" i="1"/>
  <c r="H109" i="1"/>
  <c r="H339" i="1" s="1"/>
  <c r="L109" i="1"/>
  <c r="L339" i="1" s="1"/>
  <c r="P109" i="1"/>
  <c r="T109" i="1"/>
  <c r="X109" i="1"/>
  <c r="AB109" i="1"/>
  <c r="AF109" i="1"/>
  <c r="AJ109" i="1"/>
  <c r="R109" i="1"/>
  <c r="AD109" i="1"/>
  <c r="I109" i="1"/>
  <c r="M109" i="1"/>
  <c r="M339" i="1" s="1"/>
  <c r="Q109" i="1"/>
  <c r="U109" i="1"/>
  <c r="Y109" i="1"/>
  <c r="AC109" i="1"/>
  <c r="AG109" i="1"/>
  <c r="F109" i="1"/>
  <c r="F339" i="1" s="1"/>
  <c r="J109" i="1"/>
  <c r="V109" i="1"/>
  <c r="AH109" i="1"/>
  <c r="F39" i="19"/>
  <c r="F47" i="19" s="1"/>
  <c r="B57" i="1"/>
  <c r="K35" i="1"/>
  <c r="K39" i="1" s="1"/>
  <c r="L30" i="1"/>
  <c r="F57" i="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C110" i="12"/>
  <c r="C65" i="12"/>
  <c r="B60" i="12"/>
  <c r="B5" i="12"/>
  <c r="I11" i="12"/>
  <c r="J11" i="12" s="1"/>
  <c r="H38" i="1"/>
  <c r="H41" i="1" s="1"/>
  <c r="K90" i="1"/>
  <c r="L90" i="1" s="1"/>
  <c r="I34" i="1"/>
  <c r="I28" i="1"/>
  <c r="J29" i="1"/>
  <c r="J45" i="1"/>
  <c r="H9" i="7"/>
  <c r="I271" i="1"/>
  <c r="I324" i="1"/>
  <c r="F69" i="1"/>
  <c r="I45" i="12" s="1"/>
  <c r="J45" i="12" s="1"/>
  <c r="B69" i="1"/>
  <c r="I323" i="1"/>
  <c r="H113" i="1"/>
  <c r="I270" i="1"/>
  <c r="D60" i="2"/>
  <c r="C58" i="2"/>
  <c r="C59" i="2" s="1"/>
  <c r="H91" i="1"/>
  <c r="H110" i="1" s="1"/>
  <c r="H340" i="1" s="1"/>
  <c r="K36" i="1"/>
  <c r="K40" i="1" s="1"/>
  <c r="L31" i="1"/>
  <c r="F221" i="1"/>
  <c r="G92" i="1"/>
  <c r="F327" i="1"/>
  <c r="F274" i="1"/>
  <c r="E62" i="12"/>
  <c r="L60" i="12" s="1"/>
  <c r="L62" i="12"/>
  <c r="E132" i="1" l="1"/>
  <c r="K37" i="1"/>
  <c r="J46" i="1"/>
  <c r="B53" i="1"/>
  <c r="F52" i="1"/>
  <c r="E4" i="7"/>
  <c r="E52" i="1"/>
  <c r="E53" i="1" s="1"/>
  <c r="I335" i="1"/>
  <c r="I282" i="1"/>
  <c r="I286" i="1"/>
  <c r="I339" i="1"/>
  <c r="J286" i="1"/>
  <c r="J339" i="1"/>
  <c r="H234" i="1"/>
  <c r="H287" i="1"/>
  <c r="G233" i="1"/>
  <c r="G286" i="1"/>
  <c r="H233" i="1"/>
  <c r="H286" i="1"/>
  <c r="F233" i="1"/>
  <c r="F286" i="1"/>
  <c r="F79" i="1"/>
  <c r="E79" i="1" s="1"/>
  <c r="B79" i="1" s="1"/>
  <c r="J54" i="12"/>
  <c r="F62" i="12"/>
  <c r="D39" i="8"/>
  <c r="D40" i="8" s="1"/>
  <c r="D41" i="8" s="1"/>
  <c r="I193" i="1"/>
  <c r="N37" i="19"/>
  <c r="M38" i="19"/>
  <c r="G58" i="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I33" i="12"/>
  <c r="J33" i="12" s="1"/>
  <c r="E256" i="1"/>
  <c r="E292" i="1"/>
  <c r="F60" i="19"/>
  <c r="F77" i="19" s="1"/>
  <c r="F76" i="19"/>
  <c r="F57" i="19"/>
  <c r="F65" i="19" s="1"/>
  <c r="F56" i="19"/>
  <c r="F64" i="19"/>
  <c r="L35" i="1"/>
  <c r="L39" i="1" s="1"/>
  <c r="M30" i="1"/>
  <c r="B110" i="12"/>
  <c r="B65" i="12"/>
  <c r="I26" i="12"/>
  <c r="J26" i="12" s="1"/>
  <c r="G269" i="1"/>
  <c r="G322" i="1"/>
  <c r="G96" i="1"/>
  <c r="G94" i="1" s="1"/>
  <c r="G216" i="1"/>
  <c r="H289" i="1"/>
  <c r="G13" i="7"/>
  <c r="H236" i="1"/>
  <c r="H342" i="1"/>
  <c r="K45" i="1"/>
  <c r="M31" i="1"/>
  <c r="L36" i="1"/>
  <c r="L40" i="1" s="1"/>
  <c r="J28" i="1"/>
  <c r="K29" i="1"/>
  <c r="J34" i="1"/>
  <c r="J282" i="1"/>
  <c r="J335" i="1"/>
  <c r="J193" i="1"/>
  <c r="I38" i="1"/>
  <c r="I41" i="1" s="1"/>
  <c r="M90" i="1"/>
  <c r="L93" i="1"/>
  <c r="G69" i="1"/>
  <c r="O334" i="1" l="1"/>
  <c r="L37" i="1"/>
  <c r="K46" i="1"/>
  <c r="G324" i="1"/>
  <c r="G271" i="1"/>
  <c r="F9" i="7"/>
  <c r="G218" i="1"/>
  <c r="I55" i="12"/>
  <c r="H48" i="8"/>
  <c r="I48" i="8"/>
  <c r="F48" i="8"/>
  <c r="G48" i="8"/>
  <c r="N38" i="19"/>
  <c r="O37" i="19"/>
  <c r="E345" i="1"/>
  <c r="F298" i="1"/>
  <c r="F299" i="1" s="1"/>
  <c r="E309" i="1"/>
  <c r="F32" i="19"/>
  <c r="F58" i="19"/>
  <c r="G53" i="19" s="1"/>
  <c r="G55" i="19" s="1"/>
  <c r="F22" i="19"/>
  <c r="F59" i="19"/>
  <c r="F69" i="19"/>
  <c r="F70" i="19" s="1"/>
  <c r="F78" i="19" s="1"/>
  <c r="F82" i="19" s="1"/>
  <c r="F89" i="19"/>
  <c r="F67" i="19"/>
  <c r="F66" i="19"/>
  <c r="G62" i="19" s="1"/>
  <c r="G63" i="19" s="1"/>
  <c r="M35" i="1"/>
  <c r="M39" i="1" s="1"/>
  <c r="N30" i="1"/>
  <c r="K113" i="1"/>
  <c r="L323" i="1"/>
  <c r="J38" i="1"/>
  <c r="J41" i="1" s="1"/>
  <c r="N90" i="1"/>
  <c r="M93" i="1"/>
  <c r="L91" i="1" s="1"/>
  <c r="L110" i="1" s="1"/>
  <c r="L340" i="1" s="1"/>
  <c r="K28" i="1"/>
  <c r="L29" i="1"/>
  <c r="K34" i="1"/>
  <c r="N31" i="1"/>
  <c r="M36" i="1"/>
  <c r="M40" i="1" s="1"/>
  <c r="H69" i="1"/>
  <c r="G326" i="1"/>
  <c r="G220" i="1"/>
  <c r="G273" i="1"/>
  <c r="G95" i="1"/>
  <c r="L45" i="1"/>
  <c r="K335" i="1" l="1"/>
  <c r="K193" i="1"/>
  <c r="M37" i="1"/>
  <c r="L46" i="1"/>
  <c r="P37" i="19"/>
  <c r="O38" i="19"/>
  <c r="F80" i="19"/>
  <c r="F351" i="1"/>
  <c r="F352" i="1" s="1"/>
  <c r="E362" i="1"/>
  <c r="F79" i="19"/>
  <c r="G74" i="19" s="1"/>
  <c r="G81" i="19" s="1"/>
  <c r="F96" i="19"/>
  <c r="F91" i="19"/>
  <c r="F90" i="19"/>
  <c r="O30" i="1"/>
  <c r="N35" i="1"/>
  <c r="N39" i="1" s="1"/>
  <c r="M45" i="1"/>
  <c r="J13" i="7"/>
  <c r="K342" i="1"/>
  <c r="I69" i="1"/>
  <c r="O31" i="1"/>
  <c r="N36" i="1"/>
  <c r="N40" i="1" s="1"/>
  <c r="O90" i="1"/>
  <c r="N93" i="1"/>
  <c r="G272" i="1"/>
  <c r="G325" i="1"/>
  <c r="G219" i="1"/>
  <c r="G97" i="1"/>
  <c r="F83" i="19"/>
  <c r="F84" i="19" s="1"/>
  <c r="F92" i="19"/>
  <c r="L28" i="1"/>
  <c r="M29" i="1"/>
  <c r="L34" i="1"/>
  <c r="K38" i="1"/>
  <c r="K41" i="1" s="1"/>
  <c r="M323" i="1"/>
  <c r="L113" i="1"/>
  <c r="L342" i="1" s="1"/>
  <c r="L335" i="1" l="1"/>
  <c r="L193" i="1"/>
  <c r="N37" i="1"/>
  <c r="M46" i="1"/>
  <c r="Q37" i="19"/>
  <c r="P38" i="19"/>
  <c r="G75" i="19"/>
  <c r="O35" i="1"/>
  <c r="O39" i="1" s="1"/>
  <c r="P30" i="1"/>
  <c r="L38" i="1"/>
  <c r="L41" i="1" s="1"/>
  <c r="G221" i="1"/>
  <c r="G274" i="1"/>
  <c r="G327" i="1"/>
  <c r="H92" i="1"/>
  <c r="P31" i="1"/>
  <c r="O36" i="1"/>
  <c r="O40" i="1" s="1"/>
  <c r="F85" i="19"/>
  <c r="F93" i="19" s="1"/>
  <c r="N323" i="1"/>
  <c r="M113" i="1"/>
  <c r="M342" i="1" s="1"/>
  <c r="J69" i="1"/>
  <c r="M91" i="1"/>
  <c r="M110" i="1" s="1"/>
  <c r="M340" i="1" s="1"/>
  <c r="O93" i="1"/>
  <c r="P90" i="1"/>
  <c r="N45" i="1"/>
  <c r="N29" i="1"/>
  <c r="M34" i="1"/>
  <c r="M28" i="1"/>
  <c r="M335" i="1" l="1"/>
  <c r="M193" i="1"/>
  <c r="O37" i="1"/>
  <c r="N46" i="1"/>
  <c r="Q54" i="19"/>
  <c r="Q74" i="19"/>
  <c r="Q53" i="19"/>
  <c r="R37" i="19"/>
  <c r="Q66" i="19"/>
  <c r="Q65" i="19"/>
  <c r="Q89" i="19" s="1"/>
  <c r="Q64" i="19"/>
  <c r="Q39" i="19"/>
  <c r="Q62" i="19"/>
  <c r="Q63" i="19" s="1"/>
  <c r="Q38" i="19"/>
  <c r="Q47" i="19"/>
  <c r="Q67" i="19"/>
  <c r="P35" i="1"/>
  <c r="P39" i="1" s="1"/>
  <c r="Q30" i="1"/>
  <c r="H216" i="1"/>
  <c r="H269" i="1"/>
  <c r="H322" i="1"/>
  <c r="H96" i="1"/>
  <c r="N34" i="1"/>
  <c r="N28" i="1"/>
  <c r="O29" i="1"/>
  <c r="N113" i="1"/>
  <c r="N342" i="1" s="1"/>
  <c r="O323" i="1"/>
  <c r="K69" i="1"/>
  <c r="P36" i="1"/>
  <c r="P40" i="1" s="1"/>
  <c r="Q31" i="1"/>
  <c r="O45" i="1"/>
  <c r="M38" i="1"/>
  <c r="M41" i="1" s="1"/>
  <c r="Q90" i="1"/>
  <c r="F97" i="19"/>
  <c r="F95" i="19"/>
  <c r="F94" i="19"/>
  <c r="N91" i="1"/>
  <c r="N110" i="1" s="1"/>
  <c r="N340" i="1" s="1"/>
  <c r="N335" i="1" l="1"/>
  <c r="N193" i="1"/>
  <c r="P37" i="1"/>
  <c r="O46" i="1"/>
  <c r="Q90" i="19"/>
  <c r="Q93" i="19"/>
  <c r="Q94" i="19"/>
  <c r="Q104" i="19"/>
  <c r="Q100" i="19"/>
  <c r="Q95" i="19"/>
  <c r="Q96" i="19"/>
  <c r="Q92" i="19"/>
  <c r="Q98" i="19"/>
  <c r="Q97" i="19"/>
  <c r="Q91" i="19"/>
  <c r="Q99" i="19"/>
  <c r="R38" i="19"/>
  <c r="R74" i="19"/>
  <c r="S37" i="19"/>
  <c r="R54" i="19"/>
  <c r="R65" i="19"/>
  <c r="R89" i="19" s="1"/>
  <c r="R53" i="19"/>
  <c r="R47" i="19"/>
  <c r="R67" i="19"/>
  <c r="R66" i="19"/>
  <c r="R39" i="19"/>
  <c r="R64" i="19"/>
  <c r="R62" i="19"/>
  <c r="R63" i="19" s="1"/>
  <c r="Q57" i="19"/>
  <c r="Q60" i="19" s="1"/>
  <c r="Q77" i="19" s="1"/>
  <c r="Q55" i="19"/>
  <c r="Q59" i="19"/>
  <c r="Q70" i="19"/>
  <c r="Q58" i="19"/>
  <c r="Q69" i="19"/>
  <c r="Q56" i="19"/>
  <c r="Q22" i="19" s="1"/>
  <c r="Q82" i="19"/>
  <c r="Q76" i="19"/>
  <c r="Q83" i="19"/>
  <c r="Q85" i="19"/>
  <c r="Q84" i="19"/>
  <c r="Q79" i="19"/>
  <c r="Q80" i="19"/>
  <c r="Q75" i="19"/>
  <c r="Q78" i="19"/>
  <c r="Q81" i="19"/>
  <c r="Q40" i="19"/>
  <c r="Q19" i="19"/>
  <c r="Q41" i="19"/>
  <c r="Q42" i="19" s="1"/>
  <c r="Q35" i="1"/>
  <c r="Q39" i="1" s="1"/>
  <c r="R30" i="1"/>
  <c r="E48" i="8"/>
  <c r="F142" i="1"/>
  <c r="F98" i="19"/>
  <c r="F99" i="19" s="1"/>
  <c r="F100" i="19" s="1"/>
  <c r="F104" i="19" s="1"/>
  <c r="F21" i="19" s="1"/>
  <c r="F24" i="19" s="1"/>
  <c r="P45" i="1"/>
  <c r="Q36" i="1"/>
  <c r="Q40" i="1" s="1"/>
  <c r="R31" i="1"/>
  <c r="O34" i="1"/>
  <c r="O28" i="1"/>
  <c r="P29" i="1"/>
  <c r="R90" i="1"/>
  <c r="N38" i="1"/>
  <c r="N41" i="1" s="1"/>
  <c r="L69" i="1"/>
  <c r="H220" i="1"/>
  <c r="H326" i="1"/>
  <c r="H273" i="1"/>
  <c r="H95" i="1"/>
  <c r="O335" i="1" l="1"/>
  <c r="O193" i="1"/>
  <c r="Q37" i="1"/>
  <c r="P46" i="1"/>
  <c r="R40" i="19"/>
  <c r="R41" i="19"/>
  <c r="R42" i="19" s="1"/>
  <c r="R19" i="19"/>
  <c r="R83" i="19"/>
  <c r="R81" i="19"/>
  <c r="R79" i="19"/>
  <c r="R80" i="19"/>
  <c r="R78" i="19"/>
  <c r="R84" i="19"/>
  <c r="R82" i="19"/>
  <c r="R85" i="19"/>
  <c r="R76" i="19"/>
  <c r="R75" i="19"/>
  <c r="R91" i="19"/>
  <c r="R97" i="19"/>
  <c r="R93" i="19"/>
  <c r="R90" i="19"/>
  <c r="R99" i="19"/>
  <c r="R100" i="19"/>
  <c r="R104" i="19"/>
  <c r="R95" i="19"/>
  <c r="R94" i="19"/>
  <c r="R96" i="19"/>
  <c r="R98" i="19"/>
  <c r="R92" i="19"/>
  <c r="S65" i="19"/>
  <c r="S89" i="19" s="1"/>
  <c r="S38" i="19"/>
  <c r="S64" i="19"/>
  <c r="S62" i="19"/>
  <c r="S63" i="19" s="1"/>
  <c r="S54" i="19"/>
  <c r="S53" i="19"/>
  <c r="S67" i="19"/>
  <c r="S66" i="19"/>
  <c r="S74" i="19"/>
  <c r="T37" i="19"/>
  <c r="S39" i="19"/>
  <c r="S47" i="19"/>
  <c r="Q43" i="19"/>
  <c r="Q45" i="19"/>
  <c r="Q46" i="19" s="1"/>
  <c r="Q21" i="19"/>
  <c r="Q29" i="19" s="1"/>
  <c r="Q34" i="19"/>
  <c r="Q32" i="19"/>
  <c r="Q31" i="19"/>
  <c r="Q24" i="19"/>
  <c r="Q28" i="19"/>
  <c r="Q107" i="19"/>
  <c r="Q106" i="19"/>
  <c r="Q105" i="19"/>
  <c r="R58" i="19"/>
  <c r="R56" i="19"/>
  <c r="R22" i="19" s="1"/>
  <c r="R59" i="19"/>
  <c r="R70" i="19"/>
  <c r="R55" i="19"/>
  <c r="R57" i="19"/>
  <c r="R60" i="19" s="1"/>
  <c r="R77" i="19" s="1"/>
  <c r="R69" i="19"/>
  <c r="R35" i="1"/>
  <c r="R39" i="1" s="1"/>
  <c r="S30" i="1"/>
  <c r="S90" i="1"/>
  <c r="O38" i="1"/>
  <c r="O41" i="1" s="1"/>
  <c r="H219" i="1"/>
  <c r="H272" i="1"/>
  <c r="H325" i="1"/>
  <c r="H97" i="1"/>
  <c r="P28" i="1"/>
  <c r="P34" i="1"/>
  <c r="Q29" i="1"/>
  <c r="Q45" i="1"/>
  <c r="F105" i="19"/>
  <c r="F106" i="19" s="1"/>
  <c r="F107" i="19" s="1"/>
  <c r="M69" i="1"/>
  <c r="R36" i="1"/>
  <c r="R40" i="1" s="1"/>
  <c r="S31" i="1"/>
  <c r="R37" i="1" l="1"/>
  <c r="Q46" i="1"/>
  <c r="S58" i="19"/>
  <c r="S59" i="19"/>
  <c r="S57" i="19"/>
  <c r="S60" i="19" s="1"/>
  <c r="S77" i="19" s="1"/>
  <c r="S70" i="19"/>
  <c r="S55" i="19"/>
  <c r="S56" i="19"/>
  <c r="S22" i="19" s="1"/>
  <c r="S69" i="19"/>
  <c r="Q30" i="19"/>
  <c r="S40" i="19"/>
  <c r="S19" i="19"/>
  <c r="S41" i="19"/>
  <c r="S42" i="19" s="1"/>
  <c r="R106" i="19"/>
  <c r="R105" i="19"/>
  <c r="R107" i="19"/>
  <c r="T39" i="19"/>
  <c r="T54" i="19"/>
  <c r="T53" i="19"/>
  <c r="T47" i="19"/>
  <c r="T66" i="19"/>
  <c r="T67" i="19"/>
  <c r="T65" i="19"/>
  <c r="T89" i="19" s="1"/>
  <c r="U37" i="19"/>
  <c r="T64" i="19"/>
  <c r="T38" i="19"/>
  <c r="T74" i="19"/>
  <c r="T62" i="19"/>
  <c r="T63" i="19" s="1"/>
  <c r="R21" i="19"/>
  <c r="R29" i="19" s="1"/>
  <c r="R32" i="19"/>
  <c r="R28" i="19"/>
  <c r="R34" i="19"/>
  <c r="R24" i="19"/>
  <c r="R31" i="19"/>
  <c r="S76" i="19"/>
  <c r="S80" i="19"/>
  <c r="S84" i="19"/>
  <c r="S81" i="19"/>
  <c r="S75" i="19"/>
  <c r="S85" i="19"/>
  <c r="S83" i="19"/>
  <c r="S82" i="19"/>
  <c r="S78" i="19"/>
  <c r="S79" i="19"/>
  <c r="S90" i="19"/>
  <c r="S98" i="19"/>
  <c r="S94" i="19"/>
  <c r="S104" i="19"/>
  <c r="S92" i="19"/>
  <c r="S91" i="19"/>
  <c r="S97" i="19"/>
  <c r="S96" i="19"/>
  <c r="S93" i="19"/>
  <c r="S100" i="19"/>
  <c r="S99" i="19"/>
  <c r="S95" i="19"/>
  <c r="R43" i="19"/>
  <c r="R45" i="19"/>
  <c r="R46" i="19" s="1"/>
  <c r="T30" i="1"/>
  <c r="S35" i="1"/>
  <c r="S39" i="1" s="1"/>
  <c r="F28" i="19"/>
  <c r="F34" i="19" s="1"/>
  <c r="Q28" i="1"/>
  <c r="Q34" i="1"/>
  <c r="R29" i="1"/>
  <c r="P38" i="1"/>
  <c r="P41" i="1" s="1"/>
  <c r="T31" i="1"/>
  <c r="S36" i="1"/>
  <c r="S40" i="1" s="1"/>
  <c r="N69" i="1"/>
  <c r="S93" i="1"/>
  <c r="T90" i="1"/>
  <c r="R45" i="1"/>
  <c r="H221" i="1"/>
  <c r="H238" i="1" s="1"/>
  <c r="H274" i="1"/>
  <c r="H327" i="1"/>
  <c r="I92" i="1"/>
  <c r="S37" i="1" l="1"/>
  <c r="R46" i="1"/>
  <c r="S105" i="19"/>
  <c r="S107" i="19"/>
  <c r="S106" i="19"/>
  <c r="T40" i="19"/>
  <c r="T41" i="19"/>
  <c r="T42" i="19" s="1"/>
  <c r="T19" i="19"/>
  <c r="R30" i="19"/>
  <c r="U38" i="19"/>
  <c r="U39" i="19"/>
  <c r="U66" i="19"/>
  <c r="U65" i="19"/>
  <c r="U89" i="19" s="1"/>
  <c r="U64" i="19"/>
  <c r="U62" i="19"/>
  <c r="U63" i="19" s="1"/>
  <c r="U67" i="19"/>
  <c r="U47" i="19"/>
  <c r="U53" i="19"/>
  <c r="U54" i="19"/>
  <c r="U74" i="19"/>
  <c r="T97" i="19"/>
  <c r="T91" i="19"/>
  <c r="T100" i="19"/>
  <c r="T94" i="19"/>
  <c r="T90" i="19"/>
  <c r="T93" i="19"/>
  <c r="T98" i="19"/>
  <c r="T96" i="19"/>
  <c r="T99" i="19"/>
  <c r="T92" i="19"/>
  <c r="T104" i="19"/>
  <c r="T95" i="19"/>
  <c r="S45" i="19"/>
  <c r="S46" i="19" s="1"/>
  <c r="S43" i="19"/>
  <c r="S31" i="19"/>
  <c r="S28" i="19"/>
  <c r="S21" i="19"/>
  <c r="S29" i="19" s="1"/>
  <c r="S24" i="19"/>
  <c r="S32" i="19"/>
  <c r="S34" i="19"/>
  <c r="T81" i="19"/>
  <c r="T84" i="19"/>
  <c r="T75" i="19"/>
  <c r="T83" i="19"/>
  <c r="T80" i="19"/>
  <c r="T82" i="19"/>
  <c r="T76" i="19"/>
  <c r="T79" i="19"/>
  <c r="T85" i="19"/>
  <c r="T78" i="19"/>
  <c r="T69" i="19"/>
  <c r="T55" i="19"/>
  <c r="T70" i="19"/>
  <c r="T59" i="19"/>
  <c r="T58" i="19"/>
  <c r="T56" i="19"/>
  <c r="T22" i="19" s="1"/>
  <c r="T57" i="19"/>
  <c r="T60" i="19" s="1"/>
  <c r="T77" i="19" s="1"/>
  <c r="U30" i="1"/>
  <c r="T35" i="1"/>
  <c r="T39" i="1" s="1"/>
  <c r="R113" i="1"/>
  <c r="O69" i="1"/>
  <c r="R34" i="1"/>
  <c r="S29" i="1"/>
  <c r="R28" i="1"/>
  <c r="Q38" i="1"/>
  <c r="Q41" i="1" s="1"/>
  <c r="I269" i="1"/>
  <c r="I322" i="1"/>
  <c r="I96" i="1"/>
  <c r="S45" i="1"/>
  <c r="U31" i="1"/>
  <c r="T36" i="1"/>
  <c r="T40" i="1" s="1"/>
  <c r="T93" i="1"/>
  <c r="U90" i="1"/>
  <c r="T37" i="1" l="1"/>
  <c r="S46" i="1"/>
  <c r="S30" i="19"/>
  <c r="U55" i="19"/>
  <c r="U57" i="19"/>
  <c r="U60" i="19" s="1"/>
  <c r="U77" i="19" s="1"/>
  <c r="U59" i="19"/>
  <c r="U58" i="19"/>
  <c r="U69" i="19"/>
  <c r="U56" i="19"/>
  <c r="U22" i="19" s="1"/>
  <c r="U70" i="19"/>
  <c r="T107" i="19"/>
  <c r="T106" i="19"/>
  <c r="T105" i="19"/>
  <c r="T28" i="19"/>
  <c r="T34" i="19"/>
  <c r="T31" i="19"/>
  <c r="T21" i="19"/>
  <c r="T29" i="19" s="1"/>
  <c r="T32" i="19"/>
  <c r="T24" i="19"/>
  <c r="T43" i="19"/>
  <c r="T45" i="19"/>
  <c r="T46" i="19" s="1"/>
  <c r="U100" i="19"/>
  <c r="U99" i="19"/>
  <c r="U93" i="19"/>
  <c r="U91" i="19"/>
  <c r="U92" i="19"/>
  <c r="U95" i="19"/>
  <c r="U98" i="19"/>
  <c r="U90" i="19"/>
  <c r="U97" i="19"/>
  <c r="U96" i="19"/>
  <c r="U104" i="19"/>
  <c r="U94" i="19"/>
  <c r="U81" i="19"/>
  <c r="U80" i="19"/>
  <c r="U83" i="19"/>
  <c r="U78" i="19"/>
  <c r="U75" i="19"/>
  <c r="U82" i="19"/>
  <c r="U76" i="19"/>
  <c r="U84" i="19"/>
  <c r="U85" i="19"/>
  <c r="U79" i="19"/>
  <c r="U40" i="19"/>
  <c r="U19" i="19"/>
  <c r="U41" i="19"/>
  <c r="U42" i="19" s="1"/>
  <c r="S91" i="1"/>
  <c r="S110" i="1" s="1"/>
  <c r="V30" i="1"/>
  <c r="U35" i="1"/>
  <c r="U39" i="1" s="1"/>
  <c r="P69" i="1"/>
  <c r="S113" i="1"/>
  <c r="U36" i="1"/>
  <c r="U40" i="1" s="1"/>
  <c r="V31" i="1"/>
  <c r="V90" i="1"/>
  <c r="U93" i="1"/>
  <c r="T45" i="1"/>
  <c r="S34" i="1"/>
  <c r="T29" i="1"/>
  <c r="S28" i="1"/>
  <c r="I326" i="1"/>
  <c r="I273" i="1"/>
  <c r="I95" i="1"/>
  <c r="R38" i="1"/>
  <c r="R41" i="1" s="1"/>
  <c r="U37" i="1" l="1"/>
  <c r="T46" i="1"/>
  <c r="U105" i="19"/>
  <c r="U106" i="19"/>
  <c r="U107" i="19"/>
  <c r="U43" i="19"/>
  <c r="U45" i="19"/>
  <c r="U46" i="19" s="1"/>
  <c r="T30" i="19"/>
  <c r="U24" i="19"/>
  <c r="U32" i="19"/>
  <c r="U34" i="19"/>
  <c r="U31" i="19"/>
  <c r="U21" i="19"/>
  <c r="U29" i="19" s="1"/>
  <c r="U28" i="19"/>
  <c r="V35" i="1"/>
  <c r="V39" i="1" s="1"/>
  <c r="W30" i="1"/>
  <c r="I325" i="1"/>
  <c r="I272" i="1"/>
  <c r="I97" i="1"/>
  <c r="V36" i="1"/>
  <c r="V40" i="1" s="1"/>
  <c r="W31" i="1"/>
  <c r="W90" i="1"/>
  <c r="V93" i="1"/>
  <c r="U91" i="1" s="1"/>
  <c r="U110" i="1" s="1"/>
  <c r="T28" i="1"/>
  <c r="T34" i="1"/>
  <c r="U29" i="1"/>
  <c r="Q69" i="1"/>
  <c r="S38" i="1"/>
  <c r="S41" i="1" s="1"/>
  <c r="U45" i="1"/>
  <c r="T113" i="1"/>
  <c r="T91" i="1"/>
  <c r="T110" i="1" s="1"/>
  <c r="V37" i="1" l="1"/>
  <c r="U46" i="1"/>
  <c r="U30" i="19"/>
  <c r="X30" i="1"/>
  <c r="W35" i="1"/>
  <c r="W39" i="1" s="1"/>
  <c r="U113" i="1"/>
  <c r="T38" i="1"/>
  <c r="T41" i="1" s="1"/>
  <c r="I274" i="1"/>
  <c r="J92" i="1"/>
  <c r="I327" i="1"/>
  <c r="W93" i="1"/>
  <c r="X90" i="1"/>
  <c r="V45" i="1"/>
  <c r="R69" i="1"/>
  <c r="U28" i="1"/>
  <c r="U34" i="1"/>
  <c r="V29" i="1"/>
  <c r="X31" i="1"/>
  <c r="W36" i="1"/>
  <c r="W40" i="1" s="1"/>
  <c r="W37" i="1" l="1"/>
  <c r="V46" i="1"/>
  <c r="Y30" i="1"/>
  <c r="X35" i="1"/>
  <c r="X39" i="1" s="1"/>
  <c r="W45" i="1"/>
  <c r="X93" i="1"/>
  <c r="Y90" i="1"/>
  <c r="Y31" i="1"/>
  <c r="X36" i="1"/>
  <c r="X40" i="1" s="1"/>
  <c r="S69" i="1"/>
  <c r="V113" i="1"/>
  <c r="J322" i="1"/>
  <c r="J269" i="1"/>
  <c r="V91" i="1"/>
  <c r="V110" i="1" s="1"/>
  <c r="U38" i="1"/>
  <c r="U41" i="1" s="1"/>
  <c r="V34" i="1"/>
  <c r="V28" i="1"/>
  <c r="W29" i="1"/>
  <c r="X37" i="1" l="1"/>
  <c r="W46" i="1"/>
  <c r="W91" i="1"/>
  <c r="W110" i="1" s="1"/>
  <c r="Y35" i="1"/>
  <c r="Y39" i="1" s="1"/>
  <c r="Z30" i="1"/>
  <c r="T69" i="1"/>
  <c r="V38" i="1"/>
  <c r="V41" i="1" s="1"/>
  <c r="X45" i="1"/>
  <c r="Z31" i="1"/>
  <c r="Y36" i="1"/>
  <c r="Y40" i="1" s="1"/>
  <c r="Z90" i="1"/>
  <c r="Y93" i="1"/>
  <c r="W28" i="1"/>
  <c r="W34" i="1"/>
  <c r="X29" i="1"/>
  <c r="W113" i="1"/>
  <c r="Y37" i="1" l="1"/>
  <c r="X46" i="1"/>
  <c r="X91" i="1"/>
  <c r="X110" i="1" s="1"/>
  <c r="AA30" i="1"/>
  <c r="Z35" i="1"/>
  <c r="Z39" i="1" s="1"/>
  <c r="Y45" i="1"/>
  <c r="U69" i="1"/>
  <c r="Z93" i="1"/>
  <c r="AA90" i="1"/>
  <c r="W38" i="1"/>
  <c r="W41" i="1" s="1"/>
  <c r="X28" i="1"/>
  <c r="X34" i="1"/>
  <c r="Y29" i="1"/>
  <c r="X113" i="1"/>
  <c r="Z36" i="1"/>
  <c r="Z40" i="1" s="1"/>
  <c r="AA31" i="1"/>
  <c r="Z37" i="1" l="1"/>
  <c r="Y46" i="1"/>
  <c r="Y91" i="1"/>
  <c r="Y110" i="1" s="1"/>
  <c r="AB30" i="1"/>
  <c r="AA35" i="1"/>
  <c r="AA39" i="1" s="1"/>
  <c r="AB31" i="1"/>
  <c r="AA36" i="1"/>
  <c r="AA40" i="1" s="1"/>
  <c r="Y34" i="1"/>
  <c r="Z29" i="1"/>
  <c r="Y28" i="1"/>
  <c r="AA93" i="1"/>
  <c r="AB90" i="1"/>
  <c r="Z45" i="1"/>
  <c r="X38" i="1"/>
  <c r="X41" i="1" s="1"/>
  <c r="Y113" i="1"/>
  <c r="V69" i="1"/>
  <c r="AA37" i="1" l="1"/>
  <c r="Z46" i="1"/>
  <c r="Z91" i="1"/>
  <c r="Z110" i="1" s="1"/>
  <c r="AC30" i="1"/>
  <c r="AB35" i="1"/>
  <c r="AB39" i="1" s="1"/>
  <c r="W69" i="1"/>
  <c r="AB93" i="1"/>
  <c r="AA91" i="1" s="1"/>
  <c r="AA110" i="1" s="1"/>
  <c r="AC90" i="1"/>
  <c r="AA45" i="1"/>
  <c r="Z113" i="1"/>
  <c r="Z34" i="1"/>
  <c r="Z28" i="1"/>
  <c r="AA29" i="1"/>
  <c r="AB36" i="1"/>
  <c r="AB40" i="1" s="1"/>
  <c r="AC31" i="1"/>
  <c r="Y38" i="1"/>
  <c r="Y41" i="1" s="1"/>
  <c r="AB37" i="1" l="1"/>
  <c r="AA46" i="1"/>
  <c r="AD30" i="1"/>
  <c r="AC35" i="1"/>
  <c r="AC39" i="1" s="1"/>
  <c r="AA28" i="1"/>
  <c r="AB29" i="1"/>
  <c r="AA34" i="1"/>
  <c r="AC93" i="1"/>
  <c r="AD90" i="1"/>
  <c r="AA113" i="1"/>
  <c r="AC36" i="1"/>
  <c r="AC40" i="1" s="1"/>
  <c r="AD31" i="1"/>
  <c r="Z38" i="1"/>
  <c r="Z41" i="1" s="1"/>
  <c r="AB45" i="1"/>
  <c r="X69" i="1"/>
  <c r="AC37" i="1" l="1"/>
  <c r="AB46" i="1"/>
  <c r="AD35" i="1"/>
  <c r="AD39" i="1" s="1"/>
  <c r="AE30" i="1"/>
  <c r="AC45" i="1"/>
  <c r="AD36" i="1"/>
  <c r="AD40" i="1" s="1"/>
  <c r="AE31" i="1"/>
  <c r="AB113" i="1"/>
  <c r="AA38" i="1"/>
  <c r="AA41" i="1" s="1"/>
  <c r="Y69" i="1"/>
  <c r="AB28" i="1"/>
  <c r="AC29" i="1"/>
  <c r="AB34" i="1"/>
  <c r="AB91" i="1"/>
  <c r="AB110" i="1" s="1"/>
  <c r="AD93" i="1"/>
  <c r="AE90" i="1"/>
  <c r="AD37" i="1" l="1"/>
  <c r="AC46" i="1"/>
  <c r="AE35" i="1"/>
  <c r="AE39" i="1" s="1"/>
  <c r="AF30" i="1"/>
  <c r="AB38" i="1"/>
  <c r="AB41" i="1" s="1"/>
  <c r="Z69" i="1"/>
  <c r="AC34" i="1"/>
  <c r="AC28" i="1"/>
  <c r="AD29" i="1"/>
  <c r="AF31" i="1"/>
  <c r="AE36" i="1"/>
  <c r="AE40" i="1" s="1"/>
  <c r="AF90" i="1"/>
  <c r="AE93" i="1"/>
  <c r="AC113" i="1"/>
  <c r="AC91" i="1"/>
  <c r="AC110" i="1" s="1"/>
  <c r="AD45" i="1"/>
  <c r="AE37" i="1" l="1"/>
  <c r="AD46" i="1"/>
  <c r="AG30" i="1"/>
  <c r="AF35" i="1"/>
  <c r="AF39" i="1" s="1"/>
  <c r="AC38" i="1"/>
  <c r="AC41" i="1" s="1"/>
  <c r="AD113" i="1"/>
  <c r="AG31" i="1"/>
  <c r="AF36" i="1"/>
  <c r="AF40" i="1" s="1"/>
  <c r="AA69" i="1"/>
  <c r="AE45" i="1"/>
  <c r="AD91" i="1"/>
  <c r="AD110" i="1" s="1"/>
  <c r="AF93" i="1"/>
  <c r="AG90" i="1"/>
  <c r="AD28" i="1"/>
  <c r="AD34" i="1"/>
  <c r="AE29" i="1"/>
  <c r="AF37" i="1" l="1"/>
  <c r="AE46" i="1"/>
  <c r="AH30" i="1"/>
  <c r="AG35" i="1"/>
  <c r="AG39" i="1" s="1"/>
  <c r="AE113" i="1"/>
  <c r="AB69" i="1"/>
  <c r="AE34" i="1"/>
  <c r="AE28" i="1"/>
  <c r="AF29" i="1"/>
  <c r="AF45" i="1"/>
  <c r="AD38" i="1"/>
  <c r="AD41" i="1" s="1"/>
  <c r="AH31" i="1"/>
  <c r="AI31" i="1" s="1"/>
  <c r="AG36" i="1"/>
  <c r="AG40" i="1" s="1"/>
  <c r="AH90" i="1"/>
  <c r="AI90" i="1" s="1"/>
  <c r="AG93" i="1"/>
  <c r="AE91" i="1"/>
  <c r="AE110" i="1" s="1"/>
  <c r="AG37" i="1" l="1"/>
  <c r="AF46" i="1"/>
  <c r="AI93" i="1"/>
  <c r="AJ90" i="1"/>
  <c r="AJ31" i="1"/>
  <c r="AJ36" i="1" s="1"/>
  <c r="AJ40" i="1" s="1"/>
  <c r="AI36" i="1"/>
  <c r="AI40" i="1" s="1"/>
  <c r="AI30" i="1"/>
  <c r="AH35" i="1"/>
  <c r="AH39" i="1" s="1"/>
  <c r="AE38" i="1"/>
  <c r="AE41" i="1" s="1"/>
  <c r="AF34" i="1"/>
  <c r="AG29" i="1"/>
  <c r="AF28" i="1"/>
  <c r="AH93" i="1"/>
  <c r="AG45" i="1"/>
  <c r="AC69" i="1"/>
  <c r="AF113" i="1"/>
  <c r="AH36" i="1"/>
  <c r="AH40" i="1" s="1"/>
  <c r="AF91" i="1"/>
  <c r="AF110" i="1" s="1"/>
  <c r="AH37" i="1" l="1"/>
  <c r="AG46" i="1"/>
  <c r="AG91" i="1"/>
  <c r="AG110" i="1" s="1"/>
  <c r="AI91" i="1"/>
  <c r="AI110" i="1" s="1"/>
  <c r="AI35" i="1"/>
  <c r="AI39" i="1" s="1"/>
  <c r="AJ30" i="1"/>
  <c r="AJ35" i="1" s="1"/>
  <c r="AJ39" i="1" s="1"/>
  <c r="AJ93" i="1"/>
  <c r="AH113" i="1" s="1"/>
  <c r="AH45" i="1"/>
  <c r="AI45" i="1" s="1"/>
  <c r="AG34" i="1"/>
  <c r="AH29" i="1"/>
  <c r="AI29" i="1" s="1"/>
  <c r="AG28" i="1"/>
  <c r="AD69" i="1"/>
  <c r="AG113" i="1"/>
  <c r="AF38" i="1"/>
  <c r="AF41" i="1" s="1"/>
  <c r="AI37" i="1" l="1"/>
  <c r="AH46" i="1"/>
  <c r="AJ91" i="1"/>
  <c r="AJ110" i="1" s="1"/>
  <c r="AH91" i="1"/>
  <c r="AH110" i="1" s="1"/>
  <c r="AJ29" i="1"/>
  <c r="AI28" i="1"/>
  <c r="AI34" i="1"/>
  <c r="AJ45" i="1"/>
  <c r="AH28" i="1"/>
  <c r="AH34" i="1"/>
  <c r="AE69" i="1"/>
  <c r="AG38" i="1"/>
  <c r="AG41" i="1" s="1"/>
  <c r="AJ37" i="1" l="1"/>
  <c r="AI46" i="1"/>
  <c r="AI38" i="1"/>
  <c r="AI41" i="1" s="1"/>
  <c r="AJ28" i="1"/>
  <c r="AJ34" i="1"/>
  <c r="AJ38" i="1" s="1"/>
  <c r="AJ41" i="1" s="1"/>
  <c r="AH38" i="1"/>
  <c r="AH41" i="1" s="1"/>
  <c r="AF69" i="1"/>
  <c r="AJ46" i="1" l="1"/>
  <c r="AG69" i="1"/>
  <c r="AH69" i="1" l="1"/>
  <c r="AI69" i="1" s="1"/>
  <c r="AJ69" i="1" l="1"/>
  <c r="D68" i="1" l="1"/>
  <c r="E68" i="1" s="1"/>
  <c r="D63" i="1"/>
  <c r="E63" i="1" s="1"/>
  <c r="D60" i="1"/>
  <c r="E60" i="1" s="1"/>
  <c r="D76" i="1"/>
  <c r="E76" i="1" s="1"/>
  <c r="D62" i="1"/>
  <c r="E62" i="1" s="1"/>
  <c r="D59" i="1"/>
  <c r="E59" i="1" s="1"/>
  <c r="D61" i="1"/>
  <c r="E61" i="1" s="1"/>
  <c r="F60" i="1" l="1"/>
  <c r="B60" i="1"/>
  <c r="F63" i="1"/>
  <c r="N55" i="1" s="1"/>
  <c r="D80" i="1"/>
  <c r="D83" i="1" s="1"/>
  <c r="D85" i="1" s="1"/>
  <c r="B59" i="1"/>
  <c r="B63" i="1"/>
  <c r="F68" i="1"/>
  <c r="F76" i="1"/>
  <c r="B76" i="1"/>
  <c r="F61" i="1"/>
  <c r="B61" i="1"/>
  <c r="B68" i="1"/>
  <c r="D81" i="1"/>
  <c r="F62" i="1"/>
  <c r="B62" i="1"/>
  <c r="F59" i="1"/>
  <c r="J51" i="12" l="1"/>
  <c r="I52" i="12"/>
  <c r="J52" i="12" s="1"/>
  <c r="L55" i="1"/>
  <c r="T55" i="1"/>
  <c r="L43" i="1"/>
  <c r="I39" i="12"/>
  <c r="I97" i="12" s="1"/>
  <c r="F43" i="1"/>
  <c r="G63" i="1"/>
  <c r="H63" i="1" s="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F55" i="1"/>
  <c r="K55" i="1"/>
  <c r="I36" i="12"/>
  <c r="G60" i="1"/>
  <c r="K43" i="1"/>
  <c r="S55" i="1"/>
  <c r="G61" i="1"/>
  <c r="I37" i="12"/>
  <c r="I43" i="1"/>
  <c r="Q55" i="1"/>
  <c r="I55" i="1"/>
  <c r="G68" i="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I44" i="12"/>
  <c r="J44" i="12" s="1"/>
  <c r="G76" i="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F80" i="1"/>
  <c r="J55" i="12" s="1"/>
  <c r="J43" i="1"/>
  <c r="G59" i="1"/>
  <c r="I35" i="12"/>
  <c r="R55" i="1"/>
  <c r="J55" i="1"/>
  <c r="G62" i="1"/>
  <c r="H62" i="1" s="1"/>
  <c r="I62" i="1" s="1"/>
  <c r="J62" i="1" s="1"/>
  <c r="K62" i="1" s="1"/>
  <c r="L62" i="1" s="1"/>
  <c r="M62" i="1" s="1"/>
  <c r="N62" i="1" s="1"/>
  <c r="O62" i="1" s="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G43" i="1"/>
  <c r="G55" i="1"/>
  <c r="P55" i="1"/>
  <c r="H43" i="1"/>
  <c r="H55" i="1"/>
  <c r="I38" i="12"/>
  <c r="O55" i="1"/>
  <c r="H61" i="1" l="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H60" i="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J39" i="12"/>
  <c r="J36" i="12"/>
  <c r="I79" i="12"/>
  <c r="I103" i="12"/>
  <c r="I91" i="12"/>
  <c r="J38" i="12"/>
  <c r="I98" i="12"/>
  <c r="I99" i="12"/>
  <c r="I73" i="12"/>
  <c r="I56" i="12"/>
  <c r="J35" i="12"/>
  <c r="I67" i="12"/>
  <c r="H59" i="1"/>
  <c r="I85" i="12"/>
  <c r="J37" i="12"/>
  <c r="E5" i="7"/>
  <c r="E6" i="7" s="1"/>
  <c r="D163" i="1"/>
  <c r="E80" i="1"/>
  <c r="F81" i="1"/>
  <c r="F83" i="1"/>
  <c r="G50" i="1" l="1"/>
  <c r="G53" i="1" s="1"/>
  <c r="I80" i="12"/>
  <c r="I81" i="12"/>
  <c r="E7" i="7"/>
  <c r="E11" i="7"/>
  <c r="E14" i="7" s="1"/>
  <c r="I59" i="1"/>
  <c r="I61" i="12"/>
  <c r="J61" i="12" s="1"/>
  <c r="I58" i="12"/>
  <c r="J56" i="12"/>
  <c r="I75" i="12"/>
  <c r="I74" i="12"/>
  <c r="F85" i="1"/>
  <c r="F98" i="1"/>
  <c r="F99" i="1"/>
  <c r="E81" i="1"/>
  <c r="B80" i="1"/>
  <c r="E83" i="1"/>
  <c r="E85" i="1" s="1"/>
  <c r="I93" i="12"/>
  <c r="I92" i="12"/>
  <c r="I87" i="12"/>
  <c r="I86" i="12"/>
  <c r="I69" i="12"/>
  <c r="I68" i="12"/>
  <c r="D164" i="1"/>
  <c r="E164" i="1" s="1"/>
  <c r="E165" i="1" s="1"/>
  <c r="D7" i="1" s="1"/>
  <c r="E163" i="1"/>
  <c r="I105" i="12"/>
  <c r="I104" i="12"/>
  <c r="G52" i="1" l="1"/>
  <c r="F4" i="7"/>
  <c r="G79" i="1"/>
  <c r="G80" i="1" s="1"/>
  <c r="H50" i="1"/>
  <c r="H53" i="1" s="1"/>
  <c r="F141" i="1"/>
  <c r="F87" i="1"/>
  <c r="F88" i="1"/>
  <c r="F266" i="1"/>
  <c r="F102" i="1"/>
  <c r="F319" i="1"/>
  <c r="D84" i="2"/>
  <c r="D85" i="2" s="1"/>
  <c r="D8" i="1"/>
  <c r="F104" i="1"/>
  <c r="F192" i="1"/>
  <c r="J59" i="1"/>
  <c r="B85" i="1"/>
  <c r="H52" i="1" l="1"/>
  <c r="H79" i="1"/>
  <c r="H80" i="1" s="1"/>
  <c r="H83" i="1" s="1"/>
  <c r="H85" i="1" s="1"/>
  <c r="G4" i="7"/>
  <c r="I50" i="1"/>
  <c r="I53" i="1" s="1"/>
  <c r="G83" i="1"/>
  <c r="G81" i="1"/>
  <c r="F5" i="7"/>
  <c r="F6" i="7" s="1"/>
  <c r="H9" i="8"/>
  <c r="B8" i="7"/>
  <c r="F196" i="1"/>
  <c r="F206" i="1"/>
  <c r="F201" i="1"/>
  <c r="F213" i="1"/>
  <c r="F225" i="1"/>
  <c r="F103" i="1"/>
  <c r="F278" i="1"/>
  <c r="F331" i="1"/>
  <c r="F280" i="1"/>
  <c r="F292" i="1" s="1"/>
  <c r="F333" i="1"/>
  <c r="F345" i="1" s="1"/>
  <c r="F227" i="1"/>
  <c r="F239" i="1" s="1"/>
  <c r="F115" i="1"/>
  <c r="K59" i="1"/>
  <c r="F7" i="7" l="1"/>
  <c r="F11" i="7"/>
  <c r="F14" i="7" s="1"/>
  <c r="H4" i="7"/>
  <c r="I79" i="1"/>
  <c r="I80" i="1" s="1"/>
  <c r="I83" i="1" s="1"/>
  <c r="I98" i="1" s="1"/>
  <c r="I52" i="1"/>
  <c r="H99" i="1"/>
  <c r="J50" i="1"/>
  <c r="J53" i="1" s="1"/>
  <c r="G85" i="1"/>
  <c r="H88" i="1" s="1"/>
  <c r="G98" i="1"/>
  <c r="G99" i="1"/>
  <c r="H98" i="1"/>
  <c r="G5" i="7"/>
  <c r="G6" i="7" s="1"/>
  <c r="H81" i="1"/>
  <c r="F300" i="1"/>
  <c r="F302" i="1" s="1"/>
  <c r="F247" i="1"/>
  <c r="F249" i="1" s="1"/>
  <c r="F123" i="1"/>
  <c r="F125" i="1" s="1"/>
  <c r="F116" i="1"/>
  <c r="G39" i="19"/>
  <c r="F353" i="1"/>
  <c r="F355" i="1" s="1"/>
  <c r="H266" i="1"/>
  <c r="H319" i="1"/>
  <c r="H87" i="1"/>
  <c r="H141" i="1"/>
  <c r="H104" i="1"/>
  <c r="H192" i="1"/>
  <c r="H102" i="1"/>
  <c r="L59" i="1"/>
  <c r="I4" i="7" l="1"/>
  <c r="J79" i="1"/>
  <c r="J80" i="1" s="1"/>
  <c r="J52" i="1"/>
  <c r="K50" i="1"/>
  <c r="K53" i="1" s="1"/>
  <c r="I81" i="1"/>
  <c r="H5" i="7"/>
  <c r="H6" i="7" s="1"/>
  <c r="G7" i="7"/>
  <c r="G11" i="7"/>
  <c r="G14" i="7" s="1"/>
  <c r="I85" i="1"/>
  <c r="I102" i="1" s="1"/>
  <c r="J93" i="1" s="1"/>
  <c r="G104" i="1"/>
  <c r="G192" i="1"/>
  <c r="G102" i="1"/>
  <c r="G141" i="1"/>
  <c r="G266" i="1"/>
  <c r="G87" i="1"/>
  <c r="G319" i="1"/>
  <c r="G88" i="1"/>
  <c r="I99" i="1"/>
  <c r="M59" i="1"/>
  <c r="F358" i="1"/>
  <c r="F361" i="1" s="1"/>
  <c r="F357" i="1"/>
  <c r="F360" i="1" s="1"/>
  <c r="F362" i="1" s="1"/>
  <c r="G19" i="19"/>
  <c r="G41" i="19"/>
  <c r="G42" i="19" s="1"/>
  <c r="G40" i="19"/>
  <c r="F305" i="1"/>
  <c r="F308" i="1" s="1"/>
  <c r="F304" i="1"/>
  <c r="F307" i="1" s="1"/>
  <c r="F309" i="1" s="1"/>
  <c r="F354" i="1"/>
  <c r="G351" i="1" s="1"/>
  <c r="F252" i="1"/>
  <c r="F255" i="1" s="1"/>
  <c r="F251" i="1"/>
  <c r="F254" i="1" s="1"/>
  <c r="F256" i="1" s="1"/>
  <c r="F128" i="1"/>
  <c r="F131" i="1" s="1"/>
  <c r="F127" i="1"/>
  <c r="F130" i="1" s="1"/>
  <c r="F248" i="1"/>
  <c r="F124" i="1"/>
  <c r="G121" i="1" s="1"/>
  <c r="H195" i="1"/>
  <c r="H196" i="1" s="1"/>
  <c r="H213" i="1"/>
  <c r="H237" i="1" s="1"/>
  <c r="H201" i="1"/>
  <c r="H206" i="1"/>
  <c r="C25" i="1"/>
  <c r="H225" i="1"/>
  <c r="H331" i="1"/>
  <c r="H278" i="1"/>
  <c r="H103" i="1"/>
  <c r="E26" i="1" s="1"/>
  <c r="H280" i="1"/>
  <c r="H292" i="1" s="1"/>
  <c r="H227" i="1"/>
  <c r="H115" i="1"/>
  <c r="H333" i="1"/>
  <c r="H345" i="1" s="1"/>
  <c r="F301" i="1"/>
  <c r="G298" i="1" s="1"/>
  <c r="J270" i="1" l="1"/>
  <c r="I91" i="1"/>
  <c r="I113" i="1"/>
  <c r="J323" i="1"/>
  <c r="J96" i="1"/>
  <c r="G201" i="1"/>
  <c r="G213" i="1"/>
  <c r="G206" i="1"/>
  <c r="G196" i="1"/>
  <c r="E197" i="1" s="1"/>
  <c r="D169" i="1" s="1"/>
  <c r="E20" i="1" s="1"/>
  <c r="I87" i="1"/>
  <c r="H11" i="7"/>
  <c r="H7" i="7"/>
  <c r="J4" i="7"/>
  <c r="K79" i="1"/>
  <c r="K80" i="1" s="1"/>
  <c r="K83" i="1" s="1"/>
  <c r="K85" i="1" s="1"/>
  <c r="K52" i="1"/>
  <c r="I104" i="1"/>
  <c r="I266" i="1"/>
  <c r="I319" i="1"/>
  <c r="L50" i="1"/>
  <c r="L53" i="1" s="1"/>
  <c r="L79" i="1" s="1"/>
  <c r="L80" i="1" s="1"/>
  <c r="L83" i="1" s="1"/>
  <c r="L85" i="1" s="1"/>
  <c r="G103" i="1"/>
  <c r="G225" i="1"/>
  <c r="G278" i="1"/>
  <c r="G331" i="1"/>
  <c r="G333" i="1"/>
  <c r="G345" i="1" s="1"/>
  <c r="G115" i="1"/>
  <c r="G227" i="1"/>
  <c r="G239" i="1" s="1"/>
  <c r="G280" i="1"/>
  <c r="G292" i="1" s="1"/>
  <c r="I141" i="1"/>
  <c r="I192" i="1"/>
  <c r="I206" i="1" s="1"/>
  <c r="I88" i="1"/>
  <c r="I5" i="7"/>
  <c r="I6" i="7" s="1"/>
  <c r="J81" i="1"/>
  <c r="J83" i="1"/>
  <c r="H239" i="1"/>
  <c r="G31" i="19"/>
  <c r="N59" i="1"/>
  <c r="G122" i="1"/>
  <c r="G245" i="1"/>
  <c r="F133" i="1"/>
  <c r="F132" i="1"/>
  <c r="E16" i="7"/>
  <c r="F143" i="1"/>
  <c r="G299" i="1"/>
  <c r="H116" i="1"/>
  <c r="I39" i="19"/>
  <c r="G352" i="1"/>
  <c r="G45" i="19"/>
  <c r="G46" i="19" s="1"/>
  <c r="G43" i="19"/>
  <c r="I331" i="1"/>
  <c r="I103" i="1"/>
  <c r="I278" i="1"/>
  <c r="G353" i="1" l="1"/>
  <c r="G354" i="1" s="1"/>
  <c r="H351" i="1" s="1"/>
  <c r="H352" i="1" s="1"/>
  <c r="H353" i="1" s="1"/>
  <c r="J273" i="1"/>
  <c r="J326" i="1"/>
  <c r="H13" i="7"/>
  <c r="I289" i="1"/>
  <c r="I342" i="1"/>
  <c r="I201" i="1"/>
  <c r="H14" i="7"/>
  <c r="G300" i="1"/>
  <c r="G301" i="1" s="1"/>
  <c r="H298" i="1" s="1"/>
  <c r="H299" i="1" s="1"/>
  <c r="H300" i="1" s="1"/>
  <c r="G123" i="1"/>
  <c r="G125" i="1" s="1"/>
  <c r="I7" i="7"/>
  <c r="M50" i="1"/>
  <c r="M53" i="1" s="1"/>
  <c r="M79" i="1" s="1"/>
  <c r="M80" i="1" s="1"/>
  <c r="M83" i="1" s="1"/>
  <c r="M85" i="1" s="1"/>
  <c r="J85" i="1"/>
  <c r="L88" i="1" s="1"/>
  <c r="H39" i="19"/>
  <c r="G116" i="1"/>
  <c r="G117" i="1" s="1"/>
  <c r="J5" i="7"/>
  <c r="J6" i="7" s="1"/>
  <c r="J7" i="7" s="1"/>
  <c r="K81" i="1"/>
  <c r="I280" i="1"/>
  <c r="I333" i="1"/>
  <c r="E241" i="1"/>
  <c r="D170" i="1" s="1"/>
  <c r="E21" i="1" s="1"/>
  <c r="G47" i="19"/>
  <c r="G56" i="19" s="1"/>
  <c r="O59" i="1"/>
  <c r="L102" i="1"/>
  <c r="L87" i="1"/>
  <c r="L319" i="1"/>
  <c r="L192" i="1"/>
  <c r="L206" i="1" s="1"/>
  <c r="E17" i="7"/>
  <c r="E46" i="8" s="1"/>
  <c r="E45" i="8" s="1"/>
  <c r="G246" i="1"/>
  <c r="G247" i="1" s="1"/>
  <c r="I41" i="19"/>
  <c r="I42" i="19" s="1"/>
  <c r="I40" i="19"/>
  <c r="K192" i="1"/>
  <c r="K206" i="1" s="1"/>
  <c r="K319" i="1"/>
  <c r="K102" i="1"/>
  <c r="K87" i="1"/>
  <c r="G355" i="1" l="1"/>
  <c r="G357" i="1" s="1"/>
  <c r="G360" i="1" s="1"/>
  <c r="G362" i="1" s="1"/>
  <c r="G302" i="1"/>
  <c r="G305" i="1" s="1"/>
  <c r="G308" i="1" s="1"/>
  <c r="G124" i="1"/>
  <c r="H121" i="1" s="1"/>
  <c r="H122" i="1" s="1"/>
  <c r="H123" i="1" s="1"/>
  <c r="J319" i="1"/>
  <c r="J87" i="1"/>
  <c r="C23" i="1" s="1"/>
  <c r="J102" i="1"/>
  <c r="J88" i="1"/>
  <c r="J266" i="1"/>
  <c r="J290" i="1" s="1"/>
  <c r="J192" i="1"/>
  <c r="J141" i="1"/>
  <c r="H40" i="19"/>
  <c r="H19" i="19"/>
  <c r="H41" i="19"/>
  <c r="H42" i="19" s="1"/>
  <c r="N50" i="1"/>
  <c r="N53" i="1" s="1"/>
  <c r="N79" i="1" s="1"/>
  <c r="N80" i="1" s="1"/>
  <c r="N83" i="1" s="1"/>
  <c r="N85" i="1" s="1"/>
  <c r="K88" i="1"/>
  <c r="H117" i="1"/>
  <c r="G64" i="19"/>
  <c r="G60" i="19"/>
  <c r="G77" i="19" s="1"/>
  <c r="G57" i="19"/>
  <c r="G65" i="19" s="1"/>
  <c r="G89" i="19" s="1"/>
  <c r="G91" i="19" s="1"/>
  <c r="G76" i="19"/>
  <c r="G32" i="19"/>
  <c r="G22" i="19"/>
  <c r="H354" i="1"/>
  <c r="I351" i="1" s="1"/>
  <c r="I352" i="1" s="1"/>
  <c r="H301" i="1"/>
  <c r="I298" i="1" s="1"/>
  <c r="I299" i="1" s="1"/>
  <c r="G248" i="1"/>
  <c r="G249" i="1"/>
  <c r="H355" i="1"/>
  <c r="H302" i="1"/>
  <c r="P59" i="1"/>
  <c r="G128" i="1"/>
  <c r="G131" i="1" s="1"/>
  <c r="G127" i="1"/>
  <c r="G130" i="1" s="1"/>
  <c r="M192" i="1"/>
  <c r="M206" i="1" s="1"/>
  <c r="M319" i="1"/>
  <c r="M102" i="1"/>
  <c r="M87" i="1"/>
  <c r="M88" i="1"/>
  <c r="I45" i="19"/>
  <c r="I46" i="19" s="1"/>
  <c r="I43" i="19"/>
  <c r="K103" i="1"/>
  <c r="K331" i="1"/>
  <c r="L103" i="1"/>
  <c r="L331" i="1"/>
  <c r="G304" i="1" l="1"/>
  <c r="G307" i="1" s="1"/>
  <c r="G309" i="1" s="1"/>
  <c r="G358" i="1"/>
  <c r="G361" i="1" s="1"/>
  <c r="H245" i="1"/>
  <c r="O50" i="1"/>
  <c r="O53" i="1" s="1"/>
  <c r="O79" i="1" s="1"/>
  <c r="O80" i="1" s="1"/>
  <c r="O83" i="1" s="1"/>
  <c r="O85" i="1" s="1"/>
  <c r="J200" i="1"/>
  <c r="J201" i="1" s="1"/>
  <c r="E202" i="1" s="1"/>
  <c r="E169" i="1" s="1"/>
  <c r="F20" i="1" s="1"/>
  <c r="J206" i="1"/>
  <c r="H31" i="19"/>
  <c r="I19" i="19"/>
  <c r="H43" i="19"/>
  <c r="H45" i="19"/>
  <c r="H46" i="19" s="1"/>
  <c r="J331" i="1"/>
  <c r="J278" i="1"/>
  <c r="J103" i="1"/>
  <c r="F26" i="1" s="1"/>
  <c r="B34" i="8"/>
  <c r="C34" i="8" s="1"/>
  <c r="I47" i="19"/>
  <c r="I64" i="19" s="1"/>
  <c r="G96" i="19"/>
  <c r="G58" i="19"/>
  <c r="H53" i="19" s="1"/>
  <c r="H55" i="19" s="1"/>
  <c r="G54" i="19"/>
  <c r="G66" i="19"/>
  <c r="H62" i="19" s="1"/>
  <c r="H63" i="19" s="1"/>
  <c r="G67" i="19"/>
  <c r="G90" i="19"/>
  <c r="G59" i="19"/>
  <c r="G69" i="19"/>
  <c r="G70" i="19" s="1"/>
  <c r="G78" i="19" s="1"/>
  <c r="G82" i="19" s="1"/>
  <c r="G92" i="19" s="1"/>
  <c r="H125" i="1"/>
  <c r="H124" i="1"/>
  <c r="I121" i="1" s="1"/>
  <c r="N192" i="1"/>
  <c r="N206" i="1" s="1"/>
  <c r="N319" i="1"/>
  <c r="N102" i="1"/>
  <c r="H357" i="1"/>
  <c r="H360" i="1" s="1"/>
  <c r="H362" i="1" s="1"/>
  <c r="H358" i="1"/>
  <c r="H361" i="1" s="1"/>
  <c r="Q59" i="1"/>
  <c r="H304" i="1"/>
  <c r="H307" i="1" s="1"/>
  <c r="H309" i="1" s="1"/>
  <c r="H305" i="1"/>
  <c r="H308" i="1" s="1"/>
  <c r="G252" i="1"/>
  <c r="G255" i="1" s="1"/>
  <c r="G251" i="1"/>
  <c r="G254" i="1" s="1"/>
  <c r="G256" i="1" s="1"/>
  <c r="M331" i="1"/>
  <c r="M103" i="1"/>
  <c r="G133" i="1"/>
  <c r="G143" i="1"/>
  <c r="F16" i="7"/>
  <c r="G132" i="1"/>
  <c r="H246" i="1"/>
  <c r="H247" i="1" s="1"/>
  <c r="H248" i="1" s="1"/>
  <c r="H47" i="19" l="1"/>
  <c r="H64" i="19" s="1"/>
  <c r="I31" i="19"/>
  <c r="P50" i="1"/>
  <c r="P53" i="1" s="1"/>
  <c r="P79" i="1" s="1"/>
  <c r="P80" i="1" s="1"/>
  <c r="P83" i="1" s="1"/>
  <c r="P85" i="1" s="1"/>
  <c r="G83" i="19"/>
  <c r="G84" i="19" s="1"/>
  <c r="G80" i="19"/>
  <c r="G79" i="19"/>
  <c r="H74" i="19" s="1"/>
  <c r="H75" i="19" s="1"/>
  <c r="F17" i="7"/>
  <c r="F46" i="8" s="1"/>
  <c r="F45" i="8" s="1"/>
  <c r="G134" i="1"/>
  <c r="H249" i="1"/>
  <c r="O102" i="1"/>
  <c r="O192" i="1"/>
  <c r="O319" i="1"/>
  <c r="O343" i="1" s="1"/>
  <c r="N103" i="1"/>
  <c r="N331" i="1"/>
  <c r="I122" i="1"/>
  <c r="H128" i="1"/>
  <c r="H131" i="1" s="1"/>
  <c r="H127" i="1"/>
  <c r="H130" i="1" s="1"/>
  <c r="R59" i="1"/>
  <c r="H56" i="19" l="1"/>
  <c r="H32" i="19" s="1"/>
  <c r="H57" i="19"/>
  <c r="Q50" i="1"/>
  <c r="Q53" i="1" s="1"/>
  <c r="Q79" i="1" s="1"/>
  <c r="Q80" i="1" s="1"/>
  <c r="Q83" i="1" s="1"/>
  <c r="Q85" i="1" s="1"/>
  <c r="H76" i="19"/>
  <c r="H81" i="19"/>
  <c r="G85" i="19"/>
  <c r="G93" i="19" s="1"/>
  <c r="H251" i="1"/>
  <c r="H254" i="1" s="1"/>
  <c r="H256" i="1" s="1"/>
  <c r="H252" i="1"/>
  <c r="H255" i="1" s="1"/>
  <c r="D174" i="1" s="1"/>
  <c r="E25" i="1" s="1"/>
  <c r="P102" i="1"/>
  <c r="S59" i="1"/>
  <c r="O205" i="1"/>
  <c r="O206" i="1" s="1"/>
  <c r="H26" i="1"/>
  <c r="I26" i="1" s="1"/>
  <c r="O103" i="1"/>
  <c r="G26" i="1" s="1"/>
  <c r="O331" i="1"/>
  <c r="P42" i="19"/>
  <c r="P43" i="19" s="1"/>
  <c r="P45" i="19"/>
  <c r="P46" i="19"/>
  <c r="H132" i="1"/>
  <c r="H133" i="1"/>
  <c r="H143" i="1"/>
  <c r="G16" i="7"/>
  <c r="H22" i="19" l="1"/>
  <c r="H58" i="19"/>
  <c r="I53" i="19" s="1"/>
  <c r="I56" i="19" s="1"/>
  <c r="I22" i="19" s="1"/>
  <c r="H59" i="19"/>
  <c r="H65" i="19"/>
  <c r="H60" i="19"/>
  <c r="R50" i="1"/>
  <c r="R53" i="1" s="1"/>
  <c r="R79" i="1" s="1"/>
  <c r="R80" i="1" s="1"/>
  <c r="R83" i="1" s="1"/>
  <c r="R85" i="1" s="1"/>
  <c r="E207" i="1"/>
  <c r="F169" i="1" s="1"/>
  <c r="G20" i="1" s="1"/>
  <c r="E260" i="1"/>
  <c r="D173" i="1" s="1"/>
  <c r="E24" i="1" s="1"/>
  <c r="E258" i="1"/>
  <c r="D171" i="1" s="1"/>
  <c r="E22" i="1" s="1"/>
  <c r="P103" i="1"/>
  <c r="H134" i="1"/>
  <c r="G97" i="19"/>
  <c r="G94" i="19"/>
  <c r="G95" i="19"/>
  <c r="G17" i="7"/>
  <c r="G46" i="8" s="1"/>
  <c r="G45" i="8" s="1"/>
  <c r="E259" i="1"/>
  <c r="D172" i="1" s="1"/>
  <c r="E23" i="1" s="1"/>
  <c r="Q102" i="1"/>
  <c r="T59" i="1"/>
  <c r="I55" i="19" l="1"/>
  <c r="I57" i="19" s="1"/>
  <c r="I58" i="19" s="1"/>
  <c r="J53" i="19" s="1"/>
  <c r="I32" i="19"/>
  <c r="H89" i="19"/>
  <c r="H90" i="19" s="1"/>
  <c r="H77" i="19"/>
  <c r="H54" i="19"/>
  <c r="H66" i="19"/>
  <c r="I62" i="19" s="1"/>
  <c r="I63" i="19" s="1"/>
  <c r="H69" i="19"/>
  <c r="H70" i="19" s="1"/>
  <c r="H67" i="19"/>
  <c r="S50" i="1"/>
  <c r="S53" i="1" s="1"/>
  <c r="S79" i="1" s="1"/>
  <c r="S80" i="1" s="1"/>
  <c r="S83" i="1" s="1"/>
  <c r="S85" i="1" s="1"/>
  <c r="Q103" i="1"/>
  <c r="G98" i="19"/>
  <c r="G99" i="19" s="1"/>
  <c r="G100" i="19" s="1"/>
  <c r="G104" i="19" s="1"/>
  <c r="R102" i="1"/>
  <c r="R103" i="1" s="1"/>
  <c r="U59" i="1"/>
  <c r="H96" i="19" l="1"/>
  <c r="H91" i="19"/>
  <c r="H78" i="19"/>
  <c r="H82" i="19" s="1"/>
  <c r="H83" i="19" s="1"/>
  <c r="T50" i="1"/>
  <c r="T53" i="1" s="1"/>
  <c r="T79" i="1" s="1"/>
  <c r="T80" i="1" s="1"/>
  <c r="T83" i="1" s="1"/>
  <c r="T85" i="1" s="1"/>
  <c r="J55" i="19"/>
  <c r="I60" i="19"/>
  <c r="I65" i="19"/>
  <c r="I59" i="19"/>
  <c r="G105" i="19"/>
  <c r="G106" i="19" s="1"/>
  <c r="G107" i="19" s="1"/>
  <c r="G21" i="19"/>
  <c r="V59" i="1"/>
  <c r="S102" i="1"/>
  <c r="S103" i="1" s="1"/>
  <c r="H79" i="19" l="1"/>
  <c r="I74" i="19" s="1"/>
  <c r="I75" i="19" s="1"/>
  <c r="H80" i="19"/>
  <c r="H92" i="19"/>
  <c r="H84" i="19"/>
  <c r="H85" i="19" s="1"/>
  <c r="U50" i="1"/>
  <c r="U53" i="1" s="1"/>
  <c r="U79" i="1" s="1"/>
  <c r="U80" i="1" s="1"/>
  <c r="U83" i="1" s="1"/>
  <c r="U85" i="1" s="1"/>
  <c r="I66" i="19"/>
  <c r="J62" i="19" s="1"/>
  <c r="I69" i="19"/>
  <c r="I70" i="19" s="1"/>
  <c r="I67" i="19"/>
  <c r="I54" i="19"/>
  <c r="I77" i="19"/>
  <c r="G28" i="19"/>
  <c r="G34" i="19" s="1"/>
  <c r="G29" i="19"/>
  <c r="G24" i="19"/>
  <c r="T102" i="1"/>
  <c r="T103" i="1" s="1"/>
  <c r="W59" i="1"/>
  <c r="J94" i="1" l="1"/>
  <c r="I110" i="1"/>
  <c r="I76" i="19"/>
  <c r="I81" i="19"/>
  <c r="H93" i="19"/>
  <c r="V50" i="1"/>
  <c r="V53" i="1" s="1"/>
  <c r="V79" i="1" s="1"/>
  <c r="V80" i="1" s="1"/>
  <c r="V83" i="1" s="1"/>
  <c r="V85" i="1" s="1"/>
  <c r="I78" i="19"/>
  <c r="I82" i="19" s="1"/>
  <c r="J63" i="19"/>
  <c r="G30" i="19"/>
  <c r="U102" i="1"/>
  <c r="U103" i="1" s="1"/>
  <c r="X59" i="1"/>
  <c r="I287" i="1" l="1"/>
  <c r="I292" i="1" s="1"/>
  <c r="I340" i="1"/>
  <c r="I345" i="1" s="1"/>
  <c r="I115" i="1"/>
  <c r="J324" i="1"/>
  <c r="I9" i="7"/>
  <c r="I11" i="7" s="1"/>
  <c r="J99" i="1"/>
  <c r="J104" i="1"/>
  <c r="J98" i="1"/>
  <c r="J95" i="1"/>
  <c r="J271" i="1"/>
  <c r="H97" i="19"/>
  <c r="H95" i="19"/>
  <c r="H94" i="19"/>
  <c r="I89" i="19" s="1"/>
  <c r="I92" i="19" s="1"/>
  <c r="W50" i="1"/>
  <c r="W53" i="1" s="1"/>
  <c r="W79" i="1" s="1"/>
  <c r="W80" i="1" s="1"/>
  <c r="W83" i="1" s="1"/>
  <c r="W85" i="1" s="1"/>
  <c r="I79" i="19"/>
  <c r="J74" i="19" s="1"/>
  <c r="J81" i="19" s="1"/>
  <c r="I80" i="19"/>
  <c r="I83" i="19"/>
  <c r="I84" i="19" s="1"/>
  <c r="I85" i="19" s="1"/>
  <c r="Y59" i="1"/>
  <c r="V102" i="1"/>
  <c r="V103" i="1" s="1"/>
  <c r="J97" i="1" l="1"/>
  <c r="J325" i="1"/>
  <c r="J272" i="1"/>
  <c r="I123" i="1"/>
  <c r="I124" i="1" s="1"/>
  <c r="J121" i="1" s="1"/>
  <c r="J122" i="1" s="1"/>
  <c r="J39" i="19"/>
  <c r="I116" i="1"/>
  <c r="I117" i="1" s="1"/>
  <c r="I353" i="1"/>
  <c r="I354" i="1" s="1"/>
  <c r="J351" i="1" s="1"/>
  <c r="J352" i="1" s="1"/>
  <c r="J333" i="1"/>
  <c r="J280" i="1"/>
  <c r="I300" i="1"/>
  <c r="I301" i="1" s="1"/>
  <c r="J298" i="1" s="1"/>
  <c r="J299" i="1" s="1"/>
  <c r="I91" i="19"/>
  <c r="I90" i="19"/>
  <c r="I93" i="19" s="1"/>
  <c r="I97" i="19" s="1"/>
  <c r="I98" i="19" s="1"/>
  <c r="I99" i="19" s="1"/>
  <c r="I100" i="19" s="1"/>
  <c r="I104" i="19" s="1"/>
  <c r="I96" i="19"/>
  <c r="H98" i="19"/>
  <c r="H99" i="19" s="1"/>
  <c r="H100" i="19" s="1"/>
  <c r="H104" i="19" s="1"/>
  <c r="J75" i="19"/>
  <c r="X50" i="1"/>
  <c r="X53" i="1" s="1"/>
  <c r="X79" i="1" s="1"/>
  <c r="X80" i="1" s="1"/>
  <c r="X83" i="1" s="1"/>
  <c r="X85" i="1" s="1"/>
  <c r="Z59" i="1"/>
  <c r="W102" i="1"/>
  <c r="W103" i="1" s="1"/>
  <c r="I125" i="1" l="1"/>
  <c r="I127" i="1" s="1"/>
  <c r="I130" i="1" s="1"/>
  <c r="I302" i="1"/>
  <c r="I305" i="1" s="1"/>
  <c r="I308" i="1" s="1"/>
  <c r="J41" i="19"/>
  <c r="J42" i="19" s="1"/>
  <c r="J40" i="19"/>
  <c r="J19" i="19"/>
  <c r="J327" i="1"/>
  <c r="K92" i="1"/>
  <c r="J274" i="1"/>
  <c r="J291" i="1" s="1"/>
  <c r="I355" i="1"/>
  <c r="H105" i="19"/>
  <c r="H28" i="19" s="1"/>
  <c r="H34" i="19" s="1"/>
  <c r="H21" i="19"/>
  <c r="I95" i="19"/>
  <c r="I94" i="19"/>
  <c r="Y50" i="1"/>
  <c r="Y53" i="1" s="1"/>
  <c r="Y79" i="1" s="1"/>
  <c r="Y80" i="1" s="1"/>
  <c r="Y83" i="1" s="1"/>
  <c r="Y85" i="1" s="1"/>
  <c r="I105" i="19"/>
  <c r="I106" i="19" s="1"/>
  <c r="I107" i="19" s="1"/>
  <c r="I21" i="19"/>
  <c r="X102" i="1"/>
  <c r="X103" i="1" s="1"/>
  <c r="AA59" i="1"/>
  <c r="I128" i="1" l="1"/>
  <c r="I131" i="1" s="1"/>
  <c r="I132" i="1" s="1"/>
  <c r="I304" i="1"/>
  <c r="I307" i="1" s="1"/>
  <c r="I309" i="1" s="1"/>
  <c r="I358" i="1"/>
  <c r="I361" i="1" s="1"/>
  <c r="I357" i="1"/>
  <c r="I360" i="1" s="1"/>
  <c r="I362" i="1" s="1"/>
  <c r="I133" i="1"/>
  <c r="I134" i="1" s="1"/>
  <c r="H16" i="7"/>
  <c r="H17" i="7" s="1"/>
  <c r="H46" i="8" s="1"/>
  <c r="H45" i="8" s="1"/>
  <c r="I143" i="1"/>
  <c r="J45" i="19"/>
  <c r="J46" i="19" s="1"/>
  <c r="J43" i="19"/>
  <c r="K93" i="1"/>
  <c r="J91" i="1" s="1"/>
  <c r="K322" i="1"/>
  <c r="J31" i="19"/>
  <c r="H24" i="19"/>
  <c r="H29" i="19"/>
  <c r="H30" i="19" s="1"/>
  <c r="H106" i="19"/>
  <c r="H107" i="19" s="1"/>
  <c r="Z50" i="1"/>
  <c r="Z53" i="1" s="1"/>
  <c r="Z79" i="1" s="1"/>
  <c r="Z80" i="1" s="1"/>
  <c r="Z83" i="1" s="1"/>
  <c r="Z85" i="1" s="1"/>
  <c r="I28" i="19"/>
  <c r="I34" i="19" s="1"/>
  <c r="I29" i="19"/>
  <c r="I24" i="19"/>
  <c r="Y102" i="1"/>
  <c r="Y103" i="1" s="1"/>
  <c r="AB59" i="1"/>
  <c r="K96" i="1" l="1"/>
  <c r="K141" i="1" s="1"/>
  <c r="J47" i="19"/>
  <c r="J56" i="19" s="1"/>
  <c r="J32" i="19" s="1"/>
  <c r="K91" i="1"/>
  <c r="K323" i="1"/>
  <c r="J113" i="1"/>
  <c r="AA50" i="1"/>
  <c r="AA53" i="1" s="1"/>
  <c r="AA79" i="1" s="1"/>
  <c r="AA80" i="1" s="1"/>
  <c r="AA83" i="1" s="1"/>
  <c r="AA85" i="1" s="1"/>
  <c r="I30" i="19"/>
  <c r="AC59" i="1"/>
  <c r="Z102" i="1"/>
  <c r="Z103" i="1" s="1"/>
  <c r="K326" i="1" l="1"/>
  <c r="J76" i="19"/>
  <c r="J64" i="19"/>
  <c r="J57" i="19"/>
  <c r="J60" i="19" s="1"/>
  <c r="K110" i="1"/>
  <c r="K340" i="1" s="1"/>
  <c r="O94" i="1"/>
  <c r="N94" i="1"/>
  <c r="M94" i="1"/>
  <c r="K94" i="1"/>
  <c r="L94" i="1"/>
  <c r="E51" i="8"/>
  <c r="J110" i="1"/>
  <c r="J22" i="19"/>
  <c r="I13" i="7"/>
  <c r="I14" i="7" s="1"/>
  <c r="J342" i="1"/>
  <c r="AB50" i="1"/>
  <c r="AB53" i="1" s="1"/>
  <c r="AB79" i="1" s="1"/>
  <c r="AB80" i="1" s="1"/>
  <c r="AB83" i="1" s="1"/>
  <c r="AB85" i="1" s="1"/>
  <c r="AA102" i="1"/>
  <c r="AA103" i="1" s="1"/>
  <c r="AD59" i="1"/>
  <c r="J58" i="19" l="1"/>
  <c r="K53" i="19" s="1"/>
  <c r="K55" i="19" s="1"/>
  <c r="J59" i="19"/>
  <c r="J65" i="19"/>
  <c r="J69" i="19" s="1"/>
  <c r="J70" i="19" s="1"/>
  <c r="J340" i="1"/>
  <c r="J345" i="1" s="1"/>
  <c r="J353" i="1" s="1"/>
  <c r="J354" i="1" s="1"/>
  <c r="K351" i="1" s="1"/>
  <c r="J287" i="1"/>
  <c r="J292" i="1" s="1"/>
  <c r="L99" i="1"/>
  <c r="L98" i="1"/>
  <c r="L104" i="1"/>
  <c r="L324" i="1"/>
  <c r="K104" i="1"/>
  <c r="J9" i="7"/>
  <c r="J11" i="7" s="1"/>
  <c r="J14" i="7" s="1"/>
  <c r="K99" i="1"/>
  <c r="K324" i="1"/>
  <c r="K98" i="1"/>
  <c r="K95" i="1"/>
  <c r="J115" i="1"/>
  <c r="J116" i="1" s="1"/>
  <c r="N99" i="1"/>
  <c r="N104" i="1"/>
  <c r="N324" i="1"/>
  <c r="N98" i="1"/>
  <c r="O98" i="1"/>
  <c r="O99" i="1"/>
  <c r="O324" i="1"/>
  <c r="O104" i="1"/>
  <c r="O333" i="1" s="1"/>
  <c r="M104" i="1"/>
  <c r="M324" i="1"/>
  <c r="M98" i="1"/>
  <c r="M99" i="1"/>
  <c r="J77" i="19"/>
  <c r="J54" i="19"/>
  <c r="AC50" i="1"/>
  <c r="AC53" i="1" s="1"/>
  <c r="AC79" i="1" s="1"/>
  <c r="AC80" i="1" s="1"/>
  <c r="AC83" i="1" s="1"/>
  <c r="AC85" i="1" s="1"/>
  <c r="AB102" i="1"/>
  <c r="AB103" i="1" s="1"/>
  <c r="AE59" i="1"/>
  <c r="J66" i="19" l="1"/>
  <c r="K62" i="19" s="1"/>
  <c r="K63" i="19" s="1"/>
  <c r="J67" i="19"/>
  <c r="J89" i="19"/>
  <c r="J90" i="19" s="1"/>
  <c r="K97" i="1"/>
  <c r="K325" i="1"/>
  <c r="K333" i="1"/>
  <c r="K345" i="1" s="1"/>
  <c r="K115" i="1"/>
  <c r="N333" i="1"/>
  <c r="N345" i="1" s="1"/>
  <c r="N115" i="1"/>
  <c r="J123" i="1"/>
  <c r="J124" i="1" s="1"/>
  <c r="K121" i="1" s="1"/>
  <c r="K122" i="1" s="1"/>
  <c r="L115" i="1"/>
  <c r="L333" i="1"/>
  <c r="L345" i="1" s="1"/>
  <c r="K39" i="19"/>
  <c r="K19" i="19" s="1"/>
  <c r="E294" i="1"/>
  <c r="E170" i="1" s="1"/>
  <c r="F21" i="1" s="1"/>
  <c r="J300" i="1"/>
  <c r="J301" i="1" s="1"/>
  <c r="M333" i="1"/>
  <c r="M345" i="1" s="1"/>
  <c r="M115" i="1"/>
  <c r="K352" i="1"/>
  <c r="J355" i="1"/>
  <c r="J117" i="1"/>
  <c r="J78" i="19"/>
  <c r="J82" i="19" s="1"/>
  <c r="AD50" i="1"/>
  <c r="AD53" i="1" s="1"/>
  <c r="AD79" i="1" s="1"/>
  <c r="AD80" i="1" s="1"/>
  <c r="AD83" i="1" s="1"/>
  <c r="AD85" i="1" s="1"/>
  <c r="AC102" i="1"/>
  <c r="AC103" i="1" s="1"/>
  <c r="AF59" i="1"/>
  <c r="J91" i="19" l="1"/>
  <c r="J96" i="19"/>
  <c r="J125" i="1"/>
  <c r="J127" i="1" s="1"/>
  <c r="J130" i="1" s="1"/>
  <c r="J133" i="1" s="1"/>
  <c r="J302" i="1"/>
  <c r="J304" i="1" s="1"/>
  <c r="J307" i="1" s="1"/>
  <c r="J309" i="1" s="1"/>
  <c r="K353" i="1"/>
  <c r="K355" i="1" s="1"/>
  <c r="K358" i="1" s="1"/>
  <c r="K361" i="1" s="1"/>
  <c r="L116" i="1"/>
  <c r="M39" i="19"/>
  <c r="K116" i="1"/>
  <c r="L39" i="19"/>
  <c r="N116" i="1"/>
  <c r="O39" i="19"/>
  <c r="M116" i="1"/>
  <c r="N39" i="19"/>
  <c r="K41" i="19"/>
  <c r="K42" i="19" s="1"/>
  <c r="K45" i="19" s="1"/>
  <c r="K46" i="19" s="1"/>
  <c r="K40" i="19"/>
  <c r="L92" i="1"/>
  <c r="K327" i="1"/>
  <c r="J79" i="19"/>
  <c r="K74" i="19" s="1"/>
  <c r="K81" i="19" s="1"/>
  <c r="J357" i="1"/>
  <c r="J360" i="1" s="1"/>
  <c r="J362" i="1" s="1"/>
  <c r="J358" i="1"/>
  <c r="J361" i="1" s="1"/>
  <c r="J83" i="19"/>
  <c r="J80" i="19"/>
  <c r="K123" i="1"/>
  <c r="K125" i="1" s="1"/>
  <c r="D136" i="1"/>
  <c r="F34" i="8" s="1"/>
  <c r="J92" i="19"/>
  <c r="AE50" i="1"/>
  <c r="AE53" i="1" s="1"/>
  <c r="AE79" i="1" s="1"/>
  <c r="AE80" i="1" s="1"/>
  <c r="AE83" i="1" s="1"/>
  <c r="AE85" i="1" s="1"/>
  <c r="AD102" i="1"/>
  <c r="AD103" i="1" s="1"/>
  <c r="AG59" i="1"/>
  <c r="J305" i="1" l="1"/>
  <c r="J308" i="1" s="1"/>
  <c r="E314" i="1" s="1"/>
  <c r="E174" i="1" s="1"/>
  <c r="F25" i="1" s="1"/>
  <c r="J143" i="1"/>
  <c r="I16" i="7"/>
  <c r="B23" i="7" s="1"/>
  <c r="J128" i="1"/>
  <c r="J131" i="1" s="1"/>
  <c r="D137" i="1" s="1"/>
  <c r="B22" i="7"/>
  <c r="K31" i="19"/>
  <c r="K354" i="1"/>
  <c r="L351" i="1" s="1"/>
  <c r="L352" i="1" s="1"/>
  <c r="L353" i="1" s="1"/>
  <c r="L355" i="1" s="1"/>
  <c r="L358" i="1" s="1"/>
  <c r="L361" i="1" s="1"/>
  <c r="K357" i="1"/>
  <c r="K360" i="1" s="1"/>
  <c r="K362" i="1" s="1"/>
  <c r="O40" i="19"/>
  <c r="O41" i="19"/>
  <c r="O42" i="19" s="1"/>
  <c r="L41" i="19"/>
  <c r="L42" i="19" s="1"/>
  <c r="L40" i="19"/>
  <c r="L322" i="1"/>
  <c r="L96" i="1"/>
  <c r="K43" i="19"/>
  <c r="K47" i="19" s="1"/>
  <c r="L117" i="1"/>
  <c r="N117" i="1"/>
  <c r="M117" i="1"/>
  <c r="K117" i="1"/>
  <c r="E312" i="1"/>
  <c r="E172" i="1" s="1"/>
  <c r="F23" i="1" s="1"/>
  <c r="E311" i="1"/>
  <c r="E171" i="1" s="1"/>
  <c r="F22" i="1" s="1"/>
  <c r="E313" i="1"/>
  <c r="E173" i="1" s="1"/>
  <c r="F24" i="1" s="1"/>
  <c r="N41" i="19"/>
  <c r="N42" i="19" s="1"/>
  <c r="N40" i="19"/>
  <c r="L19" i="19"/>
  <c r="M19" i="19" s="1"/>
  <c r="M40" i="19"/>
  <c r="M41" i="19"/>
  <c r="M42" i="19" s="1"/>
  <c r="K75" i="19"/>
  <c r="J134" i="1"/>
  <c r="C24" i="1" s="1"/>
  <c r="K128" i="1"/>
  <c r="K127" i="1"/>
  <c r="K130" i="1" s="1"/>
  <c r="J84" i="19"/>
  <c r="J85" i="19" s="1"/>
  <c r="J93" i="19" s="1"/>
  <c r="K124" i="1"/>
  <c r="L121" i="1" s="1"/>
  <c r="AF50" i="1"/>
  <c r="AF53" i="1" s="1"/>
  <c r="AF79" i="1" s="1"/>
  <c r="AF80" i="1" s="1"/>
  <c r="AF83" i="1" s="1"/>
  <c r="AF85" i="1" s="1"/>
  <c r="AH59" i="1"/>
  <c r="AE102" i="1"/>
  <c r="AE103" i="1" s="1"/>
  <c r="K131" i="1" l="1"/>
  <c r="I17" i="7"/>
  <c r="I46" i="8" s="1"/>
  <c r="I45" i="8" s="1"/>
  <c r="E50" i="8" s="1"/>
  <c r="E52" i="8" s="1"/>
  <c r="E53" i="8" s="1"/>
  <c r="J132" i="1"/>
  <c r="L354" i="1"/>
  <c r="M351" i="1" s="1"/>
  <c r="M352" i="1" s="1"/>
  <c r="M353" i="1" s="1"/>
  <c r="M355" i="1" s="1"/>
  <c r="L357" i="1"/>
  <c r="L360" i="1" s="1"/>
  <c r="L362" i="1" s="1"/>
  <c r="L31" i="19"/>
  <c r="K76" i="19"/>
  <c r="K56" i="19"/>
  <c r="K32" i="19" s="1"/>
  <c r="K57" i="19"/>
  <c r="K60" i="19" s="1"/>
  <c r="K64" i="19"/>
  <c r="L326" i="1"/>
  <c r="L95" i="1"/>
  <c r="L141" i="1"/>
  <c r="L43" i="19"/>
  <c r="L45" i="19"/>
  <c r="L46" i="19" s="1"/>
  <c r="M45" i="19"/>
  <c r="M46" i="19" s="1"/>
  <c r="M43" i="19"/>
  <c r="O45" i="19"/>
  <c r="O46" i="19" s="1"/>
  <c r="O43" i="19"/>
  <c r="N43" i="19"/>
  <c r="N45" i="19"/>
  <c r="N46" i="19" s="1"/>
  <c r="J97" i="19"/>
  <c r="J95" i="19"/>
  <c r="J94" i="19"/>
  <c r="M31" i="19"/>
  <c r="N19" i="19"/>
  <c r="L122" i="1"/>
  <c r="L123" i="1" s="1"/>
  <c r="L125" i="1" s="1"/>
  <c r="J16" i="7"/>
  <c r="J17" i="7" s="1"/>
  <c r="K132" i="1"/>
  <c r="K143" i="1"/>
  <c r="K133" i="1"/>
  <c r="K134" i="1" s="1"/>
  <c r="AG50" i="1"/>
  <c r="AG53" i="1" s="1"/>
  <c r="AG79" i="1" s="1"/>
  <c r="AG80" i="1" s="1"/>
  <c r="AG83" i="1" s="1"/>
  <c r="AG85" i="1" s="1"/>
  <c r="AF102" i="1"/>
  <c r="AF103" i="1" s="1"/>
  <c r="AI59" i="1"/>
  <c r="K58" i="19" l="1"/>
  <c r="L53" i="19" s="1"/>
  <c r="L55" i="19" s="1"/>
  <c r="K22" i="19"/>
  <c r="M47" i="19"/>
  <c r="M64" i="19" s="1"/>
  <c r="O47" i="19"/>
  <c r="O64" i="19" s="1"/>
  <c r="K59" i="19"/>
  <c r="N47" i="19"/>
  <c r="N64" i="19" s="1"/>
  <c r="K65" i="19"/>
  <c r="K89" i="19" s="1"/>
  <c r="L97" i="1"/>
  <c r="L325" i="1"/>
  <c r="L47" i="19"/>
  <c r="L64" i="19" s="1"/>
  <c r="L128" i="1"/>
  <c r="L131" i="1" s="1"/>
  <c r="L127" i="1"/>
  <c r="L130" i="1" s="1"/>
  <c r="N31" i="19"/>
  <c r="O19" i="19"/>
  <c r="O31" i="19" s="1"/>
  <c r="L124" i="1"/>
  <c r="M121" i="1" s="1"/>
  <c r="M354" i="1"/>
  <c r="N351" i="1" s="1"/>
  <c r="M357" i="1"/>
  <c r="M360" i="1" s="1"/>
  <c r="M362" i="1" s="1"/>
  <c r="M358" i="1"/>
  <c r="M361" i="1" s="1"/>
  <c r="K54" i="19"/>
  <c r="K77" i="19"/>
  <c r="J98" i="19"/>
  <c r="AH50" i="1"/>
  <c r="AH53" i="1" s="1"/>
  <c r="AH79" i="1" s="1"/>
  <c r="AH80" i="1" s="1"/>
  <c r="AH83" i="1" s="1"/>
  <c r="AH85" i="1" s="1"/>
  <c r="AG102" i="1"/>
  <c r="AG103" i="1" s="1"/>
  <c r="AJ59" i="1"/>
  <c r="K67" i="19" l="1"/>
  <c r="K66" i="19"/>
  <c r="L62" i="19" s="1"/>
  <c r="L63" i="19" s="1"/>
  <c r="L56" i="19"/>
  <c r="L22" i="19" s="1"/>
  <c r="K69" i="19"/>
  <c r="K70" i="19" s="1"/>
  <c r="K78" i="19" s="1"/>
  <c r="K82" i="19" s="1"/>
  <c r="K92" i="19" s="1"/>
  <c r="L57" i="19"/>
  <c r="L60" i="19" s="1"/>
  <c r="L327" i="1"/>
  <c r="M92" i="1"/>
  <c r="K96" i="19"/>
  <c r="K91" i="19"/>
  <c r="K90" i="19"/>
  <c r="J99" i="19"/>
  <c r="J100" i="19" s="1"/>
  <c r="J104" i="19" s="1"/>
  <c r="M122" i="1"/>
  <c r="M123" i="1" s="1"/>
  <c r="M125" i="1" s="1"/>
  <c r="L133" i="1"/>
  <c r="L134" i="1" s="1"/>
  <c r="L132" i="1"/>
  <c r="L143" i="1"/>
  <c r="N352" i="1"/>
  <c r="N353" i="1" s="1"/>
  <c r="N355" i="1" s="1"/>
  <c r="AJ50" i="1"/>
  <c r="AJ53" i="1" s="1"/>
  <c r="AJ79" i="1" s="1"/>
  <c r="AJ80" i="1" s="1"/>
  <c r="AJ83" i="1" s="1"/>
  <c r="AJ85" i="1" s="1"/>
  <c r="AI50" i="1"/>
  <c r="AI53" i="1" s="1"/>
  <c r="AI79" i="1" s="1"/>
  <c r="AI80" i="1" s="1"/>
  <c r="AI83" i="1" s="1"/>
  <c r="AI85" i="1" s="1"/>
  <c r="AH102" i="1"/>
  <c r="AH103" i="1" s="1"/>
  <c r="L32" i="19" l="1"/>
  <c r="L58" i="19"/>
  <c r="M53" i="19" s="1"/>
  <c r="M56" i="19" s="1"/>
  <c r="M22" i="19" s="1"/>
  <c r="L59" i="19"/>
  <c r="L65" i="19"/>
  <c r="L67" i="19" s="1"/>
  <c r="M96" i="1"/>
  <c r="M322" i="1"/>
  <c r="M124" i="1"/>
  <c r="N121" i="1" s="1"/>
  <c r="N122" i="1" s="1"/>
  <c r="N123" i="1" s="1"/>
  <c r="N125" i="1" s="1"/>
  <c r="N358" i="1"/>
  <c r="N361" i="1" s="1"/>
  <c r="N357" i="1"/>
  <c r="N360" i="1" s="1"/>
  <c r="N362" i="1" s="1"/>
  <c r="N354" i="1"/>
  <c r="O351" i="1" s="1"/>
  <c r="O352" i="1" s="1"/>
  <c r="M128" i="1"/>
  <c r="M131" i="1" s="1"/>
  <c r="M127" i="1"/>
  <c r="M130" i="1" s="1"/>
  <c r="K79" i="19"/>
  <c r="L74" i="19" s="1"/>
  <c r="J105" i="19"/>
  <c r="J21" i="19"/>
  <c r="K83" i="19"/>
  <c r="L77" i="19"/>
  <c r="L54" i="19"/>
  <c r="K80" i="19"/>
  <c r="AI102" i="1"/>
  <c r="AI103" i="1" s="1"/>
  <c r="AJ102" i="1"/>
  <c r="M32" i="19" l="1"/>
  <c r="L66" i="19"/>
  <c r="M62" i="19" s="1"/>
  <c r="M63" i="19" s="1"/>
  <c r="L69" i="19"/>
  <c r="L70" i="19" s="1"/>
  <c r="M55" i="19"/>
  <c r="M57" i="19" s="1"/>
  <c r="M59" i="19" s="1"/>
  <c r="M141" i="1"/>
  <c r="M95" i="1"/>
  <c r="M326" i="1"/>
  <c r="L76" i="19"/>
  <c r="L75" i="19"/>
  <c r="L81" i="19"/>
  <c r="N124" i="1"/>
  <c r="O121" i="1" s="1"/>
  <c r="O122" i="1" s="1"/>
  <c r="N127" i="1"/>
  <c r="N130" i="1" s="1"/>
  <c r="N128" i="1"/>
  <c r="N131" i="1" s="1"/>
  <c r="K84" i="19"/>
  <c r="K85" i="19" s="1"/>
  <c r="K93" i="19" s="1"/>
  <c r="J29" i="19"/>
  <c r="J24" i="19"/>
  <c r="M133" i="1"/>
  <c r="M134" i="1" s="1"/>
  <c r="M143" i="1"/>
  <c r="M132" i="1"/>
  <c r="J106" i="19"/>
  <c r="J107" i="19" s="1"/>
  <c r="J28" i="19"/>
  <c r="P93" i="1"/>
  <c r="AJ103" i="1"/>
  <c r="M65" i="19" l="1"/>
  <c r="M58" i="19"/>
  <c r="N53" i="19" s="1"/>
  <c r="M60" i="19"/>
  <c r="M325" i="1"/>
  <c r="M97" i="1"/>
  <c r="L78" i="19"/>
  <c r="K97" i="19"/>
  <c r="K95" i="19"/>
  <c r="K94" i="19"/>
  <c r="L89" i="19" s="1"/>
  <c r="N133" i="1"/>
  <c r="N134" i="1" s="1"/>
  <c r="N143" i="1"/>
  <c r="N132" i="1"/>
  <c r="J34" i="19"/>
  <c r="J30" i="19"/>
  <c r="O91" i="1"/>
  <c r="O110" i="1" s="1"/>
  <c r="O113" i="1"/>
  <c r="O342" i="1" s="1"/>
  <c r="P94" i="1"/>
  <c r="M54" i="19" l="1"/>
  <c r="M77" i="19"/>
  <c r="N55" i="19"/>
  <c r="N56" i="19"/>
  <c r="M66" i="19"/>
  <c r="N62" i="19" s="1"/>
  <c r="M67" i="19"/>
  <c r="M69" i="19"/>
  <c r="M70" i="19" s="1"/>
  <c r="M327" i="1"/>
  <c r="N92" i="1"/>
  <c r="L82" i="19"/>
  <c r="L83" i="19" s="1"/>
  <c r="L80" i="19"/>
  <c r="L79" i="19"/>
  <c r="M74" i="19" s="1"/>
  <c r="L90" i="19"/>
  <c r="L91" i="19"/>
  <c r="L96" i="19"/>
  <c r="K98" i="19"/>
  <c r="K99" i="19" s="1"/>
  <c r="K100" i="19" s="1"/>
  <c r="K104" i="19" s="1"/>
  <c r="K21" i="19" s="1"/>
  <c r="O340" i="1"/>
  <c r="O115" i="1"/>
  <c r="P98" i="1"/>
  <c r="P99" i="1"/>
  <c r="P104" i="1"/>
  <c r="N63" i="19" l="1"/>
  <c r="N22" i="19"/>
  <c r="N32" i="19"/>
  <c r="L92" i="19"/>
  <c r="N57" i="19"/>
  <c r="N59" i="19" s="1"/>
  <c r="L84" i="19"/>
  <c r="L85" i="19" s="1"/>
  <c r="N322" i="1"/>
  <c r="N96" i="1"/>
  <c r="M75" i="19"/>
  <c r="M78" i="19" s="1"/>
  <c r="M82" i="19" s="1"/>
  <c r="M83" i="19" s="1"/>
  <c r="M84" i="19" s="1"/>
  <c r="M85" i="19" s="1"/>
  <c r="M76" i="19"/>
  <c r="M81" i="19"/>
  <c r="K29" i="19"/>
  <c r="K24" i="19"/>
  <c r="K105" i="19"/>
  <c r="K28" i="19" s="1"/>
  <c r="O116" i="1"/>
  <c r="O117" i="1" s="1"/>
  <c r="P39" i="19"/>
  <c r="O123" i="1"/>
  <c r="Q93" i="1"/>
  <c r="N58" i="19" l="1"/>
  <c r="O53" i="19" s="1"/>
  <c r="O55" i="19" s="1"/>
  <c r="O57" i="19" s="1"/>
  <c r="L93" i="19"/>
  <c r="L97" i="19" s="1"/>
  <c r="L98" i="19" s="1"/>
  <c r="N60" i="19"/>
  <c r="N65" i="19"/>
  <c r="N95" i="1"/>
  <c r="N141" i="1"/>
  <c r="N326" i="1"/>
  <c r="M80" i="19"/>
  <c r="K106" i="19"/>
  <c r="K107" i="19" s="1"/>
  <c r="M79" i="19"/>
  <c r="N74" i="19" s="1"/>
  <c r="N76" i="19" s="1"/>
  <c r="K34" i="19"/>
  <c r="K30" i="19"/>
  <c r="O125" i="1"/>
  <c r="O124" i="1"/>
  <c r="P121" i="1" s="1"/>
  <c r="P40" i="19"/>
  <c r="P41" i="19"/>
  <c r="P19" i="19"/>
  <c r="P113" i="1"/>
  <c r="P91" i="1"/>
  <c r="P110" i="1" s="1"/>
  <c r="P115" i="1" l="1"/>
  <c r="P116" i="1" s="1"/>
  <c r="P117" i="1" s="1"/>
  <c r="L94" i="19"/>
  <c r="M89" i="19" s="1"/>
  <c r="M91" i="19" s="1"/>
  <c r="L95" i="19"/>
  <c r="O56" i="19"/>
  <c r="O58" i="19" s="1"/>
  <c r="P53" i="19" s="1"/>
  <c r="P55" i="19" s="1"/>
  <c r="O65" i="19"/>
  <c r="O67" i="19" s="1"/>
  <c r="O60" i="19"/>
  <c r="O54" i="19" s="1"/>
  <c r="N67" i="19"/>
  <c r="N69" i="19"/>
  <c r="N70" i="19" s="1"/>
  <c r="N66" i="19"/>
  <c r="O62" i="19" s="1"/>
  <c r="O63" i="19" s="1"/>
  <c r="N54" i="19"/>
  <c r="N77" i="19"/>
  <c r="N325" i="1"/>
  <c r="N97" i="1"/>
  <c r="N75" i="19"/>
  <c r="N81" i="19"/>
  <c r="L99" i="19"/>
  <c r="L100" i="19" s="1"/>
  <c r="L104" i="19" s="1"/>
  <c r="P47" i="19"/>
  <c r="D10" i="19" s="1"/>
  <c r="P122" i="1"/>
  <c r="P123" i="1" s="1"/>
  <c r="P125" i="1" s="1"/>
  <c r="P128" i="1" s="1"/>
  <c r="P131" i="1" s="1"/>
  <c r="O128" i="1"/>
  <c r="O131" i="1" s="1"/>
  <c r="O127" i="1"/>
  <c r="O130" i="1" s="1"/>
  <c r="P31" i="19"/>
  <c r="D31" i="19" s="1"/>
  <c r="O32" i="19" l="1"/>
  <c r="O22" i="19"/>
  <c r="M96" i="19"/>
  <c r="M92" i="19"/>
  <c r="M90" i="19"/>
  <c r="O59" i="19"/>
  <c r="O69" i="19"/>
  <c r="O70" i="19" s="1"/>
  <c r="O77" i="19"/>
  <c r="N78" i="19"/>
  <c r="N82" i="19" s="1"/>
  <c r="N83" i="19" s="1"/>
  <c r="N84" i="19" s="1"/>
  <c r="N85" i="19" s="1"/>
  <c r="O66" i="19"/>
  <c r="P62" i="19" s="1"/>
  <c r="P63" i="19" s="1"/>
  <c r="O92" i="1"/>
  <c r="N327" i="1"/>
  <c r="P57" i="19"/>
  <c r="P65" i="19" s="1"/>
  <c r="F49" i="19"/>
  <c r="F48" i="19"/>
  <c r="P56" i="19"/>
  <c r="P32" i="19" s="1"/>
  <c r="L10" i="19"/>
  <c r="P64" i="19"/>
  <c r="L105" i="19"/>
  <c r="L21" i="19"/>
  <c r="P127" i="1"/>
  <c r="P130" i="1" s="1"/>
  <c r="P132" i="1" s="1"/>
  <c r="D8" i="19"/>
  <c r="D9" i="19"/>
  <c r="O143" i="1"/>
  <c r="O133" i="1"/>
  <c r="O134" i="1" s="1"/>
  <c r="O132" i="1"/>
  <c r="P124" i="1"/>
  <c r="Q121" i="1" s="1"/>
  <c r="Q122" i="1" s="1"/>
  <c r="D32" i="19" l="1"/>
  <c r="N80" i="19"/>
  <c r="M93" i="19"/>
  <c r="M94" i="19" s="1"/>
  <c r="N89" i="19" s="1"/>
  <c r="N96" i="19" s="1"/>
  <c r="N79" i="19"/>
  <c r="O74" i="19" s="1"/>
  <c r="O81" i="19" s="1"/>
  <c r="O322" i="1"/>
  <c r="O96" i="1"/>
  <c r="P58" i="19"/>
  <c r="P59" i="19"/>
  <c r="E59" i="19" s="1"/>
  <c r="P22" i="19"/>
  <c r="D22" i="19" s="1"/>
  <c r="P66" i="19"/>
  <c r="P60" i="19"/>
  <c r="P69" i="19" s="1"/>
  <c r="P70" i="19" s="1"/>
  <c r="P133" i="1"/>
  <c r="P134" i="1" s="1"/>
  <c r="P143" i="1"/>
  <c r="P67" i="19"/>
  <c r="E67" i="19" s="1"/>
  <c r="L29" i="19"/>
  <c r="L24" i="19"/>
  <c r="L106" i="19"/>
  <c r="L107" i="19" s="1"/>
  <c r="L28" i="19"/>
  <c r="L34" i="19" s="1"/>
  <c r="Q94" i="1"/>
  <c r="O76" i="19" l="1"/>
  <c r="N92" i="19"/>
  <c r="O75" i="19"/>
  <c r="O78" i="19" s="1"/>
  <c r="O82" i="19" s="1"/>
  <c r="O83" i="19" s="1"/>
  <c r="O84" i="19" s="1"/>
  <c r="O85" i="19" s="1"/>
  <c r="N91" i="19"/>
  <c r="M95" i="19"/>
  <c r="M97" i="19"/>
  <c r="M98" i="19" s="1"/>
  <c r="M99" i="19" s="1"/>
  <c r="M100" i="19" s="1"/>
  <c r="M104" i="19" s="1"/>
  <c r="M105" i="19" s="1"/>
  <c r="M28" i="19" s="1"/>
  <c r="M34" i="19" s="1"/>
  <c r="N90" i="19"/>
  <c r="P77" i="19"/>
  <c r="P54" i="19"/>
  <c r="F54" i="19" s="1"/>
  <c r="O326" i="1"/>
  <c r="O95" i="1"/>
  <c r="O141" i="1"/>
  <c r="L30" i="19"/>
  <c r="Q99" i="1"/>
  <c r="Q98" i="1"/>
  <c r="Q104" i="1"/>
  <c r="N93" i="19" l="1"/>
  <c r="N95" i="19" s="1"/>
  <c r="O80" i="19"/>
  <c r="O79" i="19"/>
  <c r="P74" i="19" s="1"/>
  <c r="P76" i="19" s="1"/>
  <c r="M106" i="19"/>
  <c r="M107" i="19" s="1"/>
  <c r="M21" i="19"/>
  <c r="M29" i="19" s="1"/>
  <c r="M30" i="19" s="1"/>
  <c r="O97" i="1"/>
  <c r="O325" i="1"/>
  <c r="R93" i="1"/>
  <c r="P81" i="19" l="1"/>
  <c r="N94" i="19"/>
  <c r="O89" i="19" s="1"/>
  <c r="O91" i="19" s="1"/>
  <c r="N97" i="19"/>
  <c r="N98" i="19" s="1"/>
  <c r="N99" i="19" s="1"/>
  <c r="N100" i="19" s="1"/>
  <c r="N104" i="19" s="1"/>
  <c r="N21" i="19" s="1"/>
  <c r="N24" i="19" s="1"/>
  <c r="P75" i="19"/>
  <c r="P78" i="19" s="1"/>
  <c r="P82" i="19" s="1"/>
  <c r="P83" i="19" s="1"/>
  <c r="P84" i="19" s="1"/>
  <c r="P85" i="19" s="1"/>
  <c r="M24" i="19"/>
  <c r="O92" i="19"/>
  <c r="O90" i="19"/>
  <c r="P92" i="1"/>
  <c r="P96" i="1" s="1"/>
  <c r="O327" i="1"/>
  <c r="O344" i="1" s="1"/>
  <c r="O345" i="1" s="1"/>
  <c r="Q91" i="1"/>
  <c r="Q110" i="1" s="1"/>
  <c r="Q113" i="1"/>
  <c r="R91" i="1"/>
  <c r="O96" i="19" l="1"/>
  <c r="N105" i="19"/>
  <c r="N28" i="19" s="1"/>
  <c r="N29" i="19"/>
  <c r="P79" i="19"/>
  <c r="P80" i="19"/>
  <c r="E80" i="19" s="1"/>
  <c r="O93" i="19"/>
  <c r="O97" i="19" s="1"/>
  <c r="Q115" i="1"/>
  <c r="Q116" i="1" s="1"/>
  <c r="Q117" i="1" s="1"/>
  <c r="E347" i="1"/>
  <c r="F170" i="1" s="1"/>
  <c r="G21" i="1" s="1"/>
  <c r="O353" i="1"/>
  <c r="O354" i="1" s="1"/>
  <c r="P141" i="1"/>
  <c r="P95" i="1"/>
  <c r="P97" i="1" s="1"/>
  <c r="Q92" i="1" s="1"/>
  <c r="Q96" i="1" s="1"/>
  <c r="R110" i="1"/>
  <c r="AG94" i="1"/>
  <c r="AH94" i="1"/>
  <c r="AB94" i="1"/>
  <c r="Y94" i="1"/>
  <c r="W94" i="1"/>
  <c r="U94" i="1"/>
  <c r="V94" i="1"/>
  <c r="AA94" i="1"/>
  <c r="S94" i="1"/>
  <c r="AD94" i="1"/>
  <c r="AE94" i="1"/>
  <c r="AJ94" i="1"/>
  <c r="Z94" i="1"/>
  <c r="AF94" i="1"/>
  <c r="AI94" i="1"/>
  <c r="AC94" i="1"/>
  <c r="R94" i="1"/>
  <c r="T94" i="1"/>
  <c r="X94" i="1"/>
  <c r="N106" i="19" l="1"/>
  <c r="N107" i="19" s="1"/>
  <c r="Q123" i="1"/>
  <c r="Q124" i="1" s="1"/>
  <c r="R121" i="1" s="1"/>
  <c r="R122" i="1" s="1"/>
  <c r="O95" i="19"/>
  <c r="O94" i="19"/>
  <c r="P89" i="19" s="1"/>
  <c r="P91" i="19" s="1"/>
  <c r="O98" i="19"/>
  <c r="O99" i="19" s="1"/>
  <c r="O100" i="19" s="1"/>
  <c r="O104" i="19" s="1"/>
  <c r="O21" i="19" s="1"/>
  <c r="N34" i="19"/>
  <c r="N30" i="19"/>
  <c r="Q141" i="1"/>
  <c r="Q95" i="1"/>
  <c r="Q97" i="1" s="1"/>
  <c r="R92" i="1" s="1"/>
  <c r="R96" i="1" s="1"/>
  <c r="R141" i="1" s="1"/>
  <c r="O355" i="1"/>
  <c r="AF98" i="1"/>
  <c r="AF99" i="1"/>
  <c r="AF104" i="1"/>
  <c r="AF115" i="1" s="1"/>
  <c r="AF116" i="1" s="1"/>
  <c r="U98" i="1"/>
  <c r="U99" i="1"/>
  <c r="U104" i="1"/>
  <c r="U115" i="1" s="1"/>
  <c r="U116" i="1" s="1"/>
  <c r="W104" i="1"/>
  <c r="W115" i="1" s="1"/>
  <c r="W116" i="1" s="1"/>
  <c r="W98" i="1"/>
  <c r="W99" i="1"/>
  <c r="AJ99" i="1"/>
  <c r="AJ98" i="1"/>
  <c r="AJ104" i="1"/>
  <c r="Y98" i="1"/>
  <c r="Y104" i="1"/>
  <c r="Y115" i="1" s="1"/>
  <c r="Y116" i="1" s="1"/>
  <c r="Y99" i="1"/>
  <c r="AE99" i="1"/>
  <c r="AE98" i="1"/>
  <c r="AE104" i="1"/>
  <c r="AE115" i="1" s="1"/>
  <c r="AE116" i="1" s="1"/>
  <c r="AB98" i="1"/>
  <c r="AB99" i="1"/>
  <c r="AB104" i="1"/>
  <c r="AB115" i="1" s="1"/>
  <c r="AB116" i="1" s="1"/>
  <c r="AD98" i="1"/>
  <c r="AD104" i="1"/>
  <c r="AD115" i="1" s="1"/>
  <c r="AD116" i="1" s="1"/>
  <c r="AD99" i="1"/>
  <c r="AH99" i="1"/>
  <c r="AH98" i="1"/>
  <c r="AH104" i="1"/>
  <c r="AH115" i="1" s="1"/>
  <c r="AH116" i="1" s="1"/>
  <c r="Z99" i="1"/>
  <c r="Z98" i="1"/>
  <c r="Z104" i="1"/>
  <c r="Z115" i="1" s="1"/>
  <c r="Z116" i="1" s="1"/>
  <c r="R98" i="1"/>
  <c r="R99" i="1"/>
  <c r="R104" i="1"/>
  <c r="R115" i="1" s="1"/>
  <c r="S104" i="1"/>
  <c r="S115" i="1" s="1"/>
  <c r="S116" i="1" s="1"/>
  <c r="S98" i="1"/>
  <c r="S99" i="1"/>
  <c r="AG98" i="1"/>
  <c r="AG104" i="1"/>
  <c r="AG115" i="1" s="1"/>
  <c r="AG116" i="1" s="1"/>
  <c r="AG99" i="1"/>
  <c r="X98" i="1"/>
  <c r="X99" i="1"/>
  <c r="X104" i="1"/>
  <c r="X115" i="1" s="1"/>
  <c r="X116" i="1" s="1"/>
  <c r="AC99" i="1"/>
  <c r="AC98" i="1"/>
  <c r="AC104" i="1"/>
  <c r="AC115" i="1" s="1"/>
  <c r="AC116" i="1" s="1"/>
  <c r="AA99" i="1"/>
  <c r="AA98" i="1"/>
  <c r="AA104" i="1"/>
  <c r="AA115" i="1" s="1"/>
  <c r="AA116" i="1" s="1"/>
  <c r="T98" i="1"/>
  <c r="T99" i="1"/>
  <c r="T104" i="1"/>
  <c r="T115" i="1" s="1"/>
  <c r="T116" i="1" s="1"/>
  <c r="AI99" i="1"/>
  <c r="AI98" i="1"/>
  <c r="AI104" i="1"/>
  <c r="AI115" i="1" s="1"/>
  <c r="AI116" i="1" s="1"/>
  <c r="V98" i="1"/>
  <c r="V99" i="1"/>
  <c r="V104" i="1"/>
  <c r="V115" i="1" s="1"/>
  <c r="V116" i="1" s="1"/>
  <c r="Q125" i="1" l="1"/>
  <c r="Q128" i="1" s="1"/>
  <c r="Q131" i="1" s="1"/>
  <c r="P96" i="19"/>
  <c r="P90" i="19"/>
  <c r="P92" i="19"/>
  <c r="O105" i="19"/>
  <c r="O28" i="19" s="1"/>
  <c r="O34" i="19" s="1"/>
  <c r="O29" i="19"/>
  <c r="O24" i="19"/>
  <c r="R95" i="1"/>
  <c r="R97" i="1" s="1"/>
  <c r="S92" i="1" s="1"/>
  <c r="S96" i="1" s="1"/>
  <c r="S141" i="1" s="1"/>
  <c r="O358" i="1"/>
  <c r="O361" i="1" s="1"/>
  <c r="E367" i="1" s="1"/>
  <c r="F174" i="1" s="1"/>
  <c r="G25" i="1" s="1"/>
  <c r="O357" i="1"/>
  <c r="O360" i="1" s="1"/>
  <c r="O362" i="1" s="1"/>
  <c r="R116" i="1"/>
  <c r="AH117" i="1" s="1"/>
  <c r="R123" i="1"/>
  <c r="R124" i="1" s="1"/>
  <c r="S121" i="1" s="1"/>
  <c r="S122" i="1" s="1"/>
  <c r="S123" i="1" s="1"/>
  <c r="S125" i="1" s="1"/>
  <c r="S128" i="1" s="1"/>
  <c r="S131" i="1" s="1"/>
  <c r="Q127" i="1" l="1"/>
  <c r="Q130" i="1" s="1"/>
  <c r="Q133" i="1" s="1"/>
  <c r="Q134" i="1" s="1"/>
  <c r="P93" i="19"/>
  <c r="P94" i="19" s="1"/>
  <c r="O30" i="19"/>
  <c r="O106" i="19"/>
  <c r="O107" i="19" s="1"/>
  <c r="S95" i="1"/>
  <c r="S97" i="1" s="1"/>
  <c r="T92" i="1" s="1"/>
  <c r="T96" i="1" s="1"/>
  <c r="T95" i="1" s="1"/>
  <c r="T97" i="1" s="1"/>
  <c r="U92" i="1" s="1"/>
  <c r="U96" i="1" s="1"/>
  <c r="E366" i="1"/>
  <c r="F173" i="1" s="1"/>
  <c r="G24" i="1" s="1"/>
  <c r="E364" i="1"/>
  <c r="F171" i="1" s="1"/>
  <c r="G22" i="1" s="1"/>
  <c r="E365" i="1"/>
  <c r="F172" i="1" s="1"/>
  <c r="G23" i="1" s="1"/>
  <c r="Q132" i="1"/>
  <c r="AD117" i="1"/>
  <c r="AF117" i="1"/>
  <c r="Z117" i="1"/>
  <c r="U117" i="1"/>
  <c r="AI117" i="1"/>
  <c r="V117" i="1"/>
  <c r="AA117" i="1"/>
  <c r="AE117" i="1"/>
  <c r="S117" i="1"/>
  <c r="W117" i="1"/>
  <c r="X117" i="1"/>
  <c r="AC117" i="1"/>
  <c r="AG117" i="1"/>
  <c r="AB117" i="1"/>
  <c r="T117" i="1"/>
  <c r="R117" i="1"/>
  <c r="Y117" i="1"/>
  <c r="S124" i="1"/>
  <c r="T121" i="1" s="1"/>
  <c r="T122" i="1" s="1"/>
  <c r="T123" i="1" s="1"/>
  <c r="T125" i="1" s="1"/>
  <c r="S127" i="1"/>
  <c r="S130" i="1" s="1"/>
  <c r="S143" i="1" s="1"/>
  <c r="R125" i="1"/>
  <c r="Q143" i="1" l="1"/>
  <c r="P95" i="19"/>
  <c r="E95" i="19" s="1"/>
  <c r="P97" i="19"/>
  <c r="P98" i="19" s="1"/>
  <c r="P99" i="19" s="1"/>
  <c r="P100" i="19" s="1"/>
  <c r="P104" i="19" s="1"/>
  <c r="P105" i="19" s="1"/>
  <c r="P28" i="19" s="1"/>
  <c r="T141" i="1"/>
  <c r="S132" i="1"/>
  <c r="S133" i="1"/>
  <c r="R127" i="1"/>
  <c r="R130" i="1" s="1"/>
  <c r="R128" i="1"/>
  <c r="R131" i="1" s="1"/>
  <c r="U141" i="1"/>
  <c r="U95" i="1"/>
  <c r="U97" i="1" s="1"/>
  <c r="V92" i="1" s="1"/>
  <c r="V96" i="1" s="1"/>
  <c r="T124" i="1"/>
  <c r="U121" i="1" s="1"/>
  <c r="T127" i="1"/>
  <c r="T130" i="1" s="1"/>
  <c r="T128" i="1"/>
  <c r="T131" i="1" s="1"/>
  <c r="P21" i="19" l="1"/>
  <c r="P24" i="19" s="1"/>
  <c r="D24" i="19" s="1"/>
  <c r="P34" i="19"/>
  <c r="D34" i="19" s="1"/>
  <c r="D28" i="19"/>
  <c r="P106" i="19"/>
  <c r="P107" i="19" s="1"/>
  <c r="V95" i="1"/>
  <c r="V97" i="1" s="1"/>
  <c r="W92" i="1" s="1"/>
  <c r="W96" i="1" s="1"/>
  <c r="V141" i="1"/>
  <c r="R133" i="1"/>
  <c r="R134" i="1" s="1"/>
  <c r="R132" i="1"/>
  <c r="R143" i="1"/>
  <c r="T133" i="1"/>
  <c r="T143" i="1"/>
  <c r="T132" i="1"/>
  <c r="U122" i="1"/>
  <c r="U123" i="1" s="1"/>
  <c r="U125" i="1" s="1"/>
  <c r="D21" i="19" l="1"/>
  <c r="D25" i="19" s="1"/>
  <c r="P29" i="19"/>
  <c r="P30" i="19" s="1"/>
  <c r="D35" i="19"/>
  <c r="D33" i="19"/>
  <c r="T134" i="1"/>
  <c r="S134" i="1"/>
  <c r="W95" i="1"/>
  <c r="W97" i="1" s="1"/>
  <c r="X92" i="1" s="1"/>
  <c r="X96" i="1" s="1"/>
  <c r="W141" i="1"/>
  <c r="U128" i="1"/>
  <c r="U131" i="1" s="1"/>
  <c r="U127" i="1"/>
  <c r="U130" i="1" s="1"/>
  <c r="U124" i="1"/>
  <c r="V121" i="1" s="1"/>
  <c r="D23" i="19" l="1"/>
  <c r="L9" i="19" s="1"/>
  <c r="L8" i="19" s="1"/>
  <c r="X141" i="1"/>
  <c r="X95" i="1"/>
  <c r="X97" i="1" s="1"/>
  <c r="Y92" i="1" s="1"/>
  <c r="Y96" i="1" s="1"/>
  <c r="V122" i="1"/>
  <c r="V123" i="1" s="1"/>
  <c r="V125" i="1" s="1"/>
  <c r="U133" i="1"/>
  <c r="U134" i="1" s="1"/>
  <c r="U132" i="1"/>
  <c r="U143" i="1"/>
  <c r="Y95" i="1" l="1"/>
  <c r="Y97" i="1" s="1"/>
  <c r="Z92" i="1" s="1"/>
  <c r="Z96" i="1" s="1"/>
  <c r="Z95" i="1" s="1"/>
  <c r="Z97" i="1" s="1"/>
  <c r="AA92" i="1" s="1"/>
  <c r="Y141" i="1"/>
  <c r="V124" i="1"/>
  <c r="W121" i="1" s="1"/>
  <c r="V127" i="1"/>
  <c r="V130" i="1" s="1"/>
  <c r="V128" i="1"/>
  <c r="V131" i="1" s="1"/>
  <c r="Z141" i="1" l="1"/>
  <c r="V132" i="1"/>
  <c r="V143" i="1"/>
  <c r="V133" i="1"/>
  <c r="V134" i="1" s="1"/>
  <c r="W122" i="1"/>
  <c r="W123" i="1" s="1"/>
  <c r="W125" i="1" s="1"/>
  <c r="AA96" i="1"/>
  <c r="W128" i="1" l="1"/>
  <c r="W131" i="1" s="1"/>
  <c r="W127" i="1"/>
  <c r="W130" i="1" s="1"/>
  <c r="W124" i="1"/>
  <c r="X121" i="1" s="1"/>
  <c r="AA95" i="1"/>
  <c r="AA97" i="1" s="1"/>
  <c r="AB92" i="1" s="1"/>
  <c r="AA141" i="1"/>
  <c r="X122" i="1" l="1"/>
  <c r="X123" i="1" s="1"/>
  <c r="X125" i="1" s="1"/>
  <c r="W143" i="1"/>
  <c r="W133" i="1"/>
  <c r="W134" i="1" s="1"/>
  <c r="W132" i="1"/>
  <c r="AB96" i="1"/>
  <c r="X124" i="1" l="1"/>
  <c r="Y121" i="1" s="1"/>
  <c r="X128" i="1"/>
  <c r="X131" i="1" s="1"/>
  <c r="X127" i="1"/>
  <c r="X130" i="1" s="1"/>
  <c r="AB95" i="1"/>
  <c r="AB97" i="1" s="1"/>
  <c r="AC92" i="1" s="1"/>
  <c r="AB141" i="1"/>
  <c r="X143" i="1" l="1"/>
  <c r="X132" i="1"/>
  <c r="X133" i="1"/>
  <c r="X134" i="1" s="1"/>
  <c r="Y122" i="1"/>
  <c r="Y123" i="1" s="1"/>
  <c r="Y125" i="1" s="1"/>
  <c r="AC96" i="1"/>
  <c r="Y124" i="1" l="1"/>
  <c r="Z121" i="1" s="1"/>
  <c r="Y127" i="1"/>
  <c r="Y130" i="1" s="1"/>
  <c r="Y128" i="1"/>
  <c r="Y131" i="1" s="1"/>
  <c r="AC95" i="1"/>
  <c r="AC97" i="1" s="1"/>
  <c r="AD92" i="1" s="1"/>
  <c r="AC141" i="1"/>
  <c r="Y133" i="1" l="1"/>
  <c r="Y134" i="1" s="1"/>
  <c r="Y132" i="1"/>
  <c r="Y143" i="1"/>
  <c r="Z122" i="1"/>
  <c r="Z123" i="1" s="1"/>
  <c r="Z125" i="1" s="1"/>
  <c r="AD96" i="1"/>
  <c r="Z127" i="1" l="1"/>
  <c r="Z130" i="1" s="1"/>
  <c r="Z128" i="1"/>
  <c r="Z131" i="1" s="1"/>
  <c r="Z124" i="1"/>
  <c r="AA121" i="1" s="1"/>
  <c r="AD95" i="1"/>
  <c r="AD97" i="1" s="1"/>
  <c r="AE92" i="1" s="1"/>
  <c r="AD141" i="1"/>
  <c r="AA122" i="1" l="1"/>
  <c r="AA123" i="1" s="1"/>
  <c r="AA125" i="1" s="1"/>
  <c r="Z132" i="1"/>
  <c r="Z143" i="1"/>
  <c r="Z133" i="1"/>
  <c r="Z134" i="1" s="1"/>
  <c r="AE96" i="1"/>
  <c r="AA124" i="1" l="1"/>
  <c r="AB121" i="1" s="1"/>
  <c r="AA127" i="1"/>
  <c r="AA130" i="1" s="1"/>
  <c r="AA128" i="1"/>
  <c r="AA131" i="1" s="1"/>
  <c r="AE95" i="1"/>
  <c r="AE97" i="1" s="1"/>
  <c r="AF92" i="1" s="1"/>
  <c r="AE141" i="1"/>
  <c r="AA133" i="1" l="1"/>
  <c r="AA134" i="1" s="1"/>
  <c r="AA132" i="1"/>
  <c r="AA143" i="1"/>
  <c r="AB122" i="1"/>
  <c r="AB123" i="1" s="1"/>
  <c r="AB125" i="1" s="1"/>
  <c r="AF96" i="1"/>
  <c r="AB124" i="1" l="1"/>
  <c r="AC121" i="1" s="1"/>
  <c r="AB128" i="1"/>
  <c r="AB131" i="1" s="1"/>
  <c r="AB127" i="1"/>
  <c r="AB130" i="1" s="1"/>
  <c r="AF95" i="1"/>
  <c r="AF97" i="1" s="1"/>
  <c r="AG92" i="1" s="1"/>
  <c r="AF141" i="1"/>
  <c r="AB132" i="1" l="1"/>
  <c r="AB143" i="1"/>
  <c r="AB133" i="1"/>
  <c r="AB134" i="1" s="1"/>
  <c r="AC122" i="1"/>
  <c r="AC123" i="1" s="1"/>
  <c r="AC125" i="1" s="1"/>
  <c r="AG96" i="1"/>
  <c r="AC124" i="1" l="1"/>
  <c r="AD121" i="1" s="1"/>
  <c r="AC128" i="1"/>
  <c r="AC131" i="1" s="1"/>
  <c r="AC127" i="1"/>
  <c r="AC130" i="1" s="1"/>
  <c r="AG95" i="1"/>
  <c r="AG97" i="1" s="1"/>
  <c r="AH92" i="1" s="1"/>
  <c r="AG141" i="1"/>
  <c r="AC132" i="1" l="1"/>
  <c r="AC143" i="1"/>
  <c r="AC133" i="1"/>
  <c r="AC134" i="1" s="1"/>
  <c r="AD122" i="1"/>
  <c r="AD123" i="1" s="1"/>
  <c r="AD125" i="1" s="1"/>
  <c r="AH96" i="1"/>
  <c r="AD124" i="1" l="1"/>
  <c r="AE121" i="1" s="1"/>
  <c r="AE122" i="1" s="1"/>
  <c r="AE123" i="1" s="1"/>
  <c r="AE125" i="1" s="1"/>
  <c r="AD128" i="1"/>
  <c r="AD131" i="1" s="1"/>
  <c r="AD127" i="1"/>
  <c r="AD130" i="1" s="1"/>
  <c r="AH95" i="1"/>
  <c r="AH97" i="1" s="1"/>
  <c r="AI92" i="1" s="1"/>
  <c r="AH141" i="1"/>
  <c r="AE124" i="1" l="1"/>
  <c r="AF121" i="1" s="1"/>
  <c r="AE128" i="1"/>
  <c r="AE131" i="1" s="1"/>
  <c r="AE127" i="1"/>
  <c r="AE130" i="1" s="1"/>
  <c r="AD133" i="1"/>
  <c r="AD134" i="1" s="1"/>
  <c r="AD143" i="1"/>
  <c r="AD132" i="1"/>
  <c r="AI96" i="1"/>
  <c r="AE143" i="1" l="1"/>
  <c r="AE132" i="1"/>
  <c r="AE133" i="1"/>
  <c r="AE134" i="1" s="1"/>
  <c r="AF122" i="1"/>
  <c r="AF123" i="1" s="1"/>
  <c r="AF125" i="1" s="1"/>
  <c r="AI95" i="1"/>
  <c r="AI97" i="1" s="1"/>
  <c r="AJ92" i="1" s="1"/>
  <c r="AI141" i="1"/>
  <c r="AF128" i="1" l="1"/>
  <c r="AF131" i="1" s="1"/>
  <c r="AF127" i="1"/>
  <c r="AF130" i="1" s="1"/>
  <c r="AF124" i="1"/>
  <c r="AG121" i="1" s="1"/>
  <c r="AJ96" i="1"/>
  <c r="AF132" i="1" l="1"/>
  <c r="AF133" i="1"/>
  <c r="AF134" i="1" s="1"/>
  <c r="AF143" i="1"/>
  <c r="AG122" i="1"/>
  <c r="AJ95" i="1"/>
  <c r="AJ97" i="1" s="1"/>
  <c r="AJ114" i="1" s="1"/>
  <c r="AJ115" i="1" s="1"/>
  <c r="AJ141" i="1"/>
  <c r="AG123" i="1" l="1"/>
  <c r="AG125" i="1" s="1"/>
  <c r="D117" i="1"/>
  <c r="C20" i="1" s="1"/>
  <c r="AJ116" i="1"/>
  <c r="AJ117" i="1" s="1"/>
  <c r="AG128" i="1" l="1"/>
  <c r="AG131" i="1" s="1"/>
  <c r="AG127" i="1"/>
  <c r="AG130" i="1" s="1"/>
  <c r="AG124" i="1"/>
  <c r="AH121" i="1" s="1"/>
  <c r="AG143" i="1" l="1"/>
  <c r="AG133" i="1"/>
  <c r="AG134" i="1" s="1"/>
  <c r="AG132" i="1"/>
  <c r="AH122" i="1"/>
  <c r="AH123" i="1" s="1"/>
  <c r="AH125" i="1" s="1"/>
  <c r="AH124" i="1" l="1"/>
  <c r="AI121" i="1" s="1"/>
  <c r="AH127" i="1"/>
  <c r="AH130" i="1" s="1"/>
  <c r="AH128" i="1"/>
  <c r="AH131" i="1" s="1"/>
  <c r="AH133" i="1" l="1"/>
  <c r="AH134" i="1" s="1"/>
  <c r="AH132" i="1"/>
  <c r="AH143" i="1"/>
  <c r="AI122" i="1"/>
  <c r="AI123" i="1" s="1"/>
  <c r="AI125" i="1" s="1"/>
  <c r="AI124" i="1" l="1"/>
  <c r="AJ121" i="1" s="1"/>
  <c r="AI128" i="1"/>
  <c r="AI131" i="1" s="1"/>
  <c r="AI127" i="1"/>
  <c r="AI130" i="1" s="1"/>
  <c r="AI133" i="1" l="1"/>
  <c r="AI134" i="1" s="1"/>
  <c r="AI132" i="1"/>
  <c r="AI143" i="1"/>
  <c r="AJ122" i="1"/>
  <c r="AJ123" i="1" s="1"/>
  <c r="AJ125" i="1" s="1"/>
  <c r="AJ128" i="1" l="1"/>
  <c r="AJ131" i="1" s="1"/>
  <c r="D131" i="1" s="1"/>
  <c r="AJ127" i="1"/>
  <c r="AJ130" i="1" s="1"/>
  <c r="AJ124" i="1"/>
  <c r="D134" i="1" l="1"/>
  <c r="D130" i="1"/>
  <c r="AJ133" i="1"/>
  <c r="AJ134" i="1" s="1"/>
  <c r="AJ143" i="1"/>
  <c r="D144" i="1" s="1"/>
  <c r="I51" i="8" s="1"/>
  <c r="AJ132" i="1"/>
  <c r="I50" i="8" l="1"/>
  <c r="B21" i="7"/>
  <c r="I9" i="8"/>
  <c r="C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C35" authorId="0" shapeId="0" xr:uid="{F758383A-CFB2-4106-AE0F-4869820BE755}">
      <text>
        <r>
          <rPr>
            <b/>
            <sz val="9"/>
            <color indexed="81"/>
            <rFont val="Tahoma"/>
            <family val="2"/>
          </rPr>
          <t xml:space="preserve">Fill in Assessed Property Value from Tax Bill (for California).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Brian</author>
    <author>Alan Stevenson</author>
  </authors>
  <commentList>
    <comment ref="E38" authorId="0" shapeId="0" xr:uid="{2DC058A8-E2F4-4FF5-AE5F-328E040CFE24}">
      <text>
        <r>
          <rPr>
            <b/>
            <sz val="9"/>
            <color indexed="81"/>
            <rFont val="Tahoma"/>
            <family val="2"/>
          </rPr>
          <t>Brian:</t>
        </r>
        <r>
          <rPr>
            <sz val="9"/>
            <color indexed="81"/>
            <rFont val="Tahoma"/>
            <family val="2"/>
          </rPr>
          <t xml:space="preserve">
This is a minimum vacancy rate and homes will stop being filled once they get at this number</t>
        </r>
      </text>
    </comment>
    <comment ref="C51" authorId="1" shapeId="0" xr:uid="{E311EB13-1E10-45E3-8FDE-27F21F1E0D93}">
      <text>
        <r>
          <rPr>
            <b/>
            <sz val="9"/>
            <color indexed="81"/>
            <rFont val="Tahoma"/>
            <family val="2"/>
          </rPr>
          <t>INSTRUCTIONS:</t>
        </r>
        <r>
          <rPr>
            <sz val="9"/>
            <color indexed="81"/>
            <rFont val="Tahoma"/>
            <family val="2"/>
          </rPr>
          <t xml:space="preserve">
Enter this as a negative amount.</t>
        </r>
      </text>
    </comment>
    <comment ref="D159" authorId="1" shapeId="0" xr:uid="{5EBD8AD3-AAF1-4DFA-9E4D-722B92D78EDD}">
      <text>
        <r>
          <rPr>
            <b/>
            <sz val="9"/>
            <color indexed="81"/>
            <rFont val="Tahoma"/>
            <family val="2"/>
          </rPr>
          <t>Alan Stevenson:</t>
        </r>
        <r>
          <rPr>
            <sz val="9"/>
            <color indexed="81"/>
            <rFont val="Tahoma"/>
            <family val="2"/>
          </rPr>
          <t xml:space="preserve">
Needs to be determined as accurately as easily possible to show the most recent month's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29"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<sst xmlns="http://schemas.openxmlformats.org/spreadsheetml/2006/main" count="974" uniqueCount="639">
  <si>
    <t>Price</t>
  </si>
  <si>
    <t># of spaces
MH/RV/other</t>
  </si>
  <si>
    <t>Price/space</t>
  </si>
  <si>
    <t>Additional Cash needs</t>
  </si>
  <si>
    <t>Vacancy</t>
  </si>
  <si>
    <t>Park owned homes</t>
  </si>
  <si>
    <t>Entry Cap rate</t>
  </si>
  <si>
    <t>Target IRR</t>
  </si>
  <si>
    <t>Key Attributes</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</si>
  <si>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</si>
  <si>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</si>
  <si>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</si>
  <si>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</si>
  <si>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</si>
  <si>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</si>
  <si>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</si>
  <si>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</si>
  <si>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</si>
  <si>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</si>
  <si>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</si>
  <si>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</si>
  <si>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</si>
  <si>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</si>
  <si>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</si>
  <si>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</si>
  <si>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</si>
  <si>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</si>
  <si>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</si>
  <si>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</si>
  <si>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</si>
  <si>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</si>
  <si>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</si>
  <si>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</si>
  <si>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</si>
  <si>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</si>
  <si>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</si>
  <si>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</si>
  <si>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</si>
  <si>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</si>
  <si>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</si>
  <si>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</si>
  <si>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</si>
  <si>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</si>
  <si>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</si>
  <si>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</si>
  <si>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</si>
  <si>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</si>
  <si>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</si>
  <si>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</si>
  <si>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</si>
  <si>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</si>
  <si>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</si>
  <si>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</si>
  <si>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</si>
  <si>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</si>
  <si>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</si>
  <si>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</si>
  <si>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</si>
  <si>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</si>
  <si>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</si>
  <si>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</si>
  <si>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</si>
  <si>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</si>
  <si>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</si>
  <si>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</si>
  <si>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</si>
  <si>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</si>
  <si>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</si>
  <si>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</si>
  <si>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</si>
  <si>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</si>
  <si>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</si>
  <si>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</si>
  <si>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</si>
  <si>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</si>
  <si>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</si>
  <si>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</si>
  <si>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</si>
  <si>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</si>
  <si>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</si>
  <si>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Landscaping</t>
  </si>
  <si>
    <t>Roads / Asphalt</t>
  </si>
  <si>
    <t>Tree Work</t>
  </si>
  <si>
    <t>Office / Clubhouse</t>
  </si>
  <si>
    <t># of Spaces</t>
  </si>
  <si>
    <t>$/Space</t>
  </si>
  <si>
    <t>Water Meter Installation</t>
  </si>
  <si>
    <t>Manager's Residence</t>
  </si>
  <si>
    <t># of Homes</t>
  </si>
  <si>
    <t>$/Home</t>
  </si>
  <si>
    <t>Home Removal</t>
  </si>
  <si>
    <t>Lot Preparation</t>
  </si>
  <si>
    <t>New Home Installation</t>
  </si>
  <si>
    <t>Used Home Remodel</t>
  </si>
  <si>
    <t>Operating Capital</t>
  </si>
  <si>
    <t>Utility Deposits</t>
  </si>
  <si>
    <t>Other Capital Needs</t>
  </si>
  <si>
    <t>Subtotal Immediate Capital Needs</t>
  </si>
  <si>
    <t>Total Additional Cash at Close of Escrow</t>
  </si>
  <si>
    <t>Property Tax Detail</t>
  </si>
  <si>
    <t>Budgeted Employee Expense</t>
  </si>
  <si>
    <t>Value</t>
  </si>
  <si>
    <t>Old</t>
  </si>
  <si>
    <t>New</t>
  </si>
  <si>
    <t>Hrs / Week</t>
  </si>
  <si>
    <t>$ Per Hour</t>
  </si>
  <si>
    <t>Total $/Mo</t>
  </si>
  <si>
    <t>Count</t>
  </si>
  <si>
    <t>FTE</t>
  </si>
  <si>
    <t xml:space="preserve"> APN</t>
  </si>
  <si>
    <t>Management</t>
  </si>
  <si>
    <t>Indirect Fees</t>
  </si>
  <si>
    <t>Manager</t>
  </si>
  <si>
    <t>Asst Manager</t>
  </si>
  <si>
    <t>Other</t>
  </si>
  <si>
    <t>Subtotal Management</t>
  </si>
  <si>
    <t>Maintenance</t>
  </si>
  <si>
    <t>Maintenance Engineer</t>
  </si>
  <si>
    <t>Asst. Maintenance Eng.</t>
  </si>
  <si>
    <t>Other Employees</t>
  </si>
  <si>
    <t>Other 1</t>
  </si>
  <si>
    <t>Other 2</t>
  </si>
  <si>
    <t>total indirect fees</t>
  </si>
  <si>
    <t>Other 3</t>
  </si>
  <si>
    <t>Direct Levies</t>
  </si>
  <si>
    <t>Subtotal Other</t>
  </si>
  <si>
    <t>TOTALS</t>
  </si>
  <si>
    <t>analysis</t>
  </si>
  <si>
    <t>difference</t>
  </si>
  <si>
    <t>per space/mo</t>
  </si>
  <si>
    <t>Depreciation</t>
  </si>
  <si>
    <t>Category</t>
  </si>
  <si>
    <t>Schedule</t>
  </si>
  <si>
    <t>Land Allocation (20%)</t>
  </si>
  <si>
    <t>Buildings Non-Residential</t>
  </si>
  <si>
    <t>39 years</t>
  </si>
  <si>
    <t>Clubhouse</t>
  </si>
  <si>
    <t>Office</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</si>
  <si>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</si>
  <si>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</si>
  <si>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</si>
  <si>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</si>
  <si>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</si>
  <si>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</si>
  <si>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</si>
  <si>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</si>
  <si>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</si>
  <si>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</si>
  <si>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</si>
  <si>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</si>
  <si>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 xml:space="preserve">Eaglewood - 7721 NC-41, Lumberton, NC 28358 </t>
  </si>
  <si>
    <t>Contract Price</t>
  </si>
  <si>
    <t>Date Updated</t>
  </si>
  <si>
    <t>Cell T1 is used for the AutoSave Function</t>
  </si>
  <si>
    <t>Acquisition Summary</t>
  </si>
  <si>
    <t>Per Space</t>
  </si>
  <si>
    <t>Inputs / Assumptions</t>
  </si>
  <si>
    <t>Inflation</t>
  </si>
  <si>
    <t>Historical Expense Inputs To Fill</t>
  </si>
  <si>
    <r>
      <t xml:space="preserve">Addl Capital / Closing Costs </t>
    </r>
    <r>
      <rPr>
        <b/>
        <sz val="10"/>
        <rFont val="Arial"/>
        <family val="2"/>
      </rPr>
      <t>(see Notes)</t>
    </r>
  </si>
  <si>
    <t>Management Fee</t>
  </si>
  <si>
    <t>Recourse Loan</t>
  </si>
  <si>
    <t>No</t>
  </si>
  <si>
    <t>Trailing 12</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</si>
  <si>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</si>
  <si>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</si>
  <si>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</si>
  <si>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</si>
  <si>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</si>
  <si>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</si>
  <si>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</si>
  <si>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</si>
  <si>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</si>
  <si>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</si>
  <si>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</si>
  <si>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</si>
  <si>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</si>
  <si>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Insurance Cost/Pad</t>
  </si>
  <si>
    <t>Disposition Fee</t>
  </si>
  <si>
    <t>Space Rent to Acq $ Per Pad Ratio</t>
  </si>
  <si>
    <t>Occupied</t>
  </si>
  <si>
    <t>Vacant</t>
  </si>
  <si>
    <t>Vacancy Rate</t>
  </si>
  <si>
    <t>Water</t>
  </si>
  <si>
    <t>Sewer</t>
  </si>
  <si>
    <t>Flood Zone</t>
  </si>
  <si>
    <t>Fire Zone</t>
  </si>
  <si>
    <t>Notes</t>
  </si>
  <si>
    <t xml:space="preserve">MH </t>
  </si>
  <si>
    <t>City</t>
  </si>
  <si>
    <t>Septic</t>
  </si>
  <si>
    <t>RV</t>
  </si>
  <si>
    <t>Submetered</t>
  </si>
  <si>
    <t>Included in rent</t>
  </si>
  <si>
    <t>Park Owned Homes (POH)</t>
  </si>
  <si>
    <t>--&gt; POH to be sold</t>
  </si>
  <si>
    <t>Park Owned Home NOI Summary</t>
  </si>
  <si>
    <t>Home P&amp;I Calculator</t>
  </si>
  <si>
    <t>POH Rent</t>
  </si>
  <si>
    <t>$ Total</t>
  </si>
  <si>
    <t>$ / Home / Mo.</t>
  </si>
  <si>
    <t>Home Value</t>
  </si>
  <si>
    <t>Term (years)</t>
  </si>
  <si>
    <t>Return Metrics Summary</t>
  </si>
  <si>
    <t>3 Year</t>
  </si>
  <si>
    <t>5 Year</t>
  </si>
  <si>
    <t>10 Year</t>
  </si>
  <si>
    <t>Investor BVG Split</t>
  </si>
  <si>
    <t>Income</t>
  </si>
  <si>
    <t>LTV (%)</t>
  </si>
  <si>
    <t>Term (months)</t>
  </si>
  <si>
    <t>Gross IRR - Unl.</t>
  </si>
  <si>
    <t>Investor %</t>
  </si>
  <si>
    <t>Insurance</t>
  </si>
  <si>
    <t>Loan Amt</t>
  </si>
  <si>
    <t>Interest Rate</t>
  </si>
  <si>
    <t>Gross IRR - Lev.</t>
  </si>
  <si>
    <t>BVG %</t>
  </si>
  <si>
    <t>Total Exp Ratio</t>
  </si>
  <si>
    <t>Investor IRR</t>
  </si>
  <si>
    <t>Investor Pref. Return (Yr 1)</t>
  </si>
  <si>
    <t>P&amp;I</t>
  </si>
  <si>
    <t>Monthly payment</t>
  </si>
  <si>
    <t>Investor EM</t>
  </si>
  <si>
    <t>Investor Pref. Return (After Yr 1)</t>
  </si>
  <si>
    <t>NOI</t>
  </si>
  <si>
    <t>Total Inv. Distrib.</t>
  </si>
  <si>
    <t>POH Cap Rate</t>
  </si>
  <si>
    <t>Total Value</t>
  </si>
  <si>
    <t>Per Home</t>
  </si>
  <si>
    <t>BVG Cash</t>
  </si>
  <si>
    <t>Yr 10 Value</t>
  </si>
  <si>
    <t>Year 10 $/Pad</t>
  </si>
  <si>
    <t>Value $ / Pad</t>
  </si>
  <si>
    <t>GL Acct</t>
  </si>
  <si>
    <t>Yr 1 Total</t>
  </si>
  <si>
    <t>Monthly Operating Summary</t>
  </si>
  <si>
    <t>Base Year</t>
  </si>
  <si>
    <t>BVG Budget</t>
  </si>
  <si>
    <t>Rental Rate by Category</t>
  </si>
  <si>
    <t>Gross Rental Income by Category</t>
  </si>
  <si>
    <t>Spaces</t>
  </si>
  <si>
    <t>Total Vac. Spaces</t>
  </si>
  <si>
    <t>Net Rental Income</t>
  </si>
  <si>
    <t>Water % PT</t>
  </si>
  <si>
    <t>Sewer % PT</t>
  </si>
  <si>
    <t>W&amp;S % PT</t>
  </si>
  <si>
    <t>Trash % PT</t>
  </si>
  <si>
    <t>Elec % PT</t>
  </si>
  <si>
    <t>Gas % PT</t>
  </si>
  <si>
    <t>Total % PT</t>
  </si>
  <si>
    <t>Wat $/ Occ Pad</t>
  </si>
  <si>
    <t>Sewer $/Occ Pad</t>
  </si>
  <si>
    <t xml:space="preserve">W&amp;S $/ Occ Pad </t>
  </si>
  <si>
    <t>Trash $/ Occ Pad</t>
  </si>
  <si>
    <t>Elec $/ Occ Pad</t>
  </si>
  <si>
    <t>Gas $/ Occ Pad</t>
  </si>
  <si>
    <t>Total $/ Occ Pad</t>
  </si>
  <si>
    <t>Other Income</t>
  </si>
  <si>
    <t>Annualized</t>
  </si>
  <si>
    <t>Electric</t>
  </si>
  <si>
    <t>Gas / Propane</t>
  </si>
  <si>
    <t>Trash</t>
  </si>
  <si>
    <t>Other, misc.</t>
  </si>
  <si>
    <t>Total Other Income</t>
  </si>
  <si>
    <t>Free Rent/Utilities to Manager</t>
  </si>
  <si>
    <t>Total Income (Monthly)</t>
  </si>
  <si>
    <t>Historical Exp.</t>
  </si>
  <si>
    <t>Water $/Pad</t>
  </si>
  <si>
    <t>Sewer $/Pad</t>
  </si>
  <si>
    <t xml:space="preserve">W&amp;S $/Pad </t>
  </si>
  <si>
    <t>Trash $/Pad</t>
  </si>
  <si>
    <t>Elec $/Pad</t>
  </si>
  <si>
    <t>Gas $/Pad</t>
  </si>
  <si>
    <t>Total $/Pad</t>
  </si>
  <si>
    <t>Yr 1 $/Pad</t>
  </si>
  <si>
    <t>Monthly Expenses</t>
  </si>
  <si>
    <t>Payroll Taxes</t>
  </si>
  <si>
    <t>Workers Comp</t>
  </si>
  <si>
    <t>Gas/Propane</t>
  </si>
  <si>
    <t>Sewer-septic</t>
  </si>
  <si>
    <t xml:space="preserve">Water </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</si>
  <si>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</si>
  <si>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</si>
  <si>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</si>
  <si>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</si>
  <si>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</si>
  <si>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</si>
  <si>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</si>
  <si>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</si>
  <si>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</si>
  <si>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</si>
  <si>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</si>
  <si>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</si>
  <si>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</si>
  <si>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</si>
  <si>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</si>
  <si>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</si>
  <si>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</si>
  <si>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</si>
  <si>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</si>
  <si>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</si>
  <si>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</si>
  <si>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</si>
  <si>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</si>
  <si>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</si>
  <si>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</si>
  <si>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</si>
  <si>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</si>
  <si>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</si>
  <si>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</si>
  <si>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</si>
  <si>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</si>
  <si>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</si>
  <si>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</si>
  <si>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</si>
  <si>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</si>
  <si>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</si>
  <si>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</si>
  <si>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</si>
  <si>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Net Operating Cash Flow From POH</t>
  </si>
  <si>
    <t>Note Income from POH</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</si>
  <si>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</si>
  <si>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</si>
  <si>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</si>
  <si>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</si>
  <si>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</si>
  <si>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</si>
  <si>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</si>
  <si>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</si>
  <si>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</si>
  <si>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</si>
  <si>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</si>
  <si>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</si>
  <si>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</si>
  <si>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</si>
  <si>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</si>
  <si>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</si>
  <si>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</si>
  <si>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</si>
  <si>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</si>
  <si>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</si>
  <si>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</si>
  <si>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</si>
  <si>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</si>
  <si>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</si>
  <si>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</si>
  <si>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</si>
  <si>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</si>
  <si>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</si>
  <si>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</si>
  <si>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</si>
  <si>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</si>
  <si>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</si>
  <si>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</si>
  <si>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</si>
  <si>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</si>
  <si>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</si>
  <si>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3, 5, 10 YEAR HOLD UNLEVERED CALCULATIONS</t>
  </si>
  <si>
    <t>Year 7</t>
  </si>
  <si>
    <t>Year 8</t>
  </si>
  <si>
    <t>Year 9</t>
  </si>
  <si>
    <t>Year 10</t>
  </si>
  <si>
    <t>Below The Line Items</t>
  </si>
  <si>
    <t>Yr 3 Sale Proceeds</t>
  </si>
  <si>
    <t>3 Year Hold Unlevered Cash Flows</t>
  </si>
  <si>
    <t>3 Year Hold Unlevered IRR</t>
  </si>
  <si>
    <t>Yr 5 Sale Proceeds</t>
  </si>
  <si>
    <t>5 Year Hold Unlevered Cash Flows</t>
  </si>
  <si>
    <t>5 Year Hold Unlevered IRR</t>
  </si>
  <si>
    <t>Yr 10 Sale Proceeds</t>
  </si>
  <si>
    <t>10 Year Hold Unlevered Cash Flows</t>
  </si>
  <si>
    <t>10 Year Hold Unlevered IRR</t>
  </si>
  <si>
    <t xml:space="preserve">3 Year Hold Waterfall </t>
  </si>
  <si>
    <t>Refinance Valuation (from Proforma above)</t>
  </si>
  <si>
    <t>Repay Outstanding Loan</t>
  </si>
  <si>
    <t>Leveraged Gross IRR (3 year hold)</t>
  </si>
  <si>
    <t>Available After Pref / Return Of Capital</t>
  </si>
  <si>
    <t>Investor IRR (3 Year Hold)</t>
  </si>
  <si>
    <t>Total Investor Cash Flow</t>
  </si>
  <si>
    <t>5 Year Hold Waterfall</t>
  </si>
  <si>
    <t>Leveraged Gross IRR (5 year hold)</t>
  </si>
  <si>
    <t>Investor IRR (5 Year Hold)</t>
  </si>
  <si>
    <t>Total BVG Cash Flow</t>
  </si>
  <si>
    <t>10 Year Hold Waterfall</t>
  </si>
  <si>
    <t>Leveraged Gross IRR (10 year hold)</t>
  </si>
  <si>
    <t>Investor IRR (10 Year Hold)</t>
  </si>
  <si>
    <t>BVG Internal "to be hidden section" ends here</t>
  </si>
  <si>
    <t>Housing / Economic Summary</t>
  </si>
  <si>
    <t>Historical Population</t>
  </si>
  <si>
    <t>MH Affordability Analysis</t>
  </si>
  <si>
    <t>Zillow Home Value Index</t>
  </si>
  <si>
    <t>MH Pmt Inputs</t>
  </si>
  <si>
    <t>Siet Built Home Pmts.</t>
  </si>
  <si>
    <t>2 Bd Apt Rent</t>
  </si>
  <si>
    <t>Apartment Rents</t>
  </si>
  <si>
    <t>1bd</t>
  </si>
  <si>
    <t>2bd</t>
  </si>
  <si>
    <t>3bd</t>
  </si>
  <si>
    <t>Home Price</t>
  </si>
  <si>
    <t>Down Pmt</t>
  </si>
  <si>
    <t>Med. Home Price</t>
  </si>
  <si>
    <t>Avg. Rents</t>
  </si>
  <si>
    <t>Down Payment</t>
  </si>
  <si>
    <t xml:space="preserve">Median Home Price </t>
  </si>
  <si>
    <t>Population</t>
  </si>
  <si>
    <t>Amortization</t>
  </si>
  <si>
    <t>Median HH Income</t>
  </si>
  <si>
    <t>MH Taxes (Monthly)</t>
  </si>
  <si>
    <t>Prop Taxes/Mo.</t>
  </si>
  <si>
    <t>Major Employers</t>
  </si>
  <si>
    <t>In-Place</t>
  </si>
  <si>
    <t>Manufactured</t>
  </si>
  <si>
    <t>Mortgage</t>
  </si>
  <si>
    <t>Total MH Pmt</t>
  </si>
  <si>
    <t xml:space="preserve">2 Bedroom </t>
  </si>
  <si>
    <t>Favorable</t>
  </si>
  <si>
    <t>Med. Home</t>
  </si>
  <si>
    <t>Space Rent</t>
  </si>
  <si>
    <t>Apt Rent</t>
  </si>
  <si>
    <t>(Unfavorable)</t>
  </si>
  <si>
    <t>Historical Income / Expense Data Entry Form</t>
  </si>
  <si>
    <t>List Data for Proforma (Do Not Change)</t>
  </si>
  <si>
    <t>Deal Name</t>
  </si>
  <si>
    <t>Current Year</t>
  </si>
  <si>
    <t>Three Past Years</t>
  </si>
  <si>
    <t>Date of Statement</t>
  </si>
  <si>
    <t># of Months for YTD</t>
  </si>
  <si>
    <t>BVG Defaults</t>
  </si>
  <si>
    <t>Historical Income Data Entry</t>
  </si>
  <si>
    <t xml:space="preserve">BVG </t>
  </si>
  <si>
    <t>YTD</t>
  </si>
  <si>
    <t xml:space="preserve">Annualized </t>
  </si>
  <si>
    <t>Broker</t>
  </si>
  <si>
    <t>Historical Income Entry</t>
  </si>
  <si>
    <t>Account#</t>
  </si>
  <si>
    <t>Projection</t>
  </si>
  <si>
    <t>Defaults</t>
  </si>
  <si>
    <t>BVG Account Name</t>
  </si>
  <si>
    <t>MH Space Rent Tier 1</t>
  </si>
  <si>
    <t>RV Space Rent Permanent</t>
  </si>
  <si>
    <t>RV Space Rent Temporary</t>
  </si>
  <si>
    <t>Vacancy Loss</t>
  </si>
  <si>
    <t>Free Rent to Manager</t>
  </si>
  <si>
    <t>Totals for Checksum</t>
  </si>
  <si>
    <t>Historical Expenses Data Entry</t>
  </si>
  <si>
    <t>Historical Expenses Entry</t>
  </si>
  <si>
    <t>Manager/Maint (Fill In Description of Assumptions))</t>
  </si>
  <si>
    <t>This can be tricky on YTD statements as is often paid twice per year.</t>
  </si>
  <si>
    <t xml:space="preserve">Maintenance $250 per space </t>
  </si>
  <si>
    <t>Property Taxes (Add Description of Assumptions)</t>
  </si>
  <si>
    <t>Biling Software</t>
  </si>
  <si>
    <t>Professional Mgmt ($2,000/mo or 5%)</t>
  </si>
  <si>
    <t>Historical Income Analysis Summary</t>
  </si>
  <si>
    <t>Broker Projection</t>
  </si>
  <si>
    <t>BVG Default</t>
  </si>
  <si>
    <t>BVG Yr 1</t>
  </si>
  <si>
    <t>BVG Projection vs.</t>
  </si>
  <si>
    <t>Income Item</t>
  </si>
  <si>
    <t>Max T12 / Latest CY</t>
  </si>
  <si>
    <t>Notes / Comments</t>
  </si>
  <si>
    <t>Gross Rental Income</t>
  </si>
  <si>
    <t xml:space="preserve"> </t>
  </si>
  <si>
    <t xml:space="preserve">    Less Vacancy Loss</t>
  </si>
  <si>
    <t>YOY Change</t>
  </si>
  <si>
    <t>Less Free Rent / Utilities To Manager</t>
  </si>
  <si>
    <t>Total Income</t>
  </si>
  <si>
    <t>Historical Expense Analysis Summary</t>
  </si>
  <si>
    <t>Expense Item</t>
  </si>
  <si>
    <t>BVG Yr 1 Projection</t>
  </si>
  <si>
    <t>Average Historical</t>
  </si>
  <si>
    <t>Lookup</t>
  </si>
  <si>
    <t>Salary Exp (0.00 FTE Mgr, 0.00 FTE Maintenance)</t>
  </si>
  <si>
    <t>Maintenance / Capital Reserve ($250 per space / year)</t>
  </si>
  <si>
    <t>Landscaping, Grounds Maintenance, Outside Services</t>
  </si>
  <si>
    <t>Equipment and Supplies</t>
  </si>
  <si>
    <t>Professional Mgmt ($2,000/mo or 5.0%)</t>
  </si>
  <si>
    <t>Total Expenses</t>
  </si>
  <si>
    <t>Operating Expense / Income Ratio</t>
  </si>
  <si>
    <t>Net Operating Income</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</si>
  <si>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</si>
  <si>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</si>
  <si>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</si>
  <si>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</si>
  <si>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</si>
  <si>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</si>
  <si>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</si>
  <si>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</si>
  <si>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</si>
  <si>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</si>
  <si>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</si>
  <si>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</si>
  <si>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</si>
  <si>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</si>
  <si>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</si>
  <si>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</si>
  <si>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</si>
  <si>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</si>
  <si>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</si>
  <si>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</si>
  <si>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</si>
  <si>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</si>
  <si>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</si>
  <si>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</si>
  <si>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</si>
  <si>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</si>
  <si>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</si>
  <si>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</si>
  <si>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</si>
  <si>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</si>
  <si>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</si>
  <si>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</si>
  <si>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</si>
  <si>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</si>
  <si>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t>Other Rental Income</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</si>
  <si>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</si>
  <si>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</si>
  <si>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</si>
  <si>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</si>
  <si>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</si>
  <si>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</si>
  <si>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</si>
  <si>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</si>
  <si>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Manager/Maint Salary Expense</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</si>
  <si>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</si>
  <si>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</si>
  <si>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</si>
  <si>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</si>
  <si>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Gas</t>
  </si>
  <si>
    <t>This is usually expense for natural gas provided to the homes</t>
  </si>
  <si>
    <t>Expense for trash collection (can also be called rubbish or sanitation)</t>
  </si>
  <si>
    <t>Expense for sewer costs to the mobile home park</t>
  </si>
  <si>
    <t>Expense for water costs to the mobile home park</t>
  </si>
  <si>
    <t xml:space="preserve">Phone/Cable </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</si>
  <si>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</si>
  <si>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</si>
  <si>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</si>
  <si>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</si>
  <si>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</si>
  <si>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</si>
  <si>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 xml:space="preserve">Property Taxes </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</si>
  <si>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</si>
  <si>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</si>
  <si>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</si>
  <si>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</si>
  <si>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</si>
  <si>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</si>
  <si>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</si>
  <si>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</si>
  <si>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</si>
  <si>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</si>
  <si>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</si>
  <si>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</si>
  <si>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</si>
  <si>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</si>
  <si>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</si>
  <si>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</si>
  <si>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</si>
  <si>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</si>
  <si>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</si>
  <si>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</si>
  <si>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</si>
  <si>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</si>
  <si>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</si>
  <si>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</si>
  <si>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</si>
  <si>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</si>
  <si>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</si>
  <si>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</si>
  <si>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</si>
  <si>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</si>
  <si>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</si>
  <si>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</si>
  <si>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</si>
  <si>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</si>
  <si>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</si>
  <si>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</si>
  <si>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</si>
  <si>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</si>
  <si>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</si>
  <si>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</si>
  <si>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</si>
  <si>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</si>
  <si>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</si>
  <si>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</si>
  <si>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</si>
  <si>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</si>
  <si>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</si>
  <si>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</si>
  <si>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</si>
  <si>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</si>
  <si>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</si>
  <si>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</si>
  <si>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</si>
  <si>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</si>
  <si>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</si>
  <si>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</si>
  <si>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</si>
  <si>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</si>
  <si>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</si>
  <si>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</si>
  <si>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</si>
  <si>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</si>
  <si>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</si>
  <si>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</si>
  <si>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</si>
  <si>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</si>
  <si>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</si>
  <si>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</si>
  <si>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</si>
  <si>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</si>
  <si>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</si>
  <si>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</si>
  <si>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</si>
  <si>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</si>
  <si>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</si>
  <si>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</si>
  <si>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</si>
  <si>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</si>
  <si>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</si>
  <si>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</si>
  <si>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</si>
  <si>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</si>
  <si>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</si>
  <si>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</si>
  <si>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</si>
  <si>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</si>
  <si>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</si>
  <si>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</si>
  <si>
    <t>Newer home stock - 2019 and newer</t>
  </si>
  <si>
    <t xml:space="preserve">Septic sewer </t>
  </si>
  <si>
    <t>High number of vacant POH offers immediate upside</t>
  </si>
  <si>
    <t>New paved roads</t>
  </si>
  <si>
    <t>Purchased out of receivership at auction</t>
  </si>
  <si>
    <t>Parks were redeveloped in 2019</t>
  </si>
  <si>
    <t>Strong market close to major processing companies</t>
  </si>
  <si>
    <t>Very little deferred maintanence</t>
  </si>
  <si>
    <t>Submetered public water</t>
  </si>
  <si>
    <t>$15K approved by Isaac and Eli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</si>
</sst>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000000000%"/>
    <numFmt numFmtId="169" formatCode="0%\ &quot;LTV&quot;"/>
    <numFmt numFmtId="170" formatCode="_-&quot;$&quot;* #,##0_-;\-&quot;$&quot;* #,##0_-;_-&quot;$&quot;* &quot;-&quot;??_-;_-@_-"/>
    <numFmt numFmtId="171" formatCode="0.0&quot;x&quot;"/>
    <numFmt numFmtId="172" formatCode="&quot;Year&quot;\ 0"/>
    <numFmt numFmtId="173" formatCode="0.0"/>
    <numFmt numFmtId="174" formatCode="_(&quot;$&quot;* #,##0_);_(&quot;$&quot;* \(#,##0\);_(&quot;$&quot;* &quot;-&quot;?_);_(@_)"/>
    <numFmt numFmtId="175" formatCode="&quot;Vac. Sp=&quot;0.0"/>
    <numFmt numFmtId="176" formatCode="#,##0.0"/>
    <numFmt numFmtId="177" formatCode="0.00&quot;X&quot;"/>
    <numFmt numFmtId="178" formatCode="&quot;v&quot;0.00"/>
    <numFmt numFmtId="179" formatCode="0.000&quot;MM&quot;"/>
    <numFmt numFmtId="180" formatCode="&quot; Up to &quot;0.0%\ \I\R\R&quot; to LP&quot;"/>
    <numFmt numFmtId="181" formatCode="&quot;&gt;&quot;\ 0.00&quot;X EM to LP&quot;"/>
    <numFmt numFmtId="182" formatCode="&quot;&gt;&quot;\ 0.0%\ \I\R\R&quot; to LP&quot;"/>
    <numFmt numFmtId="183" formatCode="&quot; up to &quot;0.0%\ \I\R\R&quot; to LP&quot;"/>
    <numFmt numFmtId="184" formatCode="0.00&quot;x&quot;"/>
    <numFmt numFmtId="185" formatCode="[$-409]d\-mmm\-yy;@"/>
    <numFmt numFmtId="186" formatCode="&quot;IRR Error Check -&quot;\ 0.0%"/>
    <numFmt numFmtId="187" formatCode="&quot;$&quot;#,##0.00"/>
    <numFmt numFmtId="188" formatCode="#,##0.00\x"/>
    <numFmt numFmtId="189" formatCode="0.000000000000000"/>
    <numFmt numFmtId="190" formatCode="_(* #,##0.0000_);_(* \(#,##0.0000\);_(* &quot;-&quot;??_);_(@_)"/>
  </numFmts>
  <fonts count="108" x14ac:knownFonts="1">
    <font>
      <sz val="10"/>
      <name val="Arial"/>
    </font>
    <font>
      <sz val="11"/>
      <color theme="1"/>
      <name val="Calibri"/>
      <family val="2"/>
      <scheme val="minor"/>
    </font>
    <font>
      <sz val="10"/>
      <name val="Arial"/>
      <family val="2"/>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sz val="11"/>
      <name val="Calibri"/>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sz val="9"/>
      <color theme="1"/>
      <name val="Arial"/>
      <family val="2"/>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0"/>
      <name val="Arial"/>
      <family val="2"/>
    </font>
    <font>
      <sz val="8"/>
      <color theme="3"/>
      <name val="Arial"/>
      <family val="2"/>
    </font>
    <font>
      <sz val="13"/>
      <color theme="0"/>
      <name val="Calibri"/>
      <family val="2"/>
      <scheme val="minor"/>
    </font>
    <font>
      <b/>
      <sz val="12"/>
      <color theme="0"/>
      <name val="Calibri"/>
      <family val="2"/>
      <scheme val="minor"/>
    </font>
    <font>
      <sz val="10"/>
      <color rgb="FF131314"/>
      <name val="Arial Unicode MS"/>
      <family val="2"/>
    </font>
    <font>
      <i/>
      <sz val="10"/>
      <color rgb="FFFF0000"/>
      <name val="Arial"/>
      <family val="2"/>
    </font>
  </fonts>
  <fills count="3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FF"/>
        <bgColor indexed="64"/>
      </patternFill>
    </fill>
  </fills>
  <borders count="62">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style="hair">
        <color auto="1"/>
      </left>
      <right/>
      <top style="thin">
        <color auto="1"/>
      </top>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thin">
        <color indexed="64"/>
      </left>
      <right style="thin">
        <color auto="1"/>
      </right>
      <top/>
      <bottom style="medium">
        <color auto="1"/>
      </bottom>
      <diagonal/>
    </border>
    <border>
      <left style="thin">
        <color indexed="64"/>
      </left>
      <right style="thin">
        <color auto="1"/>
      </right>
      <top style="medium">
        <color auto="1"/>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double">
        <color auto="1"/>
      </bottom>
      <diagonal/>
    </border>
    <border>
      <left/>
      <right style="thick">
        <color theme="0"/>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ck">
        <color theme="0"/>
      </left>
      <right style="thick">
        <color theme="0"/>
      </right>
      <top style="thin">
        <color auto="1"/>
      </top>
      <bottom/>
      <diagonal/>
    </border>
  </borders>
  <cellStyleXfs count="51">
    <xf numFmtId="0" fontId="0" fillId="0" borderId="0"/>
    <xf numFmtId="43"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9"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2" fillId="2" borderId="8" applyNumberFormat="0" applyFont="0" applyProtection="0">
      <alignment horizontal="left" vertical="center"/>
    </xf>
    <xf numFmtId="0" fontId="12" fillId="8" borderId="8"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34" fillId="0" borderId="0"/>
    <xf numFmtId="43" fontId="34" fillId="0" borderId="0" applyFont="0" applyFill="0" applyBorder="0" applyAlignment="0" applyProtection="0"/>
    <xf numFmtId="0" fontId="49" fillId="0" borderId="0" applyNumberFormat="0" applyFill="0" applyBorder="0" applyAlignment="0" applyProtection="0"/>
    <xf numFmtId="0" fontId="52" fillId="13" borderId="0" applyNumberFormat="0" applyBorder="0" applyAlignment="0" applyProtection="0"/>
    <xf numFmtId="0" fontId="52" fillId="14" borderId="0" applyNumberFormat="0" applyBorder="0" applyAlignment="0" applyProtection="0"/>
    <xf numFmtId="0" fontId="11" fillId="15" borderId="0" applyNumberFormat="0" applyBorder="0" applyAlignment="0" applyProtection="0"/>
    <xf numFmtId="0" fontId="11" fillId="0" borderId="0"/>
    <xf numFmtId="0" fontId="71" fillId="0" borderId="0"/>
    <xf numFmtId="0" fontId="72" fillId="0" borderId="0"/>
    <xf numFmtId="44" fontId="71" fillId="0" borderId="0" applyFont="0" applyFill="0" applyBorder="0" applyAlignment="0" applyProtection="0"/>
    <xf numFmtId="0" fontId="10" fillId="18" borderId="0" applyNumberFormat="0" applyBorder="0" applyAlignment="0" applyProtection="0"/>
    <xf numFmtId="0" fontId="52" fillId="19" borderId="0" applyNumberFormat="0" applyBorder="0" applyAlignment="0" applyProtection="0"/>
    <xf numFmtId="0" fontId="9" fillId="0" borderId="0"/>
    <xf numFmtId="0" fontId="8" fillId="25" borderId="0" applyNumberFormat="0" applyBorder="0" applyAlignment="0" applyProtection="0"/>
    <xf numFmtId="0" fontId="6"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5" fillId="26" borderId="0" applyNumberFormat="0" applyBorder="0" applyAlignment="0" applyProtection="0"/>
    <xf numFmtId="0" fontId="4" fillId="0" borderId="0"/>
    <xf numFmtId="0" fontId="101" fillId="0" borderId="0" applyNumberForma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786">
    <xf numFmtId="0" fontId="0" fillId="0" borderId="0" xfId="0"/>
    <xf numFmtId="0" fontId="17" fillId="0" borderId="0" xfId="5" applyFont="1" applyAlignment="1">
      <alignment horizontal="left" indent="1"/>
    </xf>
    <xf numFmtId="6" fontId="18" fillId="0" borderId="6" xfId="0" applyNumberFormat="1" applyFont="1" applyBorder="1" applyAlignment="1">
      <alignment horizontal="center" vertical="center" wrapText="1"/>
    </xf>
    <xf numFmtId="10" fontId="18" fillId="0" borderId="4" xfId="0" applyNumberFormat="1" applyFont="1" applyBorder="1" applyAlignment="1">
      <alignment horizontal="center" vertical="center" wrapText="1"/>
    </xf>
    <xf numFmtId="0" fontId="18" fillId="0" borderId="0" xfId="0" applyFont="1" applyAlignment="1">
      <alignment horizontal="left" vertical="center"/>
    </xf>
    <xf numFmtId="0" fontId="18" fillId="0" borderId="0" xfId="0" applyFont="1" applyAlignment="1">
      <alignment horizontal="left" vertical="center" indent="2"/>
    </xf>
    <xf numFmtId="0" fontId="20" fillId="5" borderId="0" xfId="5" applyFont="1" applyFill="1" applyAlignment="1">
      <alignment horizontal="left"/>
    </xf>
    <xf numFmtId="0" fontId="12" fillId="0" borderId="0" xfId="5" applyFont="1"/>
    <xf numFmtId="0" fontId="22" fillId="0" borderId="0" xfId="5" applyFont="1"/>
    <xf numFmtId="0" fontId="17" fillId="0" borderId="0" xfId="0" applyFont="1"/>
    <xf numFmtId="0" fontId="12" fillId="0" borderId="0" xfId="0" applyFont="1"/>
    <xf numFmtId="0" fontId="14" fillId="0" borderId="0" xfId="0" applyFont="1"/>
    <xf numFmtId="165" fontId="12" fillId="0" borderId="0" xfId="1" applyNumberFormat="1"/>
    <xf numFmtId="166" fontId="12" fillId="0" borderId="0" xfId="2" applyNumberFormat="1"/>
    <xf numFmtId="0" fontId="23" fillId="0" borderId="0" xfId="0" applyFont="1" applyAlignment="1">
      <alignment horizontal="right"/>
    </xf>
    <xf numFmtId="44" fontId="12" fillId="0" borderId="0" xfId="2"/>
    <xf numFmtId="9" fontId="12" fillId="0" borderId="0" xfId="4"/>
    <xf numFmtId="0" fontId="17" fillId="0" borderId="0" xfId="0" applyFont="1" applyAlignment="1">
      <alignment horizontal="center"/>
    </xf>
    <xf numFmtId="165" fontId="12" fillId="0" borderId="0" xfId="1" applyNumberFormat="1" applyAlignment="1">
      <alignment horizontal="center"/>
    </xf>
    <xf numFmtId="166" fontId="14"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4" fillId="0" borderId="0" xfId="5" applyFont="1"/>
    <xf numFmtId="0" fontId="0" fillId="0" borderId="0" xfId="0" applyAlignment="1">
      <alignment horizontal="left" indent="2"/>
    </xf>
    <xf numFmtId="172" fontId="20" fillId="6" borderId="1" xfId="0" applyNumberFormat="1" applyFont="1" applyFill="1" applyBorder="1" applyAlignment="1">
      <alignment horizontal="center"/>
    </xf>
    <xf numFmtId="166" fontId="17" fillId="7" borderId="0" xfId="2" applyNumberFormat="1" applyFont="1" applyFill="1"/>
    <xf numFmtId="166" fontId="25" fillId="7" borderId="0" xfId="2" applyNumberFormat="1" applyFont="1" applyFill="1" applyAlignment="1">
      <alignment horizontal="center"/>
    </xf>
    <xf numFmtId="10" fontId="12" fillId="0" borderId="0" xfId="4" applyNumberFormat="1" applyAlignment="1">
      <alignment horizontal="center"/>
    </xf>
    <xf numFmtId="166" fontId="23" fillId="0" borderId="0" xfId="0" applyNumberFormat="1" applyFont="1"/>
    <xf numFmtId="0" fontId="12"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3"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4" fillId="0" borderId="0" xfId="0" applyNumberFormat="1" applyFont="1"/>
    <xf numFmtId="164" fontId="17" fillId="0" borderId="0" xfId="7" applyNumberFormat="1" applyFont="1" applyAlignment="1">
      <alignment horizontal="right"/>
    </xf>
    <xf numFmtId="165" fontId="0" fillId="0" borderId="0" xfId="0" applyNumberFormat="1"/>
    <xf numFmtId="0" fontId="20" fillId="5" borderId="0" xfId="10" applyFont="1" applyFill="1" applyAlignment="1">
      <alignment horizontal="centerContinuous"/>
    </xf>
    <xf numFmtId="0" fontId="14"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2" fillId="0" borderId="0" xfId="10"/>
    <xf numFmtId="0" fontId="14" fillId="0" borderId="0" xfId="10" applyFont="1" applyAlignment="1">
      <alignment horizontal="left"/>
    </xf>
    <xf numFmtId="0" fontId="14" fillId="0" borderId="1" xfId="10" applyFont="1" applyBorder="1" applyAlignment="1">
      <alignment horizontal="center"/>
    </xf>
    <xf numFmtId="170" fontId="12" fillId="0" borderId="0" xfId="10" applyNumberFormat="1"/>
    <xf numFmtId="166" fontId="14" fillId="0" borderId="0" xfId="3" applyNumberFormat="1" applyFont="1" applyAlignment="1">
      <alignment horizontal="right"/>
    </xf>
    <xf numFmtId="0" fontId="14" fillId="0" borderId="0" xfId="10" applyFont="1" applyAlignment="1">
      <alignment horizontal="left" indent="1"/>
    </xf>
    <xf numFmtId="164" fontId="12" fillId="0" borderId="0" xfId="10" applyNumberFormat="1"/>
    <xf numFmtId="171" fontId="12" fillId="0" borderId="0" xfId="10" applyNumberFormat="1"/>
    <xf numFmtId="0" fontId="17" fillId="0" borderId="0" xfId="10" applyFont="1" applyAlignment="1">
      <alignment horizontal="left" indent="2"/>
    </xf>
    <xf numFmtId="10" fontId="17" fillId="0" borderId="0" xfId="10" applyNumberFormat="1" applyFont="1"/>
    <xf numFmtId="0" fontId="14" fillId="0" borderId="0" xfId="5" applyFont="1" applyAlignment="1">
      <alignment horizontal="left" indent="1"/>
    </xf>
    <xf numFmtId="169" fontId="15" fillId="0" borderId="0" xfId="7" applyNumberFormat="1" applyFont="1" applyAlignment="1">
      <alignment horizontal="left"/>
    </xf>
    <xf numFmtId="9" fontId="17" fillId="0" borderId="0" xfId="7" applyFont="1"/>
    <xf numFmtId="164" fontId="17" fillId="0" borderId="0" xfId="7" applyNumberFormat="1" applyFont="1"/>
    <xf numFmtId="170" fontId="14" fillId="0" borderId="0" xfId="5" applyNumberFormat="1" applyFont="1"/>
    <xf numFmtId="166" fontId="15" fillId="0" borderId="0" xfId="0" applyNumberFormat="1" applyFont="1"/>
    <xf numFmtId="0" fontId="15" fillId="0" borderId="0" xfId="0" applyFont="1"/>
    <xf numFmtId="0" fontId="14" fillId="0" borderId="1" xfId="5" applyFont="1" applyBorder="1"/>
    <xf numFmtId="0" fontId="14" fillId="0" borderId="1" xfId="5" applyFont="1" applyBorder="1" applyAlignment="1">
      <alignment horizontal="center"/>
    </xf>
    <xf numFmtId="0" fontId="23" fillId="0" borderId="0" xfId="0" applyFont="1" applyAlignment="1">
      <alignment horizontal="center"/>
    </xf>
    <xf numFmtId="0" fontId="14" fillId="0" borderId="1" xfId="0" applyFont="1" applyBorder="1" applyAlignment="1">
      <alignment horizontal="center"/>
    </xf>
    <xf numFmtId="6" fontId="18" fillId="0" borderId="4" xfId="0" applyNumberFormat="1" applyFont="1" applyBorder="1" applyAlignment="1">
      <alignment horizontal="center" vertical="center" wrapText="1"/>
    </xf>
    <xf numFmtId="0" fontId="33" fillId="0" borderId="0" xfId="0" applyFont="1"/>
    <xf numFmtId="0" fontId="18" fillId="0" borderId="0" xfId="0" applyFont="1" applyAlignment="1">
      <alignment vertical="center"/>
    </xf>
    <xf numFmtId="164" fontId="12" fillId="0" borderId="1" xfId="4" applyNumberFormat="1" applyBorder="1" applyAlignment="1">
      <alignment horizontal="center"/>
    </xf>
    <xf numFmtId="0" fontId="0" fillId="0" borderId="1" xfId="0" applyBorder="1"/>
    <xf numFmtId="0" fontId="0" fillId="0" borderId="0" xfId="0" applyAlignment="1">
      <alignment horizontal="right"/>
    </xf>
    <xf numFmtId="9" fontId="16" fillId="0" borderId="0" xfId="12" applyFont="1"/>
    <xf numFmtId="9" fontId="17" fillId="0" borderId="0" xfId="0" applyNumberFormat="1" applyFont="1" applyAlignment="1">
      <alignment wrapText="1"/>
    </xf>
    <xf numFmtId="9" fontId="14" fillId="0" borderId="0" xfId="0" applyNumberFormat="1" applyFont="1"/>
    <xf numFmtId="164" fontId="12" fillId="0" borderId="0" xfId="4" applyNumberFormat="1" applyAlignment="1">
      <alignment vertical="center"/>
    </xf>
    <xf numFmtId="0" fontId="0" fillId="12" borderId="0" xfId="0" applyFill="1"/>
    <xf numFmtId="0" fontId="35" fillId="12" borderId="0" xfId="0" applyFont="1" applyFill="1" applyAlignment="1">
      <alignment vertical="center"/>
    </xf>
    <xf numFmtId="0" fontId="20" fillId="12" borderId="0" xfId="0" applyFont="1" applyFill="1" applyAlignment="1">
      <alignment vertical="center"/>
    </xf>
    <xf numFmtId="0" fontId="35" fillId="5" borderId="14" xfId="10" applyFont="1" applyFill="1" applyBorder="1" applyAlignment="1">
      <alignment horizontal="left" indent="1"/>
    </xf>
    <xf numFmtId="0" fontId="20" fillId="5" borderId="15" xfId="10" applyFont="1" applyFill="1" applyBorder="1" applyAlignment="1">
      <alignment horizontal="left"/>
    </xf>
    <xf numFmtId="0" fontId="20" fillId="5" borderId="16" xfId="10" applyFont="1" applyFill="1" applyBorder="1" applyAlignment="1">
      <alignment horizontal="left"/>
    </xf>
    <xf numFmtId="0" fontId="12" fillId="0" borderId="3" xfId="10" applyBorder="1"/>
    <xf numFmtId="170"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7" xfId="10" applyFont="1" applyBorder="1" applyAlignment="1">
      <alignment horizontal="left" vertical="top" wrapText="1"/>
    </xf>
    <xf numFmtId="166" fontId="33" fillId="0" borderId="0" xfId="0" applyNumberFormat="1" applyFont="1"/>
    <xf numFmtId="166" fontId="33" fillId="0" borderId="17" xfId="0" applyNumberFormat="1" applyFont="1" applyBorder="1"/>
    <xf numFmtId="164" fontId="39" fillId="0" borderId="0" xfId="4" applyNumberFormat="1" applyFont="1"/>
    <xf numFmtId="164" fontId="39" fillId="0" borderId="17" xfId="4" applyNumberFormat="1" applyFont="1" applyBorder="1"/>
    <xf numFmtId="0" fontId="33" fillId="0" borderId="17" xfId="0" applyFont="1" applyBorder="1"/>
    <xf numFmtId="166" fontId="33" fillId="0" borderId="0" xfId="2" applyNumberFormat="1" applyFont="1"/>
    <xf numFmtId="166" fontId="33" fillId="0" borderId="17" xfId="2" applyNumberFormat="1" applyFont="1" applyBorder="1"/>
    <xf numFmtId="0" fontId="0" fillId="0" borderId="19" xfId="0" applyBorder="1"/>
    <xf numFmtId="166" fontId="32" fillId="0" borderId="0" xfId="2" applyNumberFormat="1" applyFont="1"/>
    <xf numFmtId="10" fontId="33" fillId="0" borderId="0" xfId="4" applyNumberFormat="1" applyFont="1"/>
    <xf numFmtId="0" fontId="40" fillId="0" borderId="3" xfId="0" applyFont="1" applyBorder="1" applyAlignment="1">
      <alignment horizontal="left" indent="1"/>
    </xf>
    <xf numFmtId="0" fontId="40" fillId="0" borderId="0" xfId="0" applyFont="1" applyAlignment="1">
      <alignment horizontal="right"/>
    </xf>
    <xf numFmtId="0" fontId="40" fillId="0" borderId="17" xfId="0" applyFont="1" applyBorder="1" applyAlignment="1">
      <alignment horizontal="left"/>
    </xf>
    <xf numFmtId="0" fontId="40" fillId="0" borderId="3" xfId="10" applyFont="1" applyBorder="1" applyAlignment="1">
      <alignment horizontal="left" indent="1"/>
    </xf>
    <xf numFmtId="0" fontId="40" fillId="0" borderId="3" xfId="10" applyFont="1" applyBorder="1" applyAlignment="1">
      <alignment horizontal="left" vertical="top" indent="1"/>
    </xf>
    <xf numFmtId="0" fontId="40" fillId="3" borderId="3" xfId="10" applyFont="1" applyFill="1" applyBorder="1" applyAlignment="1">
      <alignment horizontal="left" indent="1"/>
    </xf>
    <xf numFmtId="0" fontId="33" fillId="3" borderId="0" xfId="0" applyFont="1" applyFill="1"/>
    <xf numFmtId="166" fontId="33" fillId="3" borderId="18" xfId="10" applyNumberFormat="1" applyFont="1" applyFill="1" applyBorder="1"/>
    <xf numFmtId="0" fontId="41" fillId="0" borderId="0" xfId="0" applyFont="1" applyAlignment="1">
      <alignment vertical="center"/>
    </xf>
    <xf numFmtId="0" fontId="42" fillId="0" borderId="5" xfId="0" applyFont="1" applyBorder="1" applyAlignment="1">
      <alignment horizontal="center" vertical="center" wrapText="1"/>
    </xf>
    <xf numFmtId="0" fontId="42" fillId="0" borderId="5" xfId="0" applyFont="1" applyBorder="1" applyAlignment="1">
      <alignment horizontal="centerContinuous" vertical="center" wrapText="1"/>
    </xf>
    <xf numFmtId="0" fontId="14" fillId="0" borderId="5" xfId="0" applyFont="1" applyBorder="1" applyAlignment="1">
      <alignment horizontal="centerContinuous"/>
    </xf>
    <xf numFmtId="166" fontId="33" fillId="0" borderId="0" xfId="0" applyNumberFormat="1" applyFont="1" applyAlignment="1">
      <alignment horizontal="left"/>
    </xf>
    <xf numFmtId="0" fontId="40" fillId="0" borderId="0" xfId="0" applyFont="1" applyAlignment="1">
      <alignment horizontal="right" indent="1"/>
    </xf>
    <xf numFmtId="164" fontId="33" fillId="0" borderId="17" xfId="4" applyNumberFormat="1" applyFont="1" applyBorder="1" applyAlignment="1">
      <alignment horizontal="left"/>
    </xf>
    <xf numFmtId="166" fontId="43" fillId="0" borderId="0" xfId="2" applyNumberFormat="1" applyFont="1"/>
    <xf numFmtId="0" fontId="0" fillId="0" borderId="4" xfId="0" applyBorder="1"/>
    <xf numFmtId="0" fontId="44" fillId="6" borderId="0" xfId="0" applyFont="1" applyFill="1" applyAlignment="1">
      <alignment horizontal="left" indent="1"/>
    </xf>
    <xf numFmtId="9" fontId="45" fillId="6" borderId="0" xfId="0" applyNumberFormat="1" applyFont="1" applyFill="1"/>
    <xf numFmtId="164" fontId="20" fillId="6" borderId="0" xfId="4" applyNumberFormat="1" applyFont="1" applyFill="1"/>
    <xf numFmtId="165" fontId="20" fillId="6" borderId="0" xfId="1" applyNumberFormat="1" applyFont="1" applyFill="1"/>
    <xf numFmtId="0" fontId="46" fillId="6" borderId="0" xfId="0" applyFont="1" applyFill="1" applyAlignment="1">
      <alignment horizontal="left" indent="1"/>
    </xf>
    <xf numFmtId="165" fontId="19" fillId="6" borderId="0" xfId="1" applyNumberFormat="1" applyFont="1" applyFill="1"/>
    <xf numFmtId="0" fontId="14" fillId="0" borderId="12" xfId="0" applyFont="1" applyBorder="1"/>
    <xf numFmtId="0" fontId="0" fillId="0" borderId="12" xfId="0" applyBorder="1" applyAlignment="1">
      <alignment horizontal="left" indent="1"/>
    </xf>
    <xf numFmtId="0" fontId="14" fillId="0" borderId="13" xfId="0" applyFont="1" applyBorder="1"/>
    <xf numFmtId="0" fontId="14" fillId="0" borderId="1" xfId="0" applyFont="1" applyBorder="1"/>
    <xf numFmtId="0" fontId="0" fillId="0" borderId="12" xfId="0" applyBorder="1"/>
    <xf numFmtId="167" fontId="12" fillId="0" borderId="12" xfId="4" applyNumberFormat="1" applyBorder="1" applyAlignment="1">
      <alignment horizontal="right"/>
    </xf>
    <xf numFmtId="0" fontId="0" fillId="0" borderId="2" xfId="0" applyBorder="1"/>
    <xf numFmtId="0" fontId="0" fillId="0" borderId="13" xfId="0" applyBorder="1"/>
    <xf numFmtId="167" fontId="0" fillId="0" borderId="0" xfId="4" applyNumberFormat="1" applyFont="1"/>
    <xf numFmtId="166" fontId="0" fillId="0" borderId="2" xfId="2" applyNumberFormat="1" applyFont="1" applyBorder="1"/>
    <xf numFmtId="166" fontId="0" fillId="0" borderId="20" xfId="2" applyNumberFormat="1" applyFont="1" applyBorder="1"/>
    <xf numFmtId="166" fontId="0" fillId="0" borderId="11" xfId="0" applyNumberFormat="1" applyBorder="1"/>
    <xf numFmtId="166" fontId="0" fillId="0" borderId="20" xfId="0" applyNumberFormat="1" applyBorder="1"/>
    <xf numFmtId="165" fontId="17" fillId="7" borderId="0" xfId="1" applyNumberFormat="1" applyFont="1" applyFill="1"/>
    <xf numFmtId="165" fontId="12" fillId="7" borderId="0" xfId="1" applyNumberFormat="1" applyFill="1"/>
    <xf numFmtId="165" fontId="25" fillId="7" borderId="0" xfId="1" applyNumberFormat="1" applyFont="1" applyFill="1" applyAlignment="1">
      <alignment horizontal="center"/>
    </xf>
    <xf numFmtId="165" fontId="12" fillId="7" borderId="0" xfId="1" applyNumberFormat="1" applyFill="1" applyAlignment="1">
      <alignment horizontal="center"/>
    </xf>
    <xf numFmtId="165" fontId="17"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2" fillId="0" borderId="0" xfId="1" applyNumberFormat="1" applyAlignment="1">
      <alignment horizontal="right" vertical="center"/>
    </xf>
    <xf numFmtId="164" fontId="16" fillId="0" borderId="0" xfId="15" applyNumberFormat="1" applyFont="1"/>
    <xf numFmtId="6" fontId="16" fillId="0" borderId="2" xfId="12" applyNumberFormat="1" applyFont="1" applyBorder="1" applyAlignment="1">
      <alignment horizontal="right"/>
    </xf>
    <xf numFmtId="6" fontId="16" fillId="0" borderId="0" xfId="15" applyNumberFormat="1" applyFont="1"/>
    <xf numFmtId="6" fontId="16" fillId="0" borderId="0" xfId="12" applyNumberFormat="1" applyFont="1"/>
    <xf numFmtId="6" fontId="12" fillId="0" borderId="0" xfId="12" applyNumberFormat="1"/>
    <xf numFmtId="0" fontId="53" fillId="0" borderId="19" xfId="0" applyFont="1" applyBorder="1" applyAlignment="1">
      <alignment horizontal="center"/>
    </xf>
    <xf numFmtId="0" fontId="14" fillId="0" borderId="19" xfId="0" applyFont="1" applyBorder="1" applyAlignment="1">
      <alignment horizontal="center"/>
    </xf>
    <xf numFmtId="0" fontId="11" fillId="0" borderId="0" xfId="28"/>
    <xf numFmtId="0" fontId="56" fillId="0" borderId="0" xfId="28" applyFont="1"/>
    <xf numFmtId="0" fontId="51" fillId="0" borderId="0" xfId="26" applyFont="1" applyFill="1" applyAlignment="1">
      <alignment horizontal="center"/>
    </xf>
    <xf numFmtId="0" fontId="56" fillId="0" borderId="0" xfId="28" applyFont="1" applyAlignment="1">
      <alignment horizontal="center"/>
    </xf>
    <xf numFmtId="0" fontId="11" fillId="0" borderId="0" xfId="28" applyAlignment="1">
      <alignment horizontal="center"/>
    </xf>
    <xf numFmtId="0" fontId="57" fillId="0" borderId="0" xfId="28" applyFont="1" applyAlignment="1">
      <alignment horizontal="right"/>
    </xf>
    <xf numFmtId="14" fontId="56" fillId="0" borderId="0" xfId="28" applyNumberFormat="1" applyFont="1"/>
    <xf numFmtId="0" fontId="57" fillId="0" borderId="0" xfId="28" applyFont="1"/>
    <xf numFmtId="0" fontId="58" fillId="0" borderId="0" xfId="28" applyFont="1" applyAlignment="1">
      <alignment horizontal="right"/>
    </xf>
    <xf numFmtId="0" fontId="58" fillId="0" borderId="0" xfId="28" applyFont="1" applyAlignment="1">
      <alignment horizontal="left"/>
    </xf>
    <xf numFmtId="0" fontId="55" fillId="0" borderId="0" xfId="28" applyFont="1"/>
    <xf numFmtId="0" fontId="55" fillId="0" borderId="0" xfId="28" applyFont="1" applyAlignment="1">
      <alignment horizontal="center"/>
    </xf>
    <xf numFmtId="0" fontId="55" fillId="0" borderId="19" xfId="28" applyFont="1" applyBorder="1" applyAlignment="1">
      <alignment horizontal="center"/>
    </xf>
    <xf numFmtId="0" fontId="55" fillId="0" borderId="19" xfId="28" applyFont="1" applyBorder="1"/>
    <xf numFmtId="6" fontId="11" fillId="0" borderId="11" xfId="28" applyNumberFormat="1" applyBorder="1"/>
    <xf numFmtId="0" fontId="11" fillId="4" borderId="11" xfId="28" applyFill="1" applyBorder="1"/>
    <xf numFmtId="0" fontId="11" fillId="10" borderId="11" xfId="28" applyFill="1" applyBorder="1" applyAlignment="1">
      <alignment horizontal="center"/>
    </xf>
    <xf numFmtId="6" fontId="11" fillId="4" borderId="11" xfId="28" applyNumberFormat="1" applyFill="1" applyBorder="1"/>
    <xf numFmtId="0" fontId="11" fillId="0" borderId="11" xfId="28" applyBorder="1"/>
    <xf numFmtId="0" fontId="59" fillId="0" borderId="0" xfId="28" applyFont="1"/>
    <xf numFmtId="0" fontId="59" fillId="0" borderId="0" xfId="28" applyFont="1" applyAlignment="1">
      <alignment horizontal="center"/>
    </xf>
    <xf numFmtId="6" fontId="59" fillId="0" borderId="0" xfId="28" applyNumberFormat="1" applyFont="1"/>
    <xf numFmtId="0" fontId="51" fillId="0" borderId="0" xfId="26" applyFont="1" applyFill="1"/>
    <xf numFmtId="0" fontId="36" fillId="0" borderId="0" xfId="26" applyFont="1" applyFill="1"/>
    <xf numFmtId="0" fontId="60" fillId="0" borderId="0" xfId="28" applyFont="1"/>
    <xf numFmtId="0" fontId="28" fillId="0" borderId="0" xfId="28" applyFont="1"/>
    <xf numFmtId="0" fontId="50"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1" xfId="26" applyNumberFormat="1" applyFont="1" applyFill="1" applyBorder="1" applyAlignment="1">
      <alignment horizontal="right"/>
    </xf>
    <xf numFmtId="0" fontId="61" fillId="0" borderId="0" xfId="28" applyFont="1"/>
    <xf numFmtId="6" fontId="28" fillId="4" borderId="22" xfId="26" applyNumberFormat="1" applyFont="1" applyFill="1" applyBorder="1" applyAlignment="1">
      <alignment horizontal="right"/>
    </xf>
    <xf numFmtId="164" fontId="61" fillId="0" borderId="0" xfId="28" applyNumberFormat="1" applyFont="1"/>
    <xf numFmtId="0" fontId="14" fillId="0" borderId="0" xfId="28" applyFont="1" applyAlignment="1">
      <alignment horizontal="left" indent="1"/>
    </xf>
    <xf numFmtId="6" fontId="61" fillId="0" borderId="0" xfId="28" applyNumberFormat="1" applyFont="1"/>
    <xf numFmtId="0" fontId="62" fillId="0" borderId="0" xfId="28" applyFont="1" applyAlignment="1">
      <alignment horizontal="right" indent="1"/>
    </xf>
    <xf numFmtId="0" fontId="36" fillId="0" borderId="0" xfId="26" applyFont="1" applyFill="1" applyAlignment="1">
      <alignment horizontal="right"/>
    </xf>
    <xf numFmtId="0" fontId="14"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3" fillId="0" borderId="0" xfId="28" applyFont="1"/>
    <xf numFmtId="0" fontId="28" fillId="0" borderId="0" xfId="28" applyFont="1" applyAlignment="1">
      <alignment horizontal="center"/>
    </xf>
    <xf numFmtId="0" fontId="55" fillId="0" borderId="19" xfId="28" applyFont="1" applyBorder="1" applyAlignment="1">
      <alignment wrapText="1"/>
    </xf>
    <xf numFmtId="6" fontId="11" fillId="0" borderId="23" xfId="28" applyNumberFormat="1" applyBorder="1"/>
    <xf numFmtId="6" fontId="11" fillId="4" borderId="23" xfId="28" applyNumberFormat="1" applyFill="1" applyBorder="1"/>
    <xf numFmtId="6" fontId="28" fillId="0" borderId="0" xfId="28" applyNumberFormat="1" applyFont="1"/>
    <xf numFmtId="6" fontId="11" fillId="0" borderId="21" xfId="28" applyNumberFormat="1" applyBorder="1"/>
    <xf numFmtId="6" fontId="11" fillId="4" borderId="21" xfId="28" applyNumberFormat="1" applyFill="1" applyBorder="1"/>
    <xf numFmtId="0" fontId="11" fillId="0" borderId="21" xfId="28" applyBorder="1" applyAlignment="1">
      <alignment horizontal="left" indent="1"/>
    </xf>
    <xf numFmtId="6" fontId="11" fillId="0" borderId="0" xfId="28" applyNumberFormat="1"/>
    <xf numFmtId="0" fontId="14" fillId="0" borderId="21" xfId="28" applyFont="1" applyBorder="1" applyAlignment="1">
      <alignment horizontal="left"/>
    </xf>
    <xf numFmtId="6" fontId="64" fillId="0" borderId="0" xfId="28" applyNumberFormat="1" applyFont="1"/>
    <xf numFmtId="0" fontId="61" fillId="0" borderId="0" xfId="28" applyFont="1" applyAlignment="1">
      <alignment horizontal="right" indent="1"/>
    </xf>
    <xf numFmtId="164" fontId="64" fillId="0" borderId="0" xfId="28" applyNumberFormat="1" applyFont="1"/>
    <xf numFmtId="164" fontId="11" fillId="0" borderId="0" xfId="28" applyNumberFormat="1"/>
    <xf numFmtId="0" fontId="65" fillId="0" borderId="0" xfId="28" applyFont="1" applyAlignment="1">
      <alignment horizontal="right" indent="1"/>
    </xf>
    <xf numFmtId="9" fontId="65" fillId="0" borderId="0" xfId="28" applyNumberFormat="1" applyFont="1"/>
    <xf numFmtId="164" fontId="60" fillId="0" borderId="0" xfId="28" applyNumberFormat="1" applyFont="1"/>
    <xf numFmtId="0" fontId="11" fillId="16" borderId="0" xfId="28" applyFill="1"/>
    <xf numFmtId="0" fontId="54" fillId="0" borderId="0" xfId="28" applyFont="1"/>
    <xf numFmtId="0" fontId="11" fillId="0" borderId="19" xfId="28" applyBorder="1"/>
    <xf numFmtId="0" fontId="11"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2" fillId="5" borderId="0" xfId="0" applyFont="1" applyFill="1"/>
    <xf numFmtId="44" fontId="12" fillId="5" borderId="0" xfId="2" applyFill="1"/>
    <xf numFmtId="8" fontId="11" fillId="0" borderId="0" xfId="28" applyNumberFormat="1"/>
    <xf numFmtId="9" fontId="11" fillId="0" borderId="0" xfId="28" applyNumberFormat="1"/>
    <xf numFmtId="0" fontId="55" fillId="0" borderId="1" xfId="28" applyFont="1" applyBorder="1"/>
    <xf numFmtId="0" fontId="68" fillId="0" borderId="0" xfId="10" applyFont="1" applyAlignment="1">
      <alignment horizontal="center"/>
    </xf>
    <xf numFmtId="165" fontId="12"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5" fontId="16" fillId="0" borderId="0" xfId="1" applyNumberFormat="1" applyFont="1"/>
    <xf numFmtId="166" fontId="0" fillId="0" borderId="0" xfId="2" applyNumberFormat="1" applyFont="1"/>
    <xf numFmtId="0" fontId="14" fillId="0" borderId="7" xfId="0" applyFont="1" applyBorder="1" applyAlignment="1">
      <alignment horizontal="center"/>
    </xf>
    <xf numFmtId="167" fontId="0" fillId="0" borderId="20" xfId="4" applyNumberFormat="1" applyFont="1" applyBorder="1"/>
    <xf numFmtId="44" fontId="0" fillId="0" borderId="20" xfId="2" applyFont="1" applyBorder="1"/>
    <xf numFmtId="167" fontId="0" fillId="0" borderId="11" xfId="4" applyNumberFormat="1" applyFont="1" applyBorder="1"/>
    <xf numFmtId="44" fontId="0" fillId="0" borderId="11" xfId="2" applyFont="1" applyBorder="1"/>
    <xf numFmtId="9" fontId="0" fillId="0" borderId="2" xfId="0" applyNumberFormat="1" applyBorder="1"/>
    <xf numFmtId="168" fontId="0" fillId="0" borderId="13" xfId="0" applyNumberFormat="1" applyBorder="1"/>
    <xf numFmtId="44" fontId="0" fillId="0" borderId="1" xfId="2" applyFont="1" applyBorder="1"/>
    <xf numFmtId="44" fontId="0" fillId="0" borderId="7" xfId="0" applyNumberFormat="1" applyBorder="1"/>
    <xf numFmtId="174" fontId="0" fillId="0" borderId="20" xfId="0" applyNumberFormat="1" applyBorder="1"/>
    <xf numFmtId="0" fontId="0" fillId="0" borderId="1" xfId="0" applyBorder="1" applyAlignment="1">
      <alignment horizontal="right"/>
    </xf>
    <xf numFmtId="0" fontId="0" fillId="0" borderId="11" xfId="0" applyBorder="1"/>
    <xf numFmtId="0" fontId="14" fillId="0" borderId="12" xfId="0" applyFont="1" applyBorder="1" applyAlignment="1">
      <alignment horizontal="right"/>
    </xf>
    <xf numFmtId="165" fontId="12" fillId="0" borderId="20" xfId="1" applyNumberFormat="1" applyBorder="1"/>
    <xf numFmtId="166" fontId="70" fillId="0" borderId="7" xfId="0" applyNumberFormat="1" applyFont="1" applyBorder="1"/>
    <xf numFmtId="166" fontId="0" fillId="0" borderId="0" xfId="0" applyNumberFormat="1"/>
    <xf numFmtId="44" fontId="0" fillId="0" borderId="0" xfId="2" applyFont="1"/>
    <xf numFmtId="44" fontId="14" fillId="0" borderId="0" xfId="2" applyFont="1"/>
    <xf numFmtId="9" fontId="0" fillId="0" borderId="0" xfId="0" applyNumberFormat="1"/>
    <xf numFmtId="44" fontId="0" fillId="0" borderId="0" xfId="0" applyNumberFormat="1"/>
    <xf numFmtId="166" fontId="20" fillId="0" borderId="0" xfId="2" applyNumberFormat="1" applyFont="1"/>
    <xf numFmtId="0" fontId="14" fillId="0" borderId="0" xfId="0" applyFont="1" applyAlignment="1">
      <alignment horizontal="right"/>
    </xf>
    <xf numFmtId="174" fontId="0" fillId="0" borderId="0" xfId="0" applyNumberFormat="1"/>
    <xf numFmtId="166" fontId="70" fillId="0" borderId="0" xfId="0" applyNumberFormat="1" applyFont="1"/>
    <xf numFmtId="0" fontId="14" fillId="0" borderId="1" xfId="0" applyFont="1" applyBorder="1" applyAlignment="1">
      <alignment horizontal="right"/>
    </xf>
    <xf numFmtId="8" fontId="0" fillId="0" borderId="0" xfId="0" applyNumberFormat="1"/>
    <xf numFmtId="166" fontId="16" fillId="0" borderId="0" xfId="2" applyNumberFormat="1" applyFont="1"/>
    <xf numFmtId="0" fontId="29" fillId="0" borderId="3" xfId="0" applyFont="1" applyBorder="1" applyAlignment="1">
      <alignment horizontal="center"/>
    </xf>
    <xf numFmtId="0" fontId="11" fillId="0" borderId="17" xfId="28" applyBorder="1"/>
    <xf numFmtId="0" fontId="11" fillId="0" borderId="4" xfId="28" applyBorder="1"/>
    <xf numFmtId="166" fontId="16" fillId="0" borderId="20" xfId="2" applyNumberFormat="1" applyFont="1" applyBorder="1"/>
    <xf numFmtId="166" fontId="0" fillId="0" borderId="0" xfId="2" applyNumberFormat="1" applyFont="1" applyBorder="1"/>
    <xf numFmtId="0" fontId="0" fillId="0" borderId="20" xfId="0" applyBorder="1"/>
    <xf numFmtId="167" fontId="14" fillId="0" borderId="0" xfId="4" applyNumberFormat="1" applyFont="1" applyBorder="1"/>
    <xf numFmtId="10" fontId="0" fillId="0" borderId="20" xfId="4" applyNumberFormat="1" applyFont="1" applyBorder="1"/>
    <xf numFmtId="10" fontId="0" fillId="0" borderId="2" xfId="4" applyNumberFormat="1" applyFont="1" applyBorder="1"/>
    <xf numFmtId="166" fontId="16" fillId="0" borderId="2" xfId="2" applyNumberFormat="1" applyFont="1" applyBorder="1"/>
    <xf numFmtId="166" fontId="16" fillId="0" borderId="2" xfId="2" applyNumberFormat="1" applyFont="1" applyBorder="1" applyAlignment="1">
      <alignment horizontal="right"/>
    </xf>
    <xf numFmtId="166" fontId="16" fillId="0" borderId="7" xfId="0" applyNumberFormat="1" applyFont="1" applyBorder="1"/>
    <xf numFmtId="165" fontId="12" fillId="0" borderId="0" xfId="1" applyNumberFormat="1" applyFill="1"/>
    <xf numFmtId="165" fontId="23" fillId="0" borderId="0" xfId="1" applyNumberFormat="1" applyFont="1" applyFill="1" applyAlignment="1">
      <alignment horizontal="right"/>
    </xf>
    <xf numFmtId="164" fontId="16" fillId="0" borderId="2" xfId="12" applyNumberFormat="1" applyFont="1" applyFill="1" applyBorder="1" applyAlignment="1">
      <alignment horizontal="right"/>
    </xf>
    <xf numFmtId="164" fontId="16" fillId="0" borderId="7" xfId="12" applyNumberFormat="1" applyFont="1" applyFill="1" applyBorder="1" applyAlignment="1">
      <alignment horizontal="right"/>
    </xf>
    <xf numFmtId="0" fontId="66" fillId="0" borderId="0" xfId="0" applyFont="1" applyAlignment="1">
      <alignment horizontal="right"/>
    </xf>
    <xf numFmtId="0" fontId="66" fillId="0" borderId="0" xfId="0" applyFont="1"/>
    <xf numFmtId="9" fontId="12" fillId="0" borderId="0" xfId="4" applyFill="1"/>
    <xf numFmtId="164" fontId="17" fillId="0" borderId="0" xfId="4" applyNumberFormat="1" applyFont="1" applyFill="1"/>
    <xf numFmtId="166" fontId="23" fillId="0" borderId="0" xfId="0" applyNumberFormat="1" applyFont="1" applyAlignment="1">
      <alignment horizontal="right"/>
    </xf>
    <xf numFmtId="166" fontId="14"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5" fontId="73" fillId="0" borderId="2" xfId="0" applyNumberFormat="1" applyFont="1" applyBorder="1" applyAlignment="1">
      <alignment horizontal="right"/>
    </xf>
    <xf numFmtId="175" fontId="73" fillId="0" borderId="0" xfId="1" applyNumberFormat="1" applyFont="1" applyFill="1"/>
    <xf numFmtId="0" fontId="17" fillId="0" borderId="0" xfId="0" applyFont="1" applyAlignment="1">
      <alignment horizontal="right"/>
    </xf>
    <xf numFmtId="9" fontId="15" fillId="0" borderId="0" xfId="4" applyFont="1"/>
    <xf numFmtId="44" fontId="15" fillId="0" borderId="0" xfId="2" applyFont="1"/>
    <xf numFmtId="0" fontId="16" fillId="0" borderId="11" xfId="10" applyFont="1" applyBorder="1" applyAlignment="1">
      <alignment horizontal="center"/>
    </xf>
    <xf numFmtId="0" fontId="16" fillId="0" borderId="13" xfId="10" applyFont="1" applyBorder="1" applyAlignment="1">
      <alignment horizontal="center"/>
    </xf>
    <xf numFmtId="10" fontId="16" fillId="0" borderId="11" xfId="4" applyNumberFormat="1" applyFont="1" applyBorder="1" applyAlignment="1">
      <alignment horizontal="center"/>
    </xf>
    <xf numFmtId="10" fontId="16" fillId="0" borderId="11" xfId="12" applyNumberFormat="1" applyFont="1" applyBorder="1" applyAlignment="1">
      <alignment horizontal="center"/>
    </xf>
    <xf numFmtId="9" fontId="16" fillId="0" borderId="11" xfId="4" applyFont="1" applyBorder="1" applyAlignment="1">
      <alignment horizontal="center"/>
    </xf>
    <xf numFmtId="9" fontId="23" fillId="0" borderId="0" xfId="4" applyFont="1" applyFill="1" applyAlignment="1">
      <alignment horizontal="right"/>
    </xf>
    <xf numFmtId="166" fontId="17" fillId="0" borderId="0" xfId="0" applyNumberFormat="1" applyFont="1" applyAlignment="1">
      <alignment horizontal="right"/>
    </xf>
    <xf numFmtId="164" fontId="17" fillId="0" borderId="0" xfId="4" applyNumberFormat="1" applyFont="1" applyAlignment="1">
      <alignment horizontal="right"/>
    </xf>
    <xf numFmtId="166" fontId="15" fillId="0" borderId="0" xfId="0" applyNumberFormat="1" applyFont="1" applyAlignment="1">
      <alignment horizontal="right"/>
    </xf>
    <xf numFmtId="0" fontId="15" fillId="0" borderId="0" xfId="0" applyFont="1" applyAlignment="1">
      <alignment horizontal="right"/>
    </xf>
    <xf numFmtId="164" fontId="17" fillId="0" borderId="0" xfId="0" applyNumberFormat="1" applyFont="1" applyAlignment="1">
      <alignment horizontal="right"/>
    </xf>
    <xf numFmtId="3" fontId="12" fillId="0" borderId="0" xfId="2" applyNumberFormat="1"/>
    <xf numFmtId="0" fontId="21" fillId="0" borderId="0" xfId="0" applyFont="1"/>
    <xf numFmtId="166" fontId="16" fillId="0" borderId="2" xfId="0" applyNumberFormat="1" applyFont="1" applyBorder="1"/>
    <xf numFmtId="165" fontId="16" fillId="0" borderId="2" xfId="1" applyNumberFormat="1" applyFont="1" applyBorder="1"/>
    <xf numFmtId="0" fontId="10" fillId="18" borderId="0" xfId="32" applyBorder="1"/>
    <xf numFmtId="0" fontId="55" fillId="18" borderId="0" xfId="32" applyFont="1" applyBorder="1" applyAlignment="1">
      <alignment vertical="center"/>
    </xf>
    <xf numFmtId="0" fontId="10" fillId="18" borderId="2" xfId="32" applyBorder="1"/>
    <xf numFmtId="0" fontId="14" fillId="0" borderId="0" xfId="0" applyFont="1" applyAlignment="1">
      <alignment horizontal="left"/>
    </xf>
    <xf numFmtId="166" fontId="14"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1" fillId="0" borderId="0" xfId="33" applyFont="1" applyFill="1" applyAlignment="1">
      <alignment horizontal="center"/>
    </xf>
    <xf numFmtId="44" fontId="12" fillId="0" borderId="0" xfId="2" applyFill="1"/>
    <xf numFmtId="0" fontId="74" fillId="0" borderId="12" xfId="0" applyFont="1" applyBorder="1"/>
    <xf numFmtId="8" fontId="16" fillId="0" borderId="0" xfId="0" applyNumberFormat="1" applyFont="1"/>
    <xf numFmtId="0" fontId="17" fillId="20" borderId="0" xfId="0" applyFont="1" applyFill="1"/>
    <xf numFmtId="0" fontId="12" fillId="20" borderId="0" xfId="0" applyFont="1" applyFill="1"/>
    <xf numFmtId="0" fontId="20" fillId="20" borderId="0" xfId="0" applyFont="1" applyFill="1"/>
    <xf numFmtId="10" fontId="73"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3" fillId="0" borderId="0" xfId="1" applyNumberFormat="1" applyFont="1" applyFill="1" applyAlignment="1">
      <alignment horizontal="right"/>
    </xf>
    <xf numFmtId="0" fontId="75" fillId="0" borderId="0" xfId="0" applyFont="1" applyAlignment="1">
      <alignment horizontal="right"/>
    </xf>
    <xf numFmtId="10" fontId="12" fillId="0" borderId="0" xfId="2" applyNumberFormat="1"/>
    <xf numFmtId="10" fontId="17" fillId="0" borderId="0" xfId="0" applyNumberFormat="1" applyFont="1" applyAlignment="1">
      <alignment horizontal="center"/>
    </xf>
    <xf numFmtId="0" fontId="26" fillId="0" borderId="2" xfId="0" applyFont="1" applyBorder="1" applyAlignment="1">
      <alignment horizontal="right"/>
    </xf>
    <xf numFmtId="1" fontId="12" fillId="0" borderId="2" xfId="12" applyNumberFormat="1" applyFill="1" applyBorder="1" applyAlignment="1">
      <alignment horizontal="right"/>
    </xf>
    <xf numFmtId="165" fontId="69" fillId="0" borderId="0" xfId="1" applyNumberFormat="1" applyFont="1" applyFill="1"/>
    <xf numFmtId="165" fontId="23" fillId="0" borderId="0" xfId="1" applyNumberFormat="1" applyFont="1" applyFill="1"/>
    <xf numFmtId="165" fontId="12" fillId="0" borderId="2" xfId="1" applyNumberFormat="1" applyFill="1" applyBorder="1"/>
    <xf numFmtId="0" fontId="26" fillId="0" borderId="2" xfId="0" applyFont="1" applyBorder="1" applyAlignment="1">
      <alignment horizontal="center"/>
    </xf>
    <xf numFmtId="165" fontId="15" fillId="0" borderId="2" xfId="1" applyNumberFormat="1" applyFont="1" applyFill="1" applyBorder="1"/>
    <xf numFmtId="165" fontId="12" fillId="0" borderId="12" xfId="1" applyNumberFormat="1" applyFill="1" applyBorder="1"/>
    <xf numFmtId="165" fontId="12" fillId="0" borderId="13" xfId="1" applyNumberFormat="1" applyFill="1" applyBorder="1"/>
    <xf numFmtId="166" fontId="12" fillId="0" borderId="0" xfId="2" applyNumberFormat="1" applyFill="1"/>
    <xf numFmtId="9" fontId="23" fillId="0" borderId="0" xfId="4" applyFont="1" applyFill="1"/>
    <xf numFmtId="165" fontId="12" fillId="0" borderId="7" xfId="1" applyNumberFormat="1" applyFill="1" applyBorder="1"/>
    <xf numFmtId="0" fontId="16" fillId="0" borderId="0" xfId="0" applyFont="1" applyAlignment="1">
      <alignment horizontal="center"/>
    </xf>
    <xf numFmtId="8" fontId="16" fillId="0" borderId="0" xfId="0" applyNumberFormat="1" applyFont="1" applyAlignment="1">
      <alignment horizontal="center"/>
    </xf>
    <xf numFmtId="166" fontId="23" fillId="0" borderId="20" xfId="10" applyNumberFormat="1" applyFont="1" applyBorder="1"/>
    <xf numFmtId="0" fontId="76" fillId="0" borderId="0" xfId="0" applyFont="1" applyAlignment="1">
      <alignment horizontal="right"/>
    </xf>
    <xf numFmtId="0" fontId="77" fillId="0" borderId="0" xfId="0" applyFont="1"/>
    <xf numFmtId="0" fontId="78" fillId="0" borderId="0" xfId="0" applyFont="1"/>
    <xf numFmtId="0" fontId="77" fillId="0" borderId="0" xfId="0" applyFont="1" applyAlignment="1">
      <alignment horizontal="left"/>
    </xf>
    <xf numFmtId="0" fontId="8" fillId="25" borderId="0" xfId="35"/>
    <xf numFmtId="164" fontId="8" fillId="25" borderId="0" xfId="35" applyNumberFormat="1" applyAlignment="1">
      <alignment horizontal="center"/>
    </xf>
    <xf numFmtId="0" fontId="12" fillId="0" borderId="0" xfId="2" applyNumberFormat="1"/>
    <xf numFmtId="10" fontId="16" fillId="0" borderId="0" xfId="0" applyNumberFormat="1" applyFont="1"/>
    <xf numFmtId="6" fontId="11" fillId="0" borderId="30" xfId="28" applyNumberFormat="1" applyBorder="1"/>
    <xf numFmtId="0" fontId="91" fillId="0" borderId="19" xfId="28" applyFont="1" applyBorder="1"/>
    <xf numFmtId="0" fontId="40" fillId="0" borderId="10" xfId="0" applyFont="1" applyBorder="1" applyAlignment="1">
      <alignment horizontal="left" indent="1"/>
    </xf>
    <xf numFmtId="188" fontId="33" fillId="0" borderId="19" xfId="0" applyNumberFormat="1" applyFont="1" applyBorder="1" applyAlignment="1">
      <alignment horizontal="right"/>
    </xf>
    <xf numFmtId="0" fontId="40"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7" xfId="0" applyBorder="1"/>
    <xf numFmtId="0" fontId="6" fillId="21" borderId="0" xfId="36" applyFill="1"/>
    <xf numFmtId="0" fontId="6" fillId="21" borderId="0" xfId="36" applyFill="1" applyAlignment="1">
      <alignment horizontal="center"/>
    </xf>
    <xf numFmtId="0" fontId="79" fillId="24" borderId="0" xfId="36" applyFont="1" applyFill="1"/>
    <xf numFmtId="0" fontId="52" fillId="24" borderId="0" xfId="36" applyFont="1" applyFill="1"/>
    <xf numFmtId="0" fontId="52" fillId="24" borderId="0" xfId="36" applyFont="1" applyFill="1" applyAlignment="1">
      <alignment horizontal="center"/>
    </xf>
    <xf numFmtId="178" fontId="52" fillId="24" borderId="0" xfId="36" applyNumberFormat="1" applyFont="1" applyFill="1" applyAlignment="1">
      <alignment horizontal="right"/>
    </xf>
    <xf numFmtId="0" fontId="80" fillId="11" borderId="0" xfId="36" applyFont="1" applyFill="1"/>
    <xf numFmtId="0" fontId="52" fillId="11" borderId="0" xfId="36" applyFont="1" applyFill="1"/>
    <xf numFmtId="0" fontId="52" fillId="11" borderId="0" xfId="36" applyFont="1" applyFill="1" applyAlignment="1">
      <alignment horizontal="center"/>
    </xf>
    <xf numFmtId="0" fontId="89" fillId="22" borderId="0" xfId="36" applyFont="1" applyFill="1" applyAlignment="1">
      <alignment horizontal="right"/>
    </xf>
    <xf numFmtId="187" fontId="6" fillId="11" borderId="0" xfId="36" applyNumberFormat="1" applyFill="1" applyAlignment="1" applyProtection="1">
      <alignment horizontal="center"/>
      <protection locked="0"/>
    </xf>
    <xf numFmtId="187" fontId="6" fillId="11" borderId="0" xfId="36" applyNumberFormat="1" applyFill="1" applyAlignment="1" applyProtection="1">
      <alignment horizontal="right"/>
      <protection locked="0"/>
    </xf>
    <xf numFmtId="0" fontId="89" fillId="22" borderId="0" xfId="37" applyNumberFormat="1" applyFont="1" applyFill="1" applyAlignment="1">
      <alignment horizontal="center" vertical="center"/>
    </xf>
    <xf numFmtId="44" fontId="14" fillId="11" borderId="0" xfId="38" applyFont="1" applyFill="1" applyAlignment="1">
      <alignment horizontal="right"/>
    </xf>
    <xf numFmtId="0" fontId="28" fillId="0" borderId="0" xfId="36" applyFont="1" applyAlignment="1">
      <alignment horizontal="right"/>
    </xf>
    <xf numFmtId="0" fontId="81" fillId="22" borderId="0" xfId="36" applyFont="1" applyFill="1" applyAlignment="1">
      <alignment horizontal="right"/>
    </xf>
    <xf numFmtId="0" fontId="55" fillId="11" borderId="0" xfId="36" applyFont="1" applyFill="1" applyAlignment="1">
      <alignment horizontal="center"/>
    </xf>
    <xf numFmtId="0" fontId="6" fillId="0" borderId="0" xfId="36" applyAlignment="1">
      <alignment horizontal="center"/>
    </xf>
    <xf numFmtId="9" fontId="28" fillId="11" borderId="0" xfId="36" applyNumberFormat="1" applyFont="1" applyFill="1" applyAlignment="1">
      <alignment horizontal="left"/>
    </xf>
    <xf numFmtId="0" fontId="6" fillId="11" borderId="0" xfId="36" applyFill="1"/>
    <xf numFmtId="0" fontId="6" fillId="11" borderId="0" xfId="36" applyFill="1" applyAlignment="1">
      <alignment horizontal="right"/>
    </xf>
    <xf numFmtId="0" fontId="6" fillId="11" borderId="0" xfId="36" applyFill="1" applyAlignment="1">
      <alignment horizontal="center"/>
    </xf>
    <xf numFmtId="0" fontId="83" fillId="11" borderId="0" xfId="36" applyFont="1" applyFill="1"/>
    <xf numFmtId="0" fontId="55" fillId="11" borderId="0" xfId="36" applyFont="1" applyFill="1" applyAlignment="1">
      <alignment horizontal="right"/>
    </xf>
    <xf numFmtId="10" fontId="28" fillId="11" borderId="0" xfId="36" applyNumberFormat="1" applyFont="1" applyFill="1" applyAlignment="1">
      <alignment horizontal="center"/>
    </xf>
    <xf numFmtId="164" fontId="89" fillId="22"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6" fillId="11" borderId="0" xfId="36" applyFill="1" applyAlignment="1">
      <alignment horizontal="left"/>
    </xf>
    <xf numFmtId="0" fontId="84" fillId="11" borderId="14" xfId="36" applyFont="1" applyFill="1" applyBorder="1" applyAlignment="1">
      <alignment horizontal="right" vertical="center"/>
    </xf>
    <xf numFmtId="0" fontId="85" fillId="11" borderId="16" xfId="36" applyFont="1" applyFill="1" applyBorder="1" applyAlignment="1">
      <alignment horizontal="left" vertical="center"/>
    </xf>
    <xf numFmtId="164" fontId="6" fillId="11" borderId="0" xfId="36" applyNumberFormat="1" applyFill="1" applyAlignment="1">
      <alignment horizontal="right"/>
    </xf>
    <xf numFmtId="3" fontId="82" fillId="11" borderId="0" xfId="36" applyNumberFormat="1" applyFont="1" applyFill="1" applyAlignment="1">
      <alignment horizontal="right"/>
    </xf>
    <xf numFmtId="9" fontId="81" fillId="11" borderId="0" xfId="36" applyNumberFormat="1" applyFont="1" applyFill="1" applyAlignment="1">
      <alignment horizontal="center"/>
    </xf>
    <xf numFmtId="0" fontId="84" fillId="11" borderId="3" xfId="36" applyFont="1" applyFill="1" applyBorder="1" applyAlignment="1">
      <alignment horizontal="right" vertical="center"/>
    </xf>
    <xf numFmtId="179" fontId="84" fillId="11" borderId="17" xfId="36" applyNumberFormat="1" applyFont="1" applyFill="1" applyBorder="1" applyAlignment="1">
      <alignment horizontal="left" vertical="center"/>
    </xf>
    <xf numFmtId="165" fontId="6" fillId="11" borderId="0" xfId="36" applyNumberFormat="1" applyFill="1"/>
    <xf numFmtId="164" fontId="6" fillId="11" borderId="0" xfId="36" applyNumberFormat="1" applyFill="1" applyAlignment="1">
      <alignment horizontal="center"/>
    </xf>
    <xf numFmtId="0" fontId="84" fillId="11" borderId="10" xfId="36" applyFont="1" applyFill="1" applyBorder="1" applyAlignment="1">
      <alignment horizontal="right" vertical="center"/>
    </xf>
    <xf numFmtId="179" fontId="84" fillId="11" borderId="4" xfId="36" applyNumberFormat="1" applyFont="1" applyFill="1" applyBorder="1" applyAlignment="1">
      <alignment horizontal="left" vertical="center"/>
    </xf>
    <xf numFmtId="189" fontId="6" fillId="11" borderId="0" xfId="36" applyNumberFormat="1" applyFill="1" applyAlignment="1">
      <alignment horizontal="center"/>
    </xf>
    <xf numFmtId="6" fontId="28" fillId="11" borderId="0" xfId="36" applyNumberFormat="1" applyFont="1" applyFill="1" applyAlignment="1">
      <alignment horizontal="right"/>
    </xf>
    <xf numFmtId="0" fontId="6" fillId="11" borderId="26" xfId="36" applyFill="1" applyBorder="1" applyAlignment="1">
      <alignment horizontal="center"/>
    </xf>
    <xf numFmtId="0" fontId="83" fillId="11" borderId="1" xfId="36" applyFont="1" applyFill="1" applyBorder="1"/>
    <xf numFmtId="0" fontId="6" fillId="11" borderId="1" xfId="36" applyFill="1" applyBorder="1"/>
    <xf numFmtId="0" fontId="6" fillId="11" borderId="1" xfId="36" applyFill="1" applyBorder="1" applyAlignment="1">
      <alignment horizontal="right"/>
    </xf>
    <xf numFmtId="0" fontId="55" fillId="11" borderId="1" xfId="36" applyFont="1" applyFill="1" applyBorder="1" applyAlignment="1">
      <alignment horizontal="right"/>
    </xf>
    <xf numFmtId="0" fontId="55" fillId="11" borderId="1" xfId="36" applyFont="1" applyFill="1" applyBorder="1" applyAlignment="1">
      <alignment horizontal="left"/>
    </xf>
    <xf numFmtId="0" fontId="55" fillId="11" borderId="28" xfId="36" applyFont="1" applyFill="1" applyBorder="1" applyAlignment="1">
      <alignment horizontal="left"/>
    </xf>
    <xf numFmtId="0" fontId="6" fillId="11" borderId="1" xfId="36" applyFill="1" applyBorder="1" applyAlignment="1">
      <alignment horizontal="center"/>
    </xf>
    <xf numFmtId="0" fontId="86" fillId="11" borderId="0" xfId="36" applyFont="1" applyFill="1" applyAlignment="1">
      <alignment horizontal="center"/>
    </xf>
    <xf numFmtId="0" fontId="86" fillId="11" borderId="0" xfId="36" applyFont="1" applyFill="1" applyAlignment="1">
      <alignment horizontal="right"/>
    </xf>
    <xf numFmtId="180" fontId="28" fillId="11" borderId="0" xfId="36" applyNumberFormat="1" applyFont="1" applyFill="1" applyAlignment="1">
      <alignment horizontal="left"/>
    </xf>
    <xf numFmtId="164" fontId="87" fillId="11" borderId="0" xfId="36" applyNumberFormat="1" applyFont="1" applyFill="1" applyAlignment="1">
      <alignment horizontal="left"/>
    </xf>
    <xf numFmtId="164" fontId="87" fillId="11" borderId="25" xfId="36" applyNumberFormat="1" applyFont="1" applyFill="1" applyBorder="1" applyAlignment="1">
      <alignment horizontal="center"/>
    </xf>
    <xf numFmtId="164" fontId="89" fillId="22" borderId="0" xfId="36" applyNumberFormat="1" applyFont="1" applyFill="1" applyAlignment="1">
      <alignment horizontal="center"/>
    </xf>
    <xf numFmtId="3" fontId="6" fillId="11" borderId="0" xfId="36" applyNumberFormat="1" applyFill="1"/>
    <xf numFmtId="181" fontId="81" fillId="22" borderId="0" xfId="36" applyNumberFormat="1" applyFont="1" applyFill="1" applyAlignment="1">
      <alignment horizontal="right"/>
    </xf>
    <xf numFmtId="182" fontId="89" fillId="22" borderId="0" xfId="36" applyNumberFormat="1" applyFont="1" applyFill="1" applyAlignment="1" applyProtection="1">
      <alignment horizontal="right"/>
      <protection locked="0"/>
    </xf>
    <xf numFmtId="183" fontId="28" fillId="11" borderId="0" xfId="36" applyNumberFormat="1" applyFont="1" applyFill="1" applyAlignment="1">
      <alignment horizontal="left"/>
    </xf>
    <xf numFmtId="164" fontId="6" fillId="11" borderId="25" xfId="36" applyNumberFormat="1" applyFill="1" applyBorder="1" applyAlignment="1">
      <alignment horizontal="center"/>
    </xf>
    <xf numFmtId="164" fontId="28" fillId="11" borderId="0" xfId="36" applyNumberFormat="1" applyFont="1" applyFill="1" applyAlignment="1">
      <alignment horizontal="center"/>
    </xf>
    <xf numFmtId="189" fontId="6" fillId="11" borderId="0" xfId="36" applyNumberFormat="1" applyFill="1"/>
    <xf numFmtId="182" fontId="81" fillId="11" borderId="0" xfId="36" applyNumberFormat="1" applyFont="1" applyFill="1"/>
    <xf numFmtId="9" fontId="28" fillId="11" borderId="0" xfId="36" applyNumberFormat="1" applyFont="1" applyFill="1" applyAlignment="1">
      <alignment horizontal="center"/>
    </xf>
    <xf numFmtId="10" fontId="6" fillId="11" borderId="0" xfId="36" applyNumberFormat="1" applyFill="1" applyAlignment="1">
      <alignment horizontal="center"/>
    </xf>
    <xf numFmtId="182" fontId="81" fillId="11" borderId="1" xfId="36" applyNumberFormat="1" applyFont="1" applyFill="1" applyBorder="1"/>
    <xf numFmtId="183" fontId="28" fillId="11" borderId="1" xfId="36" applyNumberFormat="1" applyFont="1" applyFill="1" applyBorder="1" applyAlignment="1">
      <alignment horizontal="left"/>
    </xf>
    <xf numFmtId="172" fontId="6" fillId="11" borderId="1" xfId="36" applyNumberFormat="1" applyFill="1" applyBorder="1" applyAlignment="1">
      <alignment horizontal="right"/>
    </xf>
    <xf numFmtId="0" fontId="67" fillId="11" borderId="0" xfId="36" applyFont="1" applyFill="1" applyAlignment="1">
      <alignment horizontal="left"/>
    </xf>
    <xf numFmtId="9" fontId="81" fillId="11" borderId="0" xfId="36" applyNumberFormat="1" applyFont="1" applyFill="1" applyAlignment="1">
      <alignment horizontal="right"/>
    </xf>
    <xf numFmtId="9" fontId="28" fillId="11" borderId="0" xfId="36" applyNumberFormat="1" applyFont="1" applyFill="1" applyAlignment="1">
      <alignment horizontal="right"/>
    </xf>
    <xf numFmtId="10" fontId="6" fillId="11" borderId="0" xfId="36" applyNumberFormat="1" applyFill="1" applyAlignment="1">
      <alignment horizontal="right"/>
    </xf>
    <xf numFmtId="0" fontId="6" fillId="11" borderId="0" xfId="36" applyFill="1" applyAlignment="1">
      <alignment horizontal="left" indent="1"/>
    </xf>
    <xf numFmtId="165" fontId="89" fillId="23" borderId="0" xfId="37" applyNumberFormat="1" applyFont="1" applyFill="1" applyAlignment="1">
      <alignment horizontal="center"/>
    </xf>
    <xf numFmtId="10" fontId="89" fillId="23" borderId="0" xfId="39" applyNumberFormat="1" applyFont="1" applyFill="1" applyAlignment="1">
      <alignment horizontal="right"/>
    </xf>
    <xf numFmtId="2" fontId="89" fillId="23" borderId="0" xfId="36" applyNumberFormat="1" applyFont="1" applyFill="1" applyAlignment="1">
      <alignment horizontal="right"/>
    </xf>
    <xf numFmtId="0" fontId="58" fillId="11" borderId="0" xfId="36" applyFont="1" applyFill="1" applyAlignment="1">
      <alignment horizontal="left" indent="1"/>
    </xf>
    <xf numFmtId="0" fontId="58" fillId="11" borderId="0" xfId="36" applyFont="1" applyFill="1"/>
    <xf numFmtId="165" fontId="58" fillId="23" borderId="0" xfId="37" applyNumberFormat="1" applyFont="1" applyFill="1" applyAlignment="1">
      <alignment horizontal="center"/>
    </xf>
    <xf numFmtId="183" fontId="58" fillId="11" borderId="0" xfId="36" applyNumberFormat="1" applyFont="1" applyFill="1" applyAlignment="1">
      <alignment horizontal="left"/>
    </xf>
    <xf numFmtId="3" fontId="58" fillId="11" borderId="0" xfId="36" applyNumberFormat="1" applyFont="1" applyFill="1" applyAlignment="1">
      <alignment horizontal="right"/>
    </xf>
    <xf numFmtId="0" fontId="58" fillId="21" borderId="0" xfId="36" applyFont="1" applyFill="1"/>
    <xf numFmtId="0" fontId="54" fillId="11" borderId="0" xfId="36" applyFont="1" applyFill="1" applyAlignment="1">
      <alignment horizontal="left" indent="1"/>
    </xf>
    <xf numFmtId="0" fontId="54" fillId="11" borderId="0" xfId="36" applyFont="1" applyFill="1"/>
    <xf numFmtId="6" fontId="54" fillId="11" borderId="0" xfId="36" applyNumberFormat="1" applyFont="1" applyFill="1"/>
    <xf numFmtId="0" fontId="28" fillId="21" borderId="0" xfId="36" applyFont="1" applyFill="1"/>
    <xf numFmtId="185" fontId="6" fillId="22" borderId="0" xfId="36" applyNumberFormat="1" applyFill="1" applyAlignment="1" applyProtection="1">
      <alignment horizontal="right"/>
      <protection locked="0"/>
    </xf>
    <xf numFmtId="185" fontId="6"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89" fillId="22" borderId="0" xfId="36" applyNumberFormat="1" applyFont="1" applyFill="1" applyAlignment="1">
      <alignment horizontal="right"/>
    </xf>
    <xf numFmtId="10" fontId="89" fillId="22" borderId="0" xfId="36" applyNumberFormat="1" applyFont="1" applyFill="1"/>
    <xf numFmtId="0" fontId="28" fillId="11" borderId="0" xfId="37" applyNumberFormat="1" applyFont="1" applyFill="1" applyAlignment="1"/>
    <xf numFmtId="0" fontId="92" fillId="11" borderId="0" xfId="36" applyFont="1" applyFill="1"/>
    <xf numFmtId="177" fontId="6" fillId="11" borderId="0" xfId="36" applyNumberFormat="1" applyFill="1" applyAlignment="1">
      <alignment horizontal="right"/>
    </xf>
    <xf numFmtId="3" fontId="54" fillId="11" borderId="0" xfId="36" applyNumberFormat="1" applyFont="1" applyFill="1" applyAlignment="1">
      <alignment horizontal="right"/>
    </xf>
    <xf numFmtId="0" fontId="57" fillId="11" borderId="1" xfId="36" applyFont="1" applyFill="1" applyBorder="1" applyAlignment="1">
      <alignment horizontal="right"/>
    </xf>
    <xf numFmtId="164" fontId="57" fillId="11" borderId="1" xfId="36" applyNumberFormat="1" applyFont="1" applyFill="1" applyBorder="1" applyAlignment="1">
      <alignment horizontal="left"/>
    </xf>
    <xf numFmtId="3" fontId="6" fillId="11" borderId="0" xfId="36" applyNumberFormat="1" applyFill="1" applyAlignment="1">
      <alignment horizontal="right"/>
    </xf>
    <xf numFmtId="3" fontId="36" fillId="11" borderId="0" xfId="36" applyNumberFormat="1" applyFont="1" applyFill="1" applyAlignment="1">
      <alignment horizontal="right"/>
    </xf>
    <xf numFmtId="4" fontId="6" fillId="11" borderId="0" xfId="36" applyNumberFormat="1" applyFill="1" applyAlignment="1">
      <alignment horizontal="left"/>
    </xf>
    <xf numFmtId="10" fontId="88" fillId="0" borderId="0" xfId="36" applyNumberFormat="1" applyFont="1" applyAlignment="1">
      <alignment horizontal="right"/>
    </xf>
    <xf numFmtId="186" fontId="6" fillId="11" borderId="0" xfId="36" applyNumberFormat="1" applyFill="1" applyAlignment="1">
      <alignment horizontal="left"/>
    </xf>
    <xf numFmtId="0" fontId="52" fillId="11" borderId="0" xfId="36" applyFont="1" applyFill="1" applyAlignment="1">
      <alignment horizontal="right"/>
    </xf>
    <xf numFmtId="0" fontId="93" fillId="0" borderId="0" xfId="0" applyFont="1"/>
    <xf numFmtId="6" fontId="93" fillId="0" borderId="0" xfId="0" applyNumberFormat="1" applyFont="1"/>
    <xf numFmtId="6" fontId="94" fillId="0" borderId="0" xfId="0" applyNumberFormat="1" applyFont="1"/>
    <xf numFmtId="6" fontId="93" fillId="0" borderId="0" xfId="0" applyNumberFormat="1" applyFont="1" applyAlignment="1">
      <alignment horizontal="right"/>
    </xf>
    <xf numFmtId="6" fontId="93" fillId="0" borderId="1" xfId="0" applyNumberFormat="1" applyFont="1" applyBorder="1" applyAlignment="1">
      <alignment horizontal="right"/>
    </xf>
    <xf numFmtId="0" fontId="93" fillId="0" borderId="0" xfId="0" applyFont="1" applyAlignment="1">
      <alignment horizontal="right"/>
    </xf>
    <xf numFmtId="0" fontId="93" fillId="20" borderId="0" xfId="0" applyFont="1" applyFill="1"/>
    <xf numFmtId="44" fontId="96" fillId="13" borderId="0" xfId="25" applyNumberFormat="1" applyFont="1" applyAlignment="1">
      <alignment horizontal="center"/>
    </xf>
    <xf numFmtId="44" fontId="96" fillId="13" borderId="0" xfId="25" applyNumberFormat="1" applyFont="1" applyBorder="1" applyAlignment="1">
      <alignment horizontal="center"/>
    </xf>
    <xf numFmtId="44" fontId="97" fillId="26" borderId="0" xfId="40" applyNumberFormat="1" applyFont="1" applyAlignment="1">
      <alignment horizontal="center"/>
    </xf>
    <xf numFmtId="44" fontId="97" fillId="26" borderId="0" xfId="40" applyNumberFormat="1" applyFont="1" applyBorder="1" applyAlignment="1">
      <alignment horizontal="center"/>
    </xf>
    <xf numFmtId="6" fontId="95" fillId="0" borderId="0" xfId="0" applyNumberFormat="1" applyFont="1" applyAlignment="1">
      <alignment horizontal="center"/>
    </xf>
    <xf numFmtId="9" fontId="95" fillId="0" borderId="0" xfId="0" applyNumberFormat="1" applyFont="1" applyAlignment="1">
      <alignment horizontal="center"/>
    </xf>
    <xf numFmtId="0" fontId="20" fillId="5" borderId="31" xfId="5" applyFont="1" applyFill="1" applyBorder="1" applyAlignment="1">
      <alignment horizontal="center"/>
    </xf>
    <xf numFmtId="44" fontId="98" fillId="13" borderId="0" xfId="25" applyNumberFormat="1" applyFont="1" applyAlignment="1">
      <alignment horizontal="center"/>
    </xf>
    <xf numFmtId="0" fontId="16" fillId="0" borderId="0" xfId="1" applyNumberFormat="1" applyFont="1" applyAlignment="1">
      <alignment horizontal="center"/>
    </xf>
    <xf numFmtId="0" fontId="99" fillId="0" borderId="32" xfId="0" applyFont="1" applyBorder="1"/>
    <xf numFmtId="0" fontId="100" fillId="0" borderId="33" xfId="0" applyFont="1" applyBorder="1" applyAlignment="1">
      <alignment horizontal="center"/>
    </xf>
    <xf numFmtId="0" fontId="100" fillId="0" borderId="34" xfId="0" applyFont="1" applyBorder="1" applyAlignment="1">
      <alignment horizontal="center"/>
    </xf>
    <xf numFmtId="0" fontId="99" fillId="0" borderId="0" xfId="0" applyFont="1" applyAlignment="1">
      <alignment horizontal="right"/>
    </xf>
    <xf numFmtId="10" fontId="100" fillId="0" borderId="0" xfId="0" applyNumberFormat="1" applyFont="1" applyAlignment="1">
      <alignment horizontal="center"/>
    </xf>
    <xf numFmtId="10" fontId="100" fillId="0" borderId="35" xfId="0" applyNumberFormat="1" applyFont="1" applyBorder="1" applyAlignment="1">
      <alignment horizontal="center"/>
    </xf>
    <xf numFmtId="176" fontId="100" fillId="0" borderId="0" xfId="0" applyNumberFormat="1" applyFont="1" applyAlignment="1">
      <alignment horizontal="center"/>
    </xf>
    <xf numFmtId="176" fontId="100" fillId="0" borderId="36" xfId="0" applyNumberFormat="1" applyFont="1" applyBorder="1" applyAlignment="1">
      <alignment horizontal="center"/>
    </xf>
    <xf numFmtId="6" fontId="100" fillId="0" borderId="0" xfId="0" applyNumberFormat="1" applyFont="1" applyAlignment="1">
      <alignment horizontal="center"/>
    </xf>
    <xf numFmtId="6" fontId="100" fillId="0" borderId="36" xfId="0" applyNumberFormat="1" applyFont="1" applyBorder="1" applyAlignment="1">
      <alignment horizontal="center"/>
    </xf>
    <xf numFmtId="165" fontId="100" fillId="0" borderId="0" xfId="0" applyNumberFormat="1" applyFont="1" applyAlignment="1">
      <alignment horizontal="center"/>
    </xf>
    <xf numFmtId="165" fontId="100" fillId="0" borderId="36" xfId="0" applyNumberFormat="1" applyFont="1" applyBorder="1" applyAlignment="1">
      <alignment horizontal="center"/>
    </xf>
    <xf numFmtId="0" fontId="51" fillId="0" borderId="0" xfId="26" applyFont="1" applyFill="1" applyAlignment="1"/>
    <xf numFmtId="6" fontId="102" fillId="0" borderId="0" xfId="0" applyNumberFormat="1" applyFont="1" applyAlignment="1">
      <alignment horizontal="center"/>
    </xf>
    <xf numFmtId="0" fontId="102" fillId="0" borderId="0" xfId="0" applyFont="1" applyAlignment="1">
      <alignment horizontal="center"/>
    </xf>
    <xf numFmtId="0" fontId="87" fillId="0" borderId="0" xfId="0" applyFont="1" applyAlignment="1">
      <alignment horizontal="center"/>
    </xf>
    <xf numFmtId="3" fontId="28" fillId="0" borderId="0" xfId="34" applyNumberFormat="1" applyFont="1"/>
    <xf numFmtId="10" fontId="28" fillId="0" borderId="0" xfId="34" applyNumberFormat="1" applyFont="1"/>
    <xf numFmtId="184" fontId="28" fillId="0" borderId="0" xfId="34" applyNumberFormat="1" applyFont="1"/>
    <xf numFmtId="0" fontId="28" fillId="0" borderId="0" xfId="34" applyFont="1"/>
    <xf numFmtId="182"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6" fontId="28" fillId="0" borderId="0" xfId="26" applyNumberFormat="1" applyFont="1" applyFill="1" applyBorder="1" applyAlignment="1">
      <alignment horizontal="right"/>
    </xf>
    <xf numFmtId="6" fontId="55" fillId="0" borderId="0" xfId="28" applyNumberFormat="1" applyFont="1"/>
    <xf numFmtId="0" fontId="91" fillId="0" borderId="0" xfId="28" applyFont="1"/>
    <xf numFmtId="0" fontId="55" fillId="0" borderId="0" xfId="27" applyFont="1" applyFill="1" applyAlignment="1">
      <alignment horizontal="center"/>
    </xf>
    <xf numFmtId="0" fontId="28" fillId="0" borderId="0" xfId="26" applyNumberFormat="1" applyFont="1" applyFill="1" applyBorder="1" applyAlignment="1">
      <alignment horizontal="right"/>
    </xf>
    <xf numFmtId="0" fontId="55" fillId="27" borderId="0" xfId="28" applyFont="1" applyFill="1" applyAlignment="1">
      <alignment horizontal="center"/>
    </xf>
    <xf numFmtId="0" fontId="51" fillId="28" borderId="0" xfId="28" applyFont="1" applyFill="1" applyAlignment="1">
      <alignment horizontal="center"/>
    </xf>
    <xf numFmtId="0" fontId="51" fillId="28" borderId="19" xfId="28" applyFont="1" applyFill="1" applyBorder="1" applyAlignment="1">
      <alignment horizontal="center"/>
    </xf>
    <xf numFmtId="171" fontId="12" fillId="0" borderId="0" xfId="4" applyNumberFormat="1" applyAlignment="1">
      <alignment horizontal="center"/>
    </xf>
    <xf numFmtId="6" fontId="100" fillId="0" borderId="39" xfId="0" applyNumberFormat="1" applyFont="1" applyBorder="1" applyAlignment="1">
      <alignment horizontal="center"/>
    </xf>
    <xf numFmtId="6" fontId="100" fillId="0" borderId="40" xfId="0" applyNumberFormat="1" applyFont="1" applyBorder="1" applyAlignment="1">
      <alignment horizontal="center"/>
    </xf>
    <xf numFmtId="8" fontId="28" fillId="27" borderId="0" xfId="26" applyNumberFormat="1" applyFont="1" applyFill="1" applyBorder="1" applyAlignment="1">
      <alignment horizontal="right"/>
    </xf>
    <xf numFmtId="0" fontId="2" fillId="0" borderId="0" xfId="0" applyFont="1"/>
    <xf numFmtId="0" fontId="2" fillId="0" borderId="0" xfId="0" applyFont="1" applyAlignment="1">
      <alignment horizontal="right"/>
    </xf>
    <xf numFmtId="10" fontId="16" fillId="0" borderId="0" xfId="15" applyNumberFormat="1" applyFont="1" applyAlignment="1">
      <alignment horizontal="center"/>
    </xf>
    <xf numFmtId="0" fontId="2" fillId="0" borderId="0" xfId="0" applyFont="1" applyAlignment="1">
      <alignment horizontal="left" indent="1"/>
    </xf>
    <xf numFmtId="8" fontId="28" fillId="0" borderId="0" xfId="26" applyNumberFormat="1" applyFont="1" applyFill="1" applyBorder="1" applyAlignment="1">
      <alignment horizontal="right"/>
    </xf>
    <xf numFmtId="0" fontId="33" fillId="0" borderId="0" xfId="0" applyFont="1" applyAlignment="1">
      <alignment horizontal="center" vertical="center"/>
    </xf>
    <xf numFmtId="0" fontId="2" fillId="0" borderId="12" xfId="0" applyFont="1" applyBorder="1"/>
    <xf numFmtId="0" fontId="14" fillId="0" borderId="41" xfId="0" applyFont="1" applyBorder="1" applyAlignment="1">
      <alignment horizontal="center"/>
    </xf>
    <xf numFmtId="0" fontId="2" fillId="0" borderId="0" xfId="0" applyFont="1" applyAlignment="1">
      <alignment vertical="top" wrapText="1"/>
    </xf>
    <xf numFmtId="0" fontId="2" fillId="0" borderId="17" xfId="0" applyFont="1" applyBorder="1" applyAlignment="1">
      <alignment horizontal="right"/>
    </xf>
    <xf numFmtId="0" fontId="2" fillId="0" borderId="0" xfId="5" applyFont="1"/>
    <xf numFmtId="166" fontId="5" fillId="0" borderId="0" xfId="3" applyNumberFormat="1" applyFont="1"/>
    <xf numFmtId="170" fontId="2" fillId="0" borderId="0" xfId="5" applyNumberFormat="1" applyFont="1"/>
    <xf numFmtId="165" fontId="2" fillId="0" borderId="0" xfId="6" applyNumberFormat="1" applyFont="1"/>
    <xf numFmtId="0" fontId="2" fillId="0" borderId="0" xfId="5" applyFont="1" applyAlignment="1">
      <alignment horizontal="left" indent="1"/>
    </xf>
    <xf numFmtId="165" fontId="5" fillId="0" borderId="0" xfId="11" applyNumberFormat="1" applyFont="1"/>
    <xf numFmtId="166" fontId="5" fillId="0" borderId="0" xfId="3" applyNumberFormat="1" applyFont="1" applyAlignment="1">
      <alignment horizontal="right"/>
    </xf>
    <xf numFmtId="44" fontId="5" fillId="0" borderId="0" xfId="3" applyFont="1"/>
    <xf numFmtId="166" fontId="2" fillId="0" borderId="0" xfId="5" applyNumberFormat="1" applyFont="1"/>
    <xf numFmtId="6" fontId="2" fillId="0" borderId="0" xfId="0" applyNumberFormat="1" applyFont="1" applyAlignment="1">
      <alignment horizontal="center"/>
    </xf>
    <xf numFmtId="0" fontId="2" fillId="0" borderId="0" xfId="0" applyFont="1" applyAlignment="1">
      <alignment horizontal="left"/>
    </xf>
    <xf numFmtId="6" fontId="2" fillId="0" borderId="13" xfId="0" applyNumberFormat="1" applyFont="1" applyBorder="1" applyAlignment="1">
      <alignment horizontal="center"/>
    </xf>
    <xf numFmtId="8" fontId="2" fillId="0" borderId="0" xfId="0" applyNumberFormat="1" applyFont="1"/>
    <xf numFmtId="0" fontId="2" fillId="0" borderId="0" xfId="0" quotePrefix="1" applyFont="1"/>
    <xf numFmtId="0" fontId="2" fillId="0" borderId="0" xfId="0" applyFont="1" applyAlignment="1">
      <alignment horizontal="center"/>
    </xf>
    <xf numFmtId="164" fontId="2" fillId="0" borderId="0" xfId="0" applyNumberFormat="1" applyFont="1" applyAlignment="1">
      <alignment horizontal="center"/>
    </xf>
    <xf numFmtId="0" fontId="2" fillId="0" borderId="1" xfId="0" applyFont="1" applyBorder="1" applyAlignment="1">
      <alignment horizontal="center"/>
    </xf>
    <xf numFmtId="0" fontId="2" fillId="0" borderId="37" xfId="0" applyFont="1" applyBorder="1" applyAlignment="1">
      <alignment horizontal="center"/>
    </xf>
    <xf numFmtId="0" fontId="2" fillId="0" borderId="0" xfId="0" applyFont="1" applyAlignment="1">
      <alignment horizontal="centerContinuous"/>
    </xf>
    <xf numFmtId="164" fontId="2" fillId="0" borderId="0" xfId="0" applyNumberFormat="1" applyFont="1"/>
    <xf numFmtId="166" fontId="2" fillId="0" borderId="0" xfId="0" applyNumberFormat="1" applyFont="1"/>
    <xf numFmtId="6" fontId="2" fillId="0" borderId="0" xfId="0" applyNumberFormat="1" applyFont="1"/>
    <xf numFmtId="9" fontId="2" fillId="0" borderId="42" xfId="0" applyNumberFormat="1" applyFont="1" applyBorder="1" applyAlignment="1">
      <alignment horizontal="center"/>
    </xf>
    <xf numFmtId="0" fontId="2" fillId="0" borderId="37" xfId="0" applyFont="1" applyBorder="1"/>
    <xf numFmtId="0" fontId="2" fillId="0" borderId="2" xfId="0" applyFont="1" applyBorder="1" applyAlignment="1">
      <alignment horizontal="right"/>
    </xf>
    <xf numFmtId="44" fontId="2" fillId="0" borderId="0" xfId="0" applyNumberFormat="1" applyFont="1"/>
    <xf numFmtId="44" fontId="2" fillId="0" borderId="2" xfId="0" applyNumberFormat="1" applyFont="1" applyBorder="1"/>
    <xf numFmtId="0" fontId="2" fillId="0" borderId="0" xfId="0" applyFont="1" applyAlignment="1">
      <alignment horizontal="left" indent="2"/>
    </xf>
    <xf numFmtId="165" fontId="2" fillId="0" borderId="0" xfId="0" applyNumberFormat="1" applyFont="1"/>
    <xf numFmtId="9" fontId="2" fillId="0" borderId="0" xfId="0" applyNumberFormat="1" applyFont="1"/>
    <xf numFmtId="166" fontId="2" fillId="0" borderId="0" xfId="3" applyNumberFormat="1" applyFont="1"/>
    <xf numFmtId="44" fontId="2" fillId="0" borderId="0" xfId="3" applyFont="1"/>
    <xf numFmtId="0" fontId="2" fillId="5" borderId="0" xfId="0" applyFont="1" applyFill="1"/>
    <xf numFmtId="10" fontId="2" fillId="0" borderId="0" xfId="0" applyNumberFormat="1" applyFont="1"/>
    <xf numFmtId="0" fontId="2" fillId="0" borderId="19" xfId="0" applyFont="1" applyBorder="1" applyAlignment="1">
      <alignment horizontal="center"/>
    </xf>
    <xf numFmtId="10" fontId="2" fillId="0" borderId="0" xfId="0" applyNumberFormat="1" applyFont="1" applyAlignment="1">
      <alignment horizontal="center"/>
    </xf>
    <xf numFmtId="176" fontId="2" fillId="0" borderId="0" xfId="0" applyNumberFormat="1" applyFont="1" applyAlignment="1">
      <alignment horizontal="center"/>
    </xf>
    <xf numFmtId="4" fontId="2" fillId="0" borderId="0" xfId="0" applyNumberFormat="1" applyFont="1" applyAlignment="1">
      <alignment horizontal="center"/>
    </xf>
    <xf numFmtId="9" fontId="2" fillId="0" borderId="0" xfId="0" applyNumberFormat="1" applyFont="1" applyAlignment="1">
      <alignment horizontal="center"/>
    </xf>
    <xf numFmtId="43" fontId="2" fillId="0" borderId="0" xfId="0" applyNumberFormat="1" applyFont="1"/>
    <xf numFmtId="0" fontId="2" fillId="0" borderId="0" xfId="0" applyFont="1" applyAlignment="1">
      <alignment horizontal="center" vertical="center"/>
    </xf>
    <xf numFmtId="0" fontId="2" fillId="0" borderId="0" xfId="0" applyFont="1" applyAlignment="1">
      <alignment vertical="center"/>
    </xf>
    <xf numFmtId="166" fontId="2" fillId="0" borderId="2" xfId="2" applyNumberFormat="1" applyFont="1" applyBorder="1"/>
    <xf numFmtId="0" fontId="2" fillId="0" borderId="12" xfId="0" applyFont="1" applyBorder="1" applyAlignment="1">
      <alignment horizontal="left"/>
    </xf>
    <xf numFmtId="0" fontId="2" fillId="0" borderId="19" xfId="0" applyFont="1" applyBorder="1"/>
    <xf numFmtId="0" fontId="2" fillId="0" borderId="24" xfId="0" applyFont="1" applyBorder="1" applyAlignment="1">
      <alignment horizontal="center"/>
    </xf>
    <xf numFmtId="8" fontId="2" fillId="0" borderId="0" xfId="0" applyNumberFormat="1" applyFont="1" applyAlignment="1">
      <alignment horizontal="center"/>
    </xf>
    <xf numFmtId="0" fontId="2" fillId="0" borderId="1" xfId="0" applyFont="1" applyBorder="1" applyAlignment="1">
      <alignment horizontal="left" indent="1"/>
    </xf>
    <xf numFmtId="0" fontId="2" fillId="0" borderId="1" xfId="0" applyFont="1" applyBorder="1" applyAlignment="1">
      <alignment horizontal="right"/>
    </xf>
    <xf numFmtId="8" fontId="2" fillId="0" borderId="0" xfId="0" applyNumberFormat="1" applyFont="1" applyAlignment="1">
      <alignment horizontal="center" vertical="center"/>
    </xf>
    <xf numFmtId="6" fontId="2" fillId="0" borderId="0" xfId="0" applyNumberFormat="1" applyFont="1" applyAlignment="1">
      <alignment horizontal="center" vertical="center"/>
    </xf>
    <xf numFmtId="3" fontId="2" fillId="0" borderId="0" xfId="0" applyNumberFormat="1" applyFont="1" applyAlignment="1">
      <alignment horizontal="center" vertical="center"/>
    </xf>
    <xf numFmtId="3" fontId="2" fillId="0" borderId="0" xfId="1" applyNumberFormat="1" applyFont="1" applyAlignment="1">
      <alignment horizontal="center" vertical="top"/>
    </xf>
    <xf numFmtId="0" fontId="2" fillId="0" borderId="3" xfId="0" applyFont="1" applyBorder="1"/>
    <xf numFmtId="0" fontId="2" fillId="0" borderId="0" xfId="28" applyFont="1" applyAlignment="1">
      <alignment horizontal="left" indent="1"/>
    </xf>
    <xf numFmtId="0" fontId="2" fillId="0" borderId="21" xfId="28" applyFont="1" applyBorder="1" applyAlignment="1">
      <alignment horizontal="left" indent="1"/>
    </xf>
    <xf numFmtId="0" fontId="2" fillId="0" borderId="0" xfId="28" applyFont="1" applyAlignment="1">
      <alignment horizontal="center"/>
    </xf>
    <xf numFmtId="0" fontId="2" fillId="16" borderId="0" xfId="28" applyFont="1" applyFill="1" applyAlignment="1">
      <alignment horizontal="center"/>
    </xf>
    <xf numFmtId="0" fontId="2" fillId="16" borderId="0" xfId="28" applyFont="1" applyFill="1" applyAlignment="1">
      <alignment horizontal="left" indent="1"/>
    </xf>
    <xf numFmtId="166" fontId="16" fillId="0" borderId="0" xfId="0" applyNumberFormat="1" applyFont="1"/>
    <xf numFmtId="166" fontId="23" fillId="0" borderId="5" xfId="0" applyNumberFormat="1" applyFont="1" applyBorder="1" applyAlignment="1">
      <alignment horizontal="center"/>
    </xf>
    <xf numFmtId="0" fontId="23" fillId="0" borderId="5" xfId="0" applyFont="1" applyBorder="1" applyAlignment="1">
      <alignment horizontal="center"/>
    </xf>
    <xf numFmtId="0" fontId="14" fillId="0" borderId="43" xfId="5" applyFont="1" applyBorder="1"/>
    <xf numFmtId="166" fontId="14" fillId="0" borderId="43" xfId="7" applyNumberFormat="1" applyFont="1" applyBorder="1"/>
    <xf numFmtId="170" fontId="14" fillId="0" borderId="43" xfId="10" applyNumberFormat="1" applyFont="1" applyBorder="1"/>
    <xf numFmtId="0" fontId="14" fillId="0" borderId="43" xfId="0" applyFont="1" applyBorder="1"/>
    <xf numFmtId="166" fontId="2" fillId="0" borderId="43" xfId="0" applyNumberFormat="1" applyFont="1" applyBorder="1"/>
    <xf numFmtId="166" fontId="14" fillId="0" borderId="43" xfId="5" applyNumberFormat="1" applyFont="1" applyBorder="1"/>
    <xf numFmtId="6" fontId="14" fillId="0" borderId="43" xfId="5" applyNumberFormat="1" applyFont="1" applyBorder="1" applyAlignment="1">
      <alignment horizontal="center"/>
    </xf>
    <xf numFmtId="0" fontId="16" fillId="0" borderId="44" xfId="0" applyFont="1" applyBorder="1"/>
    <xf numFmtId="0" fontId="2" fillId="0" borderId="45" xfId="5" quotePrefix="1" applyFont="1" applyBorder="1"/>
    <xf numFmtId="0" fontId="2" fillId="0" borderId="46" xfId="0" applyFont="1" applyBorder="1"/>
    <xf numFmtId="6" fontId="2" fillId="0" borderId="45" xfId="0" applyNumberFormat="1" applyFont="1" applyBorder="1"/>
    <xf numFmtId="6" fontId="93" fillId="0" borderId="43" xfId="0" applyNumberFormat="1" applyFont="1" applyBorder="1"/>
    <xf numFmtId="0" fontId="14" fillId="0" borderId="43" xfId="0" applyFont="1" applyBorder="1" applyAlignment="1">
      <alignment horizontal="left"/>
    </xf>
    <xf numFmtId="165" fontId="24" fillId="7" borderId="43" xfId="1" applyNumberFormat="1" applyFont="1" applyFill="1" applyBorder="1"/>
    <xf numFmtId="165" fontId="14" fillId="0" borderId="47" xfId="1" applyNumberFormat="1" applyFont="1" applyFill="1" applyBorder="1"/>
    <xf numFmtId="165" fontId="14" fillId="0" borderId="43" xfId="1" applyNumberFormat="1" applyFont="1" applyFill="1" applyBorder="1"/>
    <xf numFmtId="6" fontId="93" fillId="0" borderId="43" xfId="0" applyNumberFormat="1" applyFont="1" applyBorder="1" applyAlignment="1">
      <alignment horizontal="right"/>
    </xf>
    <xf numFmtId="165" fontId="14" fillId="7" borderId="43" xfId="1" applyNumberFormat="1" applyFont="1" applyFill="1" applyBorder="1"/>
    <xf numFmtId="165" fontId="14" fillId="0" borderId="43" xfId="0" applyNumberFormat="1" applyFont="1" applyBorder="1"/>
    <xf numFmtId="165" fontId="12" fillId="7" borderId="43" xfId="1" applyNumberFormat="1" applyFill="1" applyBorder="1"/>
    <xf numFmtId="165" fontId="12" fillId="0" borderId="47" xfId="1" applyNumberFormat="1" applyFill="1" applyBorder="1"/>
    <xf numFmtId="165" fontId="12" fillId="0" borderId="43" xfId="1" applyNumberFormat="1" applyFill="1" applyBorder="1"/>
    <xf numFmtId="165" fontId="0" fillId="0" borderId="48" xfId="13" applyNumberFormat="1" applyFont="1" applyBorder="1"/>
    <xf numFmtId="165" fontId="0" fillId="0" borderId="49" xfId="13" applyNumberFormat="1" applyFont="1" applyBorder="1"/>
    <xf numFmtId="165" fontId="0" fillId="0" borderId="50" xfId="13" applyNumberFormat="1" applyFont="1" applyBorder="1"/>
    <xf numFmtId="166" fontId="31" fillId="0" borderId="44" xfId="0" applyNumberFormat="1" applyFont="1" applyBorder="1"/>
    <xf numFmtId="10" fontId="16" fillId="0" borderId="46" xfId="4" applyNumberFormat="1" applyFont="1" applyBorder="1" applyAlignment="1">
      <alignment horizontal="center"/>
    </xf>
    <xf numFmtId="0" fontId="24" fillId="0" borderId="43" xfId="0" applyFont="1" applyBorder="1"/>
    <xf numFmtId="165" fontId="12" fillId="0" borderId="43" xfId="1" applyNumberFormat="1" applyBorder="1"/>
    <xf numFmtId="165" fontId="2" fillId="0" borderId="45" xfId="0" applyNumberFormat="1" applyFont="1" applyBorder="1"/>
    <xf numFmtId="0" fontId="0" fillId="0" borderId="45" xfId="0" applyBorder="1"/>
    <xf numFmtId="166" fontId="2" fillId="0" borderId="46" xfId="0" applyNumberFormat="1" applyFont="1" applyBorder="1"/>
    <xf numFmtId="0" fontId="103" fillId="0" borderId="51" xfId="0" applyFont="1" applyBorder="1" applyAlignment="1">
      <alignment horizontal="center"/>
    </xf>
    <xf numFmtId="44" fontId="103" fillId="0" borderId="52" xfId="2" applyFont="1" applyBorder="1"/>
    <xf numFmtId="0" fontId="103" fillId="0" borderId="53" xfId="0" applyFont="1" applyBorder="1" applyAlignment="1">
      <alignment horizontal="center"/>
    </xf>
    <xf numFmtId="44" fontId="103" fillId="0" borderId="54" xfId="2" applyFont="1" applyBorder="1"/>
    <xf numFmtId="0" fontId="2" fillId="0" borderId="45" xfId="0" applyFont="1" applyBorder="1"/>
    <xf numFmtId="0" fontId="20" fillId="5" borderId="44" xfId="0" applyFont="1" applyFill="1" applyBorder="1"/>
    <xf numFmtId="0" fontId="0" fillId="5" borderId="45" xfId="0" applyFill="1" applyBorder="1"/>
    <xf numFmtId="0" fontId="0" fillId="5" borderId="46" xfId="0" applyFill="1" applyBorder="1"/>
    <xf numFmtId="0" fontId="14" fillId="0" borderId="55" xfId="0" applyFont="1" applyBorder="1" applyAlignment="1">
      <alignment horizontal="center"/>
    </xf>
    <xf numFmtId="6" fontId="11" fillId="0" borderId="43" xfId="28" applyNumberFormat="1" applyBorder="1"/>
    <xf numFmtId="0" fontId="42" fillId="0" borderId="55" xfId="0" applyFont="1" applyBorder="1" applyAlignment="1">
      <alignment horizontal="center" vertical="center" wrapText="1"/>
    </xf>
    <xf numFmtId="6" fontId="18" fillId="0" borderId="55" xfId="0" applyNumberFormat="1" applyFont="1" applyBorder="1" applyAlignment="1">
      <alignment horizontal="center" vertical="center" wrapText="1"/>
    </xf>
    <xf numFmtId="0" fontId="18" fillId="0" borderId="55" xfId="0" applyFont="1" applyBorder="1" applyAlignment="1">
      <alignment horizontal="center" vertical="center" wrapText="1"/>
    </xf>
    <xf numFmtId="10" fontId="18" fillId="0" borderId="55" xfId="0" applyNumberFormat="1" applyFont="1" applyBorder="1" applyAlignment="1">
      <alignment horizontal="center" vertical="center" wrapText="1"/>
    </xf>
    <xf numFmtId="0" fontId="14" fillId="0" borderId="55" xfId="0" applyFont="1" applyBorder="1"/>
    <xf numFmtId="0" fontId="0" fillId="0" borderId="55" xfId="0" applyBorder="1"/>
    <xf numFmtId="44" fontId="0" fillId="0" borderId="55" xfId="2" applyFont="1" applyBorder="1"/>
    <xf numFmtId="6" fontId="0" fillId="0" borderId="55" xfId="2" applyNumberFormat="1" applyFont="1" applyBorder="1"/>
    <xf numFmtId="0" fontId="2" fillId="0" borderId="44" xfId="0" applyFont="1" applyBorder="1" applyAlignment="1">
      <alignment horizontal="right" indent="1"/>
    </xf>
    <xf numFmtId="167" fontId="0" fillId="0" borderId="55" xfId="4" applyNumberFormat="1" applyFont="1" applyBorder="1"/>
    <xf numFmtId="44" fontId="0" fillId="0" borderId="55" xfId="0" applyNumberFormat="1" applyBorder="1"/>
    <xf numFmtId="0" fontId="2" fillId="0" borderId="44" xfId="0" applyFont="1" applyBorder="1"/>
    <xf numFmtId="0" fontId="0" fillId="0" borderId="45" xfId="0" applyBorder="1" applyAlignment="1">
      <alignment horizontal="center"/>
    </xf>
    <xf numFmtId="8" fontId="0" fillId="0" borderId="45" xfId="0" applyNumberFormat="1" applyBorder="1" applyAlignment="1">
      <alignment horizontal="center"/>
    </xf>
    <xf numFmtId="6" fontId="0" fillId="0" borderId="45" xfId="0" applyNumberFormat="1" applyBorder="1"/>
    <xf numFmtId="3" fontId="0" fillId="0" borderId="45" xfId="0" applyNumberFormat="1" applyBorder="1" applyAlignment="1">
      <alignment horizontal="center"/>
    </xf>
    <xf numFmtId="4" fontId="0" fillId="0" borderId="46" xfId="0" applyNumberFormat="1" applyBorder="1" applyAlignment="1">
      <alignment horizontal="center"/>
    </xf>
    <xf numFmtId="0" fontId="14" fillId="0" borderId="44" xfId="0" applyFont="1" applyBorder="1" applyAlignment="1">
      <alignment horizontal="right"/>
    </xf>
    <xf numFmtId="167" fontId="14" fillId="0" borderId="45" xfId="4" applyNumberFormat="1" applyFont="1" applyBorder="1"/>
    <xf numFmtId="44" fontId="14" fillId="0" borderId="55" xfId="2" applyFont="1" applyBorder="1"/>
    <xf numFmtId="0" fontId="14" fillId="0" borderId="44" xfId="0" applyFont="1" applyBorder="1"/>
    <xf numFmtId="0" fontId="14" fillId="0" borderId="45" xfId="0" applyFont="1" applyBorder="1" applyAlignment="1">
      <alignment horizontal="right"/>
    </xf>
    <xf numFmtId="0" fontId="14" fillId="0" borderId="46" xfId="0" applyFont="1" applyBorder="1" applyAlignment="1">
      <alignment horizontal="right"/>
    </xf>
    <xf numFmtId="0" fontId="11" fillId="4" borderId="55" xfId="28" applyFill="1" applyBorder="1"/>
    <xf numFmtId="0" fontId="11" fillId="10" borderId="55" xfId="28" applyFill="1" applyBorder="1" applyAlignment="1">
      <alignment horizontal="center"/>
    </xf>
    <xf numFmtId="6" fontId="11" fillId="4" borderId="55" xfId="28" applyNumberFormat="1" applyFill="1" applyBorder="1"/>
    <xf numFmtId="0" fontId="11" fillId="0" borderId="55" xfId="28" applyBorder="1"/>
    <xf numFmtId="6" fontId="28" fillId="0" borderId="45" xfId="26" applyNumberFormat="1" applyFont="1" applyFill="1" applyBorder="1" applyAlignment="1">
      <alignment horizontal="right"/>
    </xf>
    <xf numFmtId="6" fontId="55" fillId="0" borderId="45" xfId="28" applyNumberFormat="1" applyFont="1" applyBorder="1"/>
    <xf numFmtId="0" fontId="51" fillId="14" borderId="0" xfId="26" applyFont="1" applyAlignment="1">
      <alignment horizontal="center"/>
    </xf>
    <xf numFmtId="0" fontId="55" fillId="15" borderId="0" xfId="27" applyFont="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2" fillId="0" borderId="0" xfId="0" quotePrefix="1" applyFont="1" applyAlignment="1">
      <alignment horizontal="left"/>
    </xf>
    <xf numFmtId="0" fontId="11" fillId="0" borderId="10" xfId="28" applyBorder="1"/>
    <xf numFmtId="8" fontId="2" fillId="0" borderId="42" xfId="0" applyNumberFormat="1" applyFont="1" applyBorder="1" applyAlignment="1">
      <alignment horizontal="center"/>
    </xf>
    <xf numFmtId="6" fontId="57" fillId="0" borderId="0" xfId="28" applyNumberFormat="1" applyFont="1"/>
    <xf numFmtId="6" fontId="28" fillId="27" borderId="0" xfId="26" applyNumberFormat="1" applyFont="1" applyFill="1" applyBorder="1" applyAlignment="1">
      <alignment horizontal="right"/>
    </xf>
    <xf numFmtId="6" fontId="28" fillId="27" borderId="38" xfId="26" applyNumberFormat="1" applyFont="1" applyFill="1" applyBorder="1" applyAlignment="1">
      <alignment horizontal="right"/>
    </xf>
    <xf numFmtId="6" fontId="28" fillId="27" borderId="45" xfId="26" applyNumberFormat="1" applyFont="1" applyFill="1" applyBorder="1" applyAlignment="1">
      <alignment horizontal="right"/>
    </xf>
    <xf numFmtId="44" fontId="12" fillId="0" borderId="1" xfId="2" applyBorder="1" applyAlignment="1">
      <alignment horizontal="center"/>
    </xf>
    <xf numFmtId="6" fontId="12" fillId="0" borderId="0" xfId="2" applyNumberFormat="1"/>
    <xf numFmtId="165" fontId="2" fillId="10" borderId="1" xfId="13" applyNumberFormat="1" applyFont="1" applyFill="1" applyBorder="1"/>
    <xf numFmtId="6" fontId="12" fillId="0" borderId="45" xfId="2" applyNumberFormat="1" applyBorder="1"/>
    <xf numFmtId="0" fontId="2" fillId="20" borderId="0" xfId="0" applyFont="1" applyFill="1"/>
    <xf numFmtId="0" fontId="95" fillId="0" borderId="0" xfId="0" applyFont="1" applyAlignment="1">
      <alignment horizontal="center"/>
    </xf>
    <xf numFmtId="6" fontId="2" fillId="0" borderId="1" xfId="0" applyNumberFormat="1" applyFont="1" applyBorder="1"/>
    <xf numFmtId="0" fontId="2" fillId="0" borderId="56" xfId="0" applyFont="1" applyBorder="1"/>
    <xf numFmtId="0" fontId="14" fillId="0" borderId="56" xfId="0" applyFont="1" applyBorder="1" applyAlignment="1">
      <alignment horizontal="center"/>
    </xf>
    <xf numFmtId="9" fontId="0" fillId="0" borderId="11" xfId="0" applyNumberFormat="1" applyBorder="1" applyAlignment="1">
      <alignment horizontal="center"/>
    </xf>
    <xf numFmtId="6" fontId="16" fillId="0" borderId="42" xfId="0" applyNumberFormat="1" applyFont="1" applyBorder="1" applyAlignment="1">
      <alignment horizontal="center"/>
    </xf>
    <xf numFmtId="0" fontId="16" fillId="0" borderId="0" xfId="0" applyFont="1"/>
    <xf numFmtId="9" fontId="16" fillId="0" borderId="0" xfId="0" applyNumberFormat="1" applyFont="1"/>
    <xf numFmtId="8" fontId="2" fillId="0" borderId="56" xfId="0" applyNumberFormat="1" applyFont="1" applyBorder="1"/>
    <xf numFmtId="0" fontId="52" fillId="14" borderId="0" xfId="26"/>
    <xf numFmtId="6" fontId="52" fillId="14" borderId="0" xfId="26" applyNumberFormat="1"/>
    <xf numFmtId="14" fontId="52" fillId="14" borderId="0" xfId="26" applyNumberFormat="1"/>
    <xf numFmtId="10" fontId="11" fillId="0" borderId="0" xfId="28" applyNumberFormat="1"/>
    <xf numFmtId="0" fontId="14" fillId="0" borderId="0" xfId="0" applyFont="1" applyAlignment="1">
      <alignment vertical="center"/>
    </xf>
    <xf numFmtId="6" fontId="2" fillId="29" borderId="0" xfId="2" applyNumberFormat="1" applyFont="1" applyFill="1" applyAlignment="1">
      <alignment vertical="center"/>
    </xf>
    <xf numFmtId="10" fontId="2" fillId="29" borderId="0" xfId="4" applyNumberFormat="1" applyFont="1" applyFill="1" applyAlignment="1">
      <alignment vertical="center"/>
    </xf>
    <xf numFmtId="165" fontId="2" fillId="29" borderId="0" xfId="13" applyNumberFormat="1" applyFont="1" applyFill="1" applyAlignment="1">
      <alignment vertical="center"/>
    </xf>
    <xf numFmtId="6" fontId="2" fillId="29" borderId="0" xfId="13" applyNumberFormat="1" applyFont="1" applyFill="1" applyAlignme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6" fontId="2" fillId="0" borderId="0" xfId="2" applyNumberFormat="1" applyFont="1" applyFill="1" applyAlignment="1">
      <alignment vertical="center"/>
    </xf>
    <xf numFmtId="6" fontId="14" fillId="0" borderId="0" xfId="2" applyNumberFormat="1" applyFont="1" applyFill="1"/>
    <xf numFmtId="8" fontId="2" fillId="0" borderId="0" xfId="0" applyNumberFormat="1" applyFont="1" applyAlignment="1">
      <alignment vertical="center"/>
    </xf>
    <xf numFmtId="6" fontId="14" fillId="0" borderId="0" xfId="2" applyNumberFormat="1" applyFont="1" applyFill="1" applyAlignment="1">
      <alignment vertical="center"/>
    </xf>
    <xf numFmtId="0" fontId="1" fillId="4" borderId="55" xfId="28" applyFont="1" applyFill="1" applyBorder="1"/>
    <xf numFmtId="0" fontId="51" fillId="19" borderId="0" xfId="33" applyFont="1"/>
    <xf numFmtId="0" fontId="51" fillId="19" borderId="19" xfId="33" applyFont="1" applyBorder="1"/>
    <xf numFmtId="6" fontId="28" fillId="0" borderId="19" xfId="28" applyNumberFormat="1" applyFont="1" applyBorder="1"/>
    <xf numFmtId="0" fontId="51" fillId="30" borderId="0" xfId="28" applyFont="1" applyFill="1" applyAlignment="1">
      <alignment horizontal="center"/>
    </xf>
    <xf numFmtId="0" fontId="51" fillId="30" borderId="19" xfId="28" applyFont="1" applyFill="1" applyBorder="1" applyAlignment="1">
      <alignment horizontal="center"/>
    </xf>
    <xf numFmtId="0" fontId="106" fillId="0" borderId="0" xfId="0" applyFont="1" applyAlignment="1">
      <alignment vertical="center"/>
    </xf>
    <xf numFmtId="0" fontId="106" fillId="31" borderId="0" xfId="0" applyFont="1" applyFill="1" applyAlignment="1">
      <alignment vertical="center"/>
    </xf>
    <xf numFmtId="6" fontId="28" fillId="0" borderId="0" xfId="34" applyNumberFormat="1" applyFont="1"/>
    <xf numFmtId="0" fontId="107" fillId="0" borderId="0" xfId="0" applyFont="1"/>
    <xf numFmtId="0" fontId="49" fillId="0" borderId="0" xfId="24" applyAlignment="1">
      <alignment vertical="center"/>
    </xf>
    <xf numFmtId="166" fontId="106" fillId="0" borderId="0" xfId="0" applyNumberFormat="1" applyFont="1" applyAlignment="1">
      <alignment vertical="center"/>
    </xf>
    <xf numFmtId="165" fontId="93" fillId="0" borderId="0" xfId="0" applyNumberFormat="1" applyFont="1"/>
    <xf numFmtId="166" fontId="30" fillId="0" borderId="0" xfId="2" applyNumberFormat="1" applyFont="1" applyFill="1" applyBorder="1"/>
    <xf numFmtId="166" fontId="28" fillId="0" borderId="0" xfId="34" applyNumberFormat="1" applyFont="1" applyAlignment="1">
      <alignment horizontal="left" indent="1"/>
    </xf>
    <xf numFmtId="190" fontId="2" fillId="0" borderId="0" xfId="0" applyNumberFormat="1" applyFont="1"/>
    <xf numFmtId="0" fontId="1" fillId="0" borderId="19" xfId="28" applyFont="1" applyBorder="1"/>
    <xf numFmtId="0" fontId="1" fillId="0" borderId="0" xfId="28" applyFont="1"/>
    <xf numFmtId="170" fontId="14" fillId="0" borderId="57" xfId="10" applyNumberFormat="1" applyFont="1" applyBorder="1"/>
    <xf numFmtId="0" fontId="20" fillId="5" borderId="58" xfId="0" applyFont="1" applyFill="1" applyBorder="1"/>
    <xf numFmtId="0" fontId="21" fillId="5" borderId="57" xfId="0" applyFont="1" applyFill="1" applyBorder="1"/>
    <xf numFmtId="0" fontId="0" fillId="5" borderId="59" xfId="0" applyFill="1" applyBorder="1"/>
    <xf numFmtId="0" fontId="55" fillId="18" borderId="58" xfId="32" applyFont="1" applyBorder="1" applyAlignment="1">
      <alignment vertical="center"/>
    </xf>
    <xf numFmtId="0" fontId="10" fillId="18" borderId="57" xfId="32" applyBorder="1"/>
    <xf numFmtId="0" fontId="10" fillId="18" borderId="59" xfId="32" applyBorder="1"/>
    <xf numFmtId="0" fontId="0" fillId="0" borderId="58" xfId="0" applyBorder="1"/>
    <xf numFmtId="0" fontId="0" fillId="0" borderId="57" xfId="0" applyBorder="1"/>
    <xf numFmtId="166" fontId="16" fillId="0" borderId="59" xfId="0" applyNumberFormat="1" applyFont="1" applyBorder="1"/>
    <xf numFmtId="0" fontId="2" fillId="0" borderId="58" xfId="0" applyFont="1" applyBorder="1" applyAlignment="1">
      <alignment horizontal="right"/>
    </xf>
    <xf numFmtId="0" fontId="0" fillId="0" borderId="57" xfId="0" applyBorder="1" applyAlignment="1">
      <alignment horizontal="center"/>
    </xf>
    <xf numFmtId="8" fontId="0" fillId="0" borderId="57" xfId="0" applyNumberFormat="1" applyBorder="1" applyAlignment="1">
      <alignment horizontal="center"/>
    </xf>
    <xf numFmtId="6" fontId="0" fillId="0" borderId="57" xfId="0" applyNumberFormat="1" applyBorder="1"/>
    <xf numFmtId="2" fontId="0" fillId="0" borderId="59" xfId="0" applyNumberFormat="1" applyBorder="1" applyAlignment="1">
      <alignment horizontal="center"/>
    </xf>
    <xf numFmtId="4" fontId="0" fillId="0" borderId="59" xfId="0" applyNumberFormat="1" applyBorder="1" applyAlignment="1">
      <alignment horizontal="center"/>
    </xf>
    <xf numFmtId="0" fontId="20" fillId="5" borderId="57" xfId="0" applyFont="1" applyFill="1" applyBorder="1"/>
    <xf numFmtId="166" fontId="20" fillId="5" borderId="57" xfId="2" applyNumberFormat="1" applyFont="1" applyFill="1" applyBorder="1"/>
    <xf numFmtId="0" fontId="20" fillId="0" borderId="58" xfId="0" applyFont="1" applyBorder="1"/>
    <xf numFmtId="0" fontId="21" fillId="0" borderId="57" xfId="0" applyFont="1" applyBorder="1"/>
    <xf numFmtId="0" fontId="20" fillId="0" borderId="57" xfId="0" applyFont="1" applyBorder="1"/>
    <xf numFmtId="166" fontId="20" fillId="0" borderId="57" xfId="2" applyNumberFormat="1" applyFont="1" applyBorder="1"/>
    <xf numFmtId="0" fontId="0" fillId="0" borderId="60" xfId="0" applyBorder="1"/>
    <xf numFmtId="0" fontId="14" fillId="0" borderId="58" xfId="0" applyFont="1" applyBorder="1" applyAlignment="1">
      <alignment horizontal="right"/>
    </xf>
    <xf numFmtId="0" fontId="2" fillId="0" borderId="57" xfId="0" applyFont="1" applyBorder="1" applyAlignment="1">
      <alignment horizontal="right"/>
    </xf>
    <xf numFmtId="166" fontId="0" fillId="0" borderId="60" xfId="0" applyNumberFormat="1" applyBorder="1"/>
    <xf numFmtId="0" fontId="14" fillId="0" borderId="57" xfId="0" applyFont="1" applyBorder="1"/>
    <xf numFmtId="166" fontId="0" fillId="0" borderId="59" xfId="0" applyNumberFormat="1" applyBorder="1"/>
    <xf numFmtId="0" fontId="20" fillId="6" borderId="59" xfId="5" applyFont="1" applyFill="1" applyBorder="1" applyAlignment="1">
      <alignment horizontal="center"/>
    </xf>
    <xf numFmtId="165" fontId="12" fillId="0" borderId="58" xfId="1" applyNumberFormat="1" applyFill="1" applyBorder="1"/>
    <xf numFmtId="165" fontId="12" fillId="0" borderId="57" xfId="1" applyNumberFormat="1" applyFill="1" applyBorder="1"/>
    <xf numFmtId="0" fontId="14" fillId="0" borderId="57" xfId="0" applyFont="1" applyBorder="1" applyAlignment="1">
      <alignment horizontal="left"/>
    </xf>
    <xf numFmtId="165" fontId="14" fillId="0" borderId="59" xfId="1" applyNumberFormat="1" applyFont="1" applyFill="1" applyBorder="1"/>
    <xf numFmtId="165" fontId="14" fillId="0" borderId="57" xfId="1" applyNumberFormat="1" applyFont="1" applyFill="1" applyBorder="1"/>
    <xf numFmtId="0" fontId="14" fillId="0" borderId="60" xfId="10" applyFont="1" applyBorder="1" applyAlignment="1">
      <alignment horizontal="center"/>
    </xf>
    <xf numFmtId="43" fontId="14" fillId="0" borderId="60" xfId="10" applyNumberFormat="1" applyFont="1" applyBorder="1" applyAlignment="1">
      <alignment horizontal="center"/>
    </xf>
    <xf numFmtId="165" fontId="0" fillId="0" borderId="61" xfId="13" applyNumberFormat="1" applyFont="1" applyBorder="1"/>
    <xf numFmtId="6" fontId="2" fillId="0" borderId="57" xfId="0" applyNumberFormat="1" applyFont="1" applyBorder="1"/>
    <xf numFmtId="6" fontId="12" fillId="0" borderId="57" xfId="2" applyNumberFormat="1" applyBorder="1"/>
    <xf numFmtId="6" fontId="28" fillId="0" borderId="57" xfId="26" applyNumberFormat="1" applyFont="1" applyFill="1" applyBorder="1" applyAlignment="1">
      <alignment horizontal="right"/>
    </xf>
    <xf numFmtId="6" fontId="11" fillId="0" borderId="57" xfId="28" applyNumberFormat="1" applyBorder="1"/>
    <xf numFmtId="9" fontId="18" fillId="0" borderId="10" xfId="0" applyNumberFormat="1" applyFont="1" applyBorder="1" applyAlignment="1">
      <alignment horizontal="center" vertical="center" wrapText="1"/>
    </xf>
    <xf numFmtId="9" fontId="18"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7" xfId="10" applyFont="1" applyBorder="1" applyAlignment="1">
      <alignment horizontal="left" vertical="top" wrapText="1" indent="1"/>
    </xf>
    <xf numFmtId="0" fontId="20" fillId="5" borderId="58" xfId="0" applyFont="1" applyFill="1" applyBorder="1" applyAlignment="1">
      <alignment horizontal="center"/>
    </xf>
    <xf numFmtId="0" fontId="20" fillId="5" borderId="57" xfId="0" applyFont="1" applyFill="1" applyBorder="1" applyAlignment="1">
      <alignment horizontal="center"/>
    </xf>
    <xf numFmtId="0" fontId="20" fillId="5" borderId="59" xfId="0" applyFont="1" applyFill="1" applyBorder="1" applyAlignment="1">
      <alignment horizontal="center"/>
    </xf>
    <xf numFmtId="0" fontId="49" fillId="0" borderId="0" xfId="24" applyAlignment="1">
      <alignment horizontal="center"/>
    </xf>
    <xf numFmtId="0" fontId="105" fillId="19" borderId="0" xfId="33" applyFont="1" applyAlignment="1">
      <alignment horizontal="center"/>
    </xf>
    <xf numFmtId="0" fontId="20" fillId="5" borderId="0" xfId="0" applyFont="1" applyFill="1" applyAlignment="1">
      <alignment horizontal="center"/>
    </xf>
    <xf numFmtId="0" fontId="14" fillId="0" borderId="0" xfId="0" applyFont="1" applyAlignment="1">
      <alignment horizontal="center"/>
    </xf>
    <xf numFmtId="0" fontId="51" fillId="13" borderId="0" xfId="25" applyFont="1" applyAlignment="1">
      <alignment horizontal="center"/>
    </xf>
    <xf numFmtId="0" fontId="20" fillId="5" borderId="0" xfId="10" applyFont="1" applyFill="1" applyAlignment="1">
      <alignment horizontal="center"/>
    </xf>
    <xf numFmtId="0" fontId="2" fillId="0" borderId="0" xfId="0" applyFont="1" applyAlignment="1">
      <alignment horizontal="center"/>
    </xf>
    <xf numFmtId="0" fontId="104" fillId="13" borderId="0" xfId="25" applyFont="1" applyAlignment="1">
      <alignment horizontal="center"/>
    </xf>
    <xf numFmtId="0" fontId="51" fillId="17" borderId="0" xfId="26" applyFont="1" applyFill="1" applyAlignment="1">
      <alignment horizontal="center"/>
    </xf>
    <xf numFmtId="0" fontId="20" fillId="24" borderId="0" xfId="0" applyFont="1" applyFill="1" applyAlignment="1">
      <alignment horizontal="center"/>
    </xf>
    <xf numFmtId="0" fontId="51" fillId="14" borderId="0" xfId="26" applyFont="1" applyAlignment="1">
      <alignment horizontal="center"/>
    </xf>
    <xf numFmtId="0" fontId="55" fillId="15" borderId="0" xfId="27" applyFont="1" applyAlignment="1">
      <alignment horizontal="center"/>
    </xf>
    <xf numFmtId="0" fontId="51" fillId="14" borderId="14" xfId="26" applyFont="1" applyBorder="1" applyAlignment="1">
      <alignment horizontal="center"/>
    </xf>
    <xf numFmtId="0" fontId="51" fillId="14" borderId="15" xfId="26" applyFont="1" applyBorder="1" applyAlignment="1">
      <alignment horizontal="center"/>
    </xf>
    <xf numFmtId="0" fontId="51" fillId="14" borderId="16" xfId="26" applyFont="1" applyBorder="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57" fillId="11" borderId="26" xfId="36" applyFont="1" applyFill="1" applyBorder="1" applyAlignment="1">
      <alignment horizontal="left"/>
    </xf>
    <xf numFmtId="0" fontId="57" fillId="11" borderId="0" xfId="36" applyFont="1" applyFill="1" applyAlignment="1">
      <alignment horizontal="left"/>
    </xf>
    <xf numFmtId="44" fontId="90" fillId="11" borderId="0" xfId="38" applyFont="1" applyFill="1" applyAlignment="1">
      <alignment horizontal="center"/>
    </xf>
    <xf numFmtId="0" fontId="55" fillId="11" borderId="0" xfId="36" applyFont="1" applyFill="1" applyAlignment="1">
      <alignment horizontal="center" wrapText="1"/>
    </xf>
    <xf numFmtId="0" fontId="55" fillId="11" borderId="25" xfId="36" applyFont="1" applyFill="1" applyBorder="1" applyAlignment="1">
      <alignment horizontal="center" wrapText="1"/>
    </xf>
    <xf numFmtId="0" fontId="55" fillId="11" borderId="1" xfId="36" applyFont="1" applyFill="1" applyBorder="1" applyAlignment="1">
      <alignment horizontal="center" wrapText="1"/>
    </xf>
    <xf numFmtId="0" fontId="55" fillId="11" borderId="27" xfId="36" applyFont="1" applyFill="1" applyBorder="1" applyAlignment="1">
      <alignment horizontal="center" wrapText="1"/>
    </xf>
    <xf numFmtId="0" fontId="86" fillId="11" borderId="0" xfId="36" applyFont="1" applyFill="1" applyAlignment="1">
      <alignment horizontal="center"/>
    </xf>
    <xf numFmtId="0" fontId="57" fillId="11" borderId="29" xfId="36" applyFont="1" applyFill="1" applyBorder="1" applyAlignment="1">
      <alignment horizontal="left"/>
    </xf>
    <xf numFmtId="0" fontId="57" fillId="11" borderId="57" xfId="36" applyFont="1" applyFill="1" applyBorder="1" applyAlignment="1">
      <alignment horizontal="left"/>
    </xf>
  </cellXfs>
  <cellStyles count="51">
    <cellStyle name="20% - Accent1" xfId="32" builtinId="30"/>
    <cellStyle name="40% - Accent1" xfId="27" builtinId="31"/>
    <cellStyle name="40% - Accent3" xfId="35" builtinId="39"/>
    <cellStyle name="60% - Accent6" xfId="40" builtinId="52"/>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4" xr:uid="{9E888740-3CB9-4DDA-8102-76867E8B34C4}"/>
    <cellStyle name="Comma 7" xfId="49" xr:uid="{D8B2E331-A891-41A8-87EC-FBA475D0CD27}"/>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50" xr:uid="{F8C76691-3867-4048-A48F-8A3D4CA30163}"/>
    <cellStyle name="Hyperlink" xfId="24" builtinId="8"/>
    <cellStyle name="Hyperlink 2" xfId="42" xr:uid="{16D83230-AE81-4F9E-8C9D-299FC2DDBA8E}"/>
    <cellStyle name="Normal" xfId="0" builtinId="0"/>
    <cellStyle name="Normal 10" xfId="46" xr:uid="{4E149AB4-40D3-4BCA-8320-5F0166E09D6E}"/>
    <cellStyle name="Normal 2" xfId="5" xr:uid="{00000000-0005-0000-0000-000009000000}"/>
    <cellStyle name="Normal 2 2" xfId="10" xr:uid="{00000000-0005-0000-0000-00000A000000}"/>
    <cellStyle name="Normal 2 3" xfId="30" xr:uid="{5F3C42FC-E6D6-4561-9B51-07E2F832B6CA}"/>
    <cellStyle name="Normal 2 4" xfId="47" xr:uid="{11838949-5C9A-40B8-AAAD-6BF36D160924}"/>
    <cellStyle name="Normal 3" xfId="9" xr:uid="{00000000-0005-0000-0000-00000B000000}"/>
    <cellStyle name="Normal 3 2" xfId="43"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1" xr:uid="{668FC191-D656-4A9D-8D6E-7C56D5FFC84A}"/>
    <cellStyle name="Percent" xfId="4" builtinId="5"/>
    <cellStyle name="Percent 2" xfId="7" xr:uid="{00000000-0005-0000-0000-00000F000000}"/>
    <cellStyle name="Percent 2 2" xfId="12" xr:uid="{00000000-0005-0000-0000-000010000000}"/>
    <cellStyle name="Percent 2 2 2" xfId="48" xr:uid="{0D135B84-358C-436A-BC0B-68EE6726DB68}"/>
    <cellStyle name="Percent 3" xfId="15" xr:uid="{00000000-0005-0000-0000-000011000000}"/>
    <cellStyle name="Percent 4" xfId="39" xr:uid="{79C5FAB2-7FCE-4E04-A52E-EE1D03F3AEDF}"/>
    <cellStyle name="Percent 5" xfId="45"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27">
    <dxf>
      <font>
        <color theme="9" tint="-0.24994659260841701"/>
      </font>
    </dxf>
    <dxf>
      <font>
        <b/>
        <i/>
        <color theme="0"/>
      </font>
      <fill>
        <patternFill>
          <bgColor rgb="FFFF0000"/>
        </patternFill>
      </fill>
    </dxf>
    <dxf>
      <font>
        <color rgb="FF0000FF"/>
      </font>
      <fill>
        <patternFill>
          <bgColor rgb="FFFFFF00"/>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numFmt numFmtId="177" formatCode="0.00&quot;X&quot;"/>
    </dxf>
    <dxf>
      <numFmt numFmtId="191" formatCode="&quot; up to &quot;0.00&quot;X EM to LP&quot;"/>
    </dxf>
    <dxf>
      <font>
        <color theme="0"/>
      </font>
      <numFmt numFmtId="0" formatCode="General"/>
      <fill>
        <patternFill patternType="none">
          <bgColor auto="1"/>
        </patternFill>
      </fill>
    </dxf>
    <dxf>
      <font>
        <color theme="0"/>
      </font>
      <numFmt numFmtId="0" formatCode="General"/>
      <fill>
        <patternFill patternType="none">
          <bgColor auto="1"/>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font>
        <color theme="0"/>
      </font>
      <fill>
        <patternFill patternType="none">
          <bgColor auto="1"/>
        </patternFill>
      </fill>
    </dxf>
    <dxf>
      <numFmt numFmtId="191" formatCode="&quot; up to &quot;0.00&quot;X EM to LP&quot;"/>
    </dxf>
    <dxf>
      <numFmt numFmtId="191" formatCode="&quot; up to &quot;0.00&quot;X EM to LP&quot;"/>
    </dxf>
    <dxf>
      <numFmt numFmtId="191" formatCode="&quot; up to &quot;0.00&quot;X EM to LP&quot;"/>
    </dxf>
    <dxf>
      <numFmt numFmtId="191" formatCode="&quot; up to &quot;0.00&quot;X EM to LP&quot;"/>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b val="0"/>
        <i/>
        <color theme="0"/>
      </font>
      <fill>
        <patternFill>
          <bgColor rgb="FFFF0000"/>
        </patternFill>
      </fill>
    </dxf>
    <dxf>
      <fill>
        <patternFill patternType="solid">
          <bgColor theme="9" tint="0.79998168889431442"/>
        </patternFill>
      </fill>
    </dxf>
    <dxf>
      <font>
        <color rgb="FF0000FF"/>
      </font>
    </dxf>
    <dxf>
      <font>
        <color rgb="FF9C0006"/>
      </font>
      <fill>
        <patternFill>
          <bgColor rgb="FFFFC7CE"/>
        </patternFill>
      </fill>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SUMMARY'!$B$26:$I$26</c:f>
              <c:numCache>
                <c:formatCode>"$"#,##0_);[Red]\("$"#,##0\)</c:formatCode>
                <c:ptCount val="8"/>
                <c:pt idx="0">
                  <c:v>0</c:v>
                </c:pt>
                <c:pt idx="1">
                  <c:v>0</c:v>
                </c:pt>
                <c:pt idx="2">
                  <c:v>0</c:v>
                </c:pt>
                <c:pt idx="3">
                  <c:v>0</c:v>
                </c:pt>
                <c:pt idx="4">
                  <c:v>0</c:v>
                </c:pt>
                <c:pt idx="5">
                  <c:v>0</c:v>
                </c:pt>
                <c:pt idx="6">
                  <c:v>0</c:v>
                </c:pt>
                <c:pt idx="7">
                  <c:v>439714</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SUMMARY'!$B$56:$G$56,'IE SUMMARY'!$I$56)</c:f>
              <c:numCache>
                <c:formatCode>"$"#,##0_);[Red]\("$"#,##0\)</c:formatCode>
                <c:ptCount val="7"/>
                <c:pt idx="0">
                  <c:v>0</c:v>
                </c:pt>
                <c:pt idx="1">
                  <c:v>0</c:v>
                </c:pt>
                <c:pt idx="2">
                  <c:v>249200</c:v>
                </c:pt>
                <c:pt idx="3">
                  <c:v>0</c:v>
                </c:pt>
                <c:pt idx="4">
                  <c:v>0</c:v>
                </c:pt>
                <c:pt idx="5">
                  <c:v>0</c:v>
                </c:pt>
                <c:pt idx="6">
                  <c:v>240720.15999999997</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SUMMARY'!$B$61:$G$61,'IE SUMMARY'!$I$61)</c:f>
              <c:numCache>
                <c:formatCode>"$"#,##0_);[Red]\("$"#,##0\)</c:formatCode>
                <c:ptCount val="7"/>
                <c:pt idx="0">
                  <c:v>0</c:v>
                </c:pt>
                <c:pt idx="1">
                  <c:v>0</c:v>
                </c:pt>
                <c:pt idx="2">
                  <c:v>-249200</c:v>
                </c:pt>
                <c:pt idx="3">
                  <c:v>0</c:v>
                </c:pt>
                <c:pt idx="4">
                  <c:v>0</c:v>
                </c:pt>
                <c:pt idx="5">
                  <c:v>0</c:v>
                </c:pt>
                <c:pt idx="6">
                  <c:v>198993.84000000003</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SUMMARY'!$B$32:$B$55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SUMMARY'!$C$32:$C$55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2024</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SUMMARY'!$D$32:$D$55</c:f>
              <c:numCache>
                <c:formatCode>"$"#,##0_);[Red]\("$"#,##0\)</c:formatCode>
                <c:ptCount val="24"/>
                <c:pt idx="0">
                  <c:v>25898</c:v>
                </c:pt>
                <c:pt idx="1">
                  <c:v>0</c:v>
                </c:pt>
                <c:pt idx="2">
                  <c:v>0</c:v>
                </c:pt>
                <c:pt idx="3">
                  <c:v>2793</c:v>
                </c:pt>
                <c:pt idx="4">
                  <c:v>0</c:v>
                </c:pt>
                <c:pt idx="5">
                  <c:v>13332</c:v>
                </c:pt>
                <c:pt idx="6">
                  <c:v>0</c:v>
                </c:pt>
                <c:pt idx="7">
                  <c:v>10707</c:v>
                </c:pt>
                <c:pt idx="8">
                  <c:v>0</c:v>
                </c:pt>
                <c:pt idx="9">
                  <c:v>4553</c:v>
                </c:pt>
                <c:pt idx="10">
                  <c:v>21781</c:v>
                </c:pt>
                <c:pt idx="11">
                  <c:v>14808</c:v>
                </c:pt>
                <c:pt idx="12">
                  <c:v>49491</c:v>
                </c:pt>
                <c:pt idx="13">
                  <c:v>3435</c:v>
                </c:pt>
                <c:pt idx="14">
                  <c:v>11558</c:v>
                </c:pt>
                <c:pt idx="15">
                  <c:v>0</c:v>
                </c:pt>
                <c:pt idx="16">
                  <c:v>5289</c:v>
                </c:pt>
                <c:pt idx="17">
                  <c:v>0</c:v>
                </c:pt>
                <c:pt idx="18">
                  <c:v>472</c:v>
                </c:pt>
                <c:pt idx="19">
                  <c:v>0</c:v>
                </c:pt>
                <c:pt idx="20">
                  <c:v>0</c:v>
                </c:pt>
                <c:pt idx="21">
                  <c:v>1422</c:v>
                </c:pt>
                <c:pt idx="22">
                  <c:v>4777</c:v>
                </c:pt>
                <c:pt idx="23">
                  <c:v>78884</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2025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SUMMARY'!$F$32:$F$55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SUMMARY'!$G$32:$G$55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8C16-44D1-B4ED-52863D21BCB7}"/>
            </c:ext>
          </c:extLst>
        </c:ser>
        <c:ser>
          <c:idx val="7"/>
          <c:order val="6"/>
          <c:tx>
            <c:strRef>
              <c:f>'IE SUMMARY'!$H$31</c:f>
              <c:strCache>
                <c:ptCount val="1"/>
                <c:pt idx="0">
                  <c:v>BVG Default</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'IE SUMMARY'!$H$32:$H$55</c:f>
              <c:numCache>
                <c:formatCode>"$"#,##0_);[Red]\("$"#,##0\)</c:formatCode>
                <c:ptCount val="24"/>
                <c:pt idx="0">
                  <c:v>40000</c:v>
                </c:pt>
                <c:pt idx="1">
                  <c:v>680</c:v>
                </c:pt>
                <c:pt idx="2">
                  <c:v>2400</c:v>
                </c:pt>
                <c:pt idx="3">
                  <c:v>0</c:v>
                </c:pt>
                <c:pt idx="4">
                  <c:v>0</c:v>
                </c:pt>
                <c:pt idx="5">
                  <c:v>0</c:v>
                </c:pt>
                <c:pt idx="6">
                  <c:v>0</c:v>
                </c:pt>
                <c:pt idx="7">
                  <c:v>0</c:v>
                </c:pt>
                <c:pt idx="8">
                  <c:v>0</c:v>
                </c:pt>
                <c:pt idx="9">
                  <c:v>0</c:v>
                </c:pt>
                <c:pt idx="10">
                  <c:v>25000</c:v>
                </c:pt>
                <c:pt idx="11">
                  <c:v>5000</c:v>
                </c:pt>
                <c:pt idx="12">
                  <c:v>5000</c:v>
                </c:pt>
                <c:pt idx="13">
                  <c:v>52250</c:v>
                </c:pt>
                <c:pt idx="14">
                  <c:v>7000</c:v>
                </c:pt>
                <c:pt idx="15">
                  <c:v>0</c:v>
                </c:pt>
                <c:pt idx="16">
                  <c:v>0</c:v>
                </c:pt>
                <c:pt idx="17">
                  <c:v>0</c:v>
                </c:pt>
                <c:pt idx="18">
                  <c:v>0</c:v>
                </c:pt>
                <c:pt idx="19">
                  <c:v>0</c:v>
                </c:pt>
                <c:pt idx="20">
                  <c:v>500</c:v>
                </c:pt>
                <c:pt idx="21">
                  <c:v>250</c:v>
                </c:pt>
                <c:pt idx="22">
                  <c:v>2000</c:v>
                </c:pt>
                <c:pt idx="23">
                  <c:v>21985.700000000004</c:v>
                </c:pt>
              </c:numCache>
            </c:numRef>
          </c:val>
          <c:extLst>
            <c:ext xmlns:c16="http://schemas.microsoft.com/office/drawing/2014/chart" uri="{C3380CC4-5D6E-409C-BE32-E72D297353CC}">
              <c16:uniqueId val="{00000002-F9C9-49B9-87C3-B7C20CF1A70D}"/>
            </c:ext>
          </c:extLst>
        </c:ser>
        <c:ser>
          <c:idx val="6"/>
          <c:order val="7"/>
          <c:tx>
            <c:strRef>
              <c:f>'IE SUMMARY'!$I$31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SUMMARY'!$I$32:$I$55</c:f>
              <c:numCache>
                <c:formatCode>"$"#,##0_);[Red]\("$"#,##0\)</c:formatCode>
                <c:ptCount val="24"/>
                <c:pt idx="0">
                  <c:v>25898</c:v>
                </c:pt>
                <c:pt idx="1">
                  <c:v>4402.6600000000008</c:v>
                </c:pt>
                <c:pt idx="2">
                  <c:v>1553.8799999999997</c:v>
                </c:pt>
                <c:pt idx="3">
                  <c:v>2848.86</c:v>
                </c:pt>
                <c:pt idx="4">
                  <c:v>0</c:v>
                </c:pt>
                <c:pt idx="5">
                  <c:v>13598.64</c:v>
                </c:pt>
                <c:pt idx="6">
                  <c:v>0</c:v>
                </c:pt>
                <c:pt idx="7">
                  <c:v>10921.14</c:v>
                </c:pt>
                <c:pt idx="8">
                  <c:v>4000</c:v>
                </c:pt>
                <c:pt idx="9">
                  <c:v>2500</c:v>
                </c:pt>
                <c:pt idx="10">
                  <c:v>25000</c:v>
                </c:pt>
                <c:pt idx="11">
                  <c:v>15104.16</c:v>
                </c:pt>
                <c:pt idx="12">
                  <c:v>50480.819999999992</c:v>
                </c:pt>
                <c:pt idx="13">
                  <c:v>42367</c:v>
                </c:pt>
                <c:pt idx="14">
                  <c:v>7000</c:v>
                </c:pt>
                <c:pt idx="15">
                  <c:v>1095</c:v>
                </c:pt>
                <c:pt idx="16">
                  <c:v>2500</c:v>
                </c:pt>
                <c:pt idx="17">
                  <c:v>1700</c:v>
                </c:pt>
                <c:pt idx="18">
                  <c:v>0</c:v>
                </c:pt>
                <c:pt idx="19">
                  <c:v>2450</c:v>
                </c:pt>
                <c:pt idx="20">
                  <c:v>0</c:v>
                </c:pt>
                <c:pt idx="21">
                  <c:v>1800</c:v>
                </c:pt>
                <c:pt idx="22">
                  <c:v>1500</c:v>
                </c:pt>
                <c:pt idx="23">
                  <c:v>24000</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4504081092237356"/>
          <c:h val="3.249119967471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10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1905</xdr:colOff>
      <xdr:row>29</xdr:row>
      <xdr:rowOff>7620</xdr:rowOff>
    </xdr:from>
    <xdr:to>
      <xdr:col>8</xdr:col>
      <xdr:colOff>640080</xdr:colOff>
      <xdr:row>29</xdr:row>
      <xdr:rowOff>895350</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59080" y="6998970"/>
          <a:ext cx="6572250" cy="887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main changes in value will come from filling</a:t>
          </a:r>
          <a:r>
            <a:rPr lang="en-US" sz="1100" baseline="0">
              <a:solidFill>
                <a:schemeClr val="dk1"/>
              </a:solidFill>
              <a:effectLst/>
              <a:latin typeface="+mn-lt"/>
              <a:ea typeface="+mn-ea"/>
              <a:cs typeface="+mn-cs"/>
            </a:rPr>
            <a:t> t</a:t>
          </a:r>
          <a:r>
            <a:rPr lang="en-US" sz="1100">
              <a:solidFill>
                <a:schemeClr val="dk1"/>
              </a:solidFill>
              <a:effectLst/>
              <a:latin typeface="+mn-lt"/>
              <a:ea typeface="+mn-ea"/>
              <a:cs typeface="+mn-cs"/>
            </a:rPr>
            <a:t>he 28</a:t>
          </a:r>
          <a:r>
            <a:rPr lang="en-US" sz="1100" baseline="0">
              <a:solidFill>
                <a:schemeClr val="dk1"/>
              </a:solidFill>
              <a:effectLst/>
              <a:latin typeface="+mn-lt"/>
              <a:ea typeface="+mn-ea"/>
              <a:cs typeface="+mn-cs"/>
            </a:rPr>
            <a:t> vacant park owned homes.  Filling the vacant homes will bring occupancy to 89% and will increase our NOI by almost $200K by year 3 of ownership.  We are targeting an IRR for investors of 15.2% on this property.</a:t>
          </a:r>
          <a:endParaRPr lang="en-US">
            <a:effectLst/>
          </a:endParaRPr>
        </a:p>
        <a:p>
          <a:endParaRPr lang="en-US" sz="1100"/>
        </a:p>
      </xdr:txBody>
    </xdr:sp>
    <xdr:clientData/>
  </xdr:twoCellAnchor>
  <xdr:twoCellAnchor>
    <xdr:from>
      <xdr:col>1</xdr:col>
      <xdr:colOff>0</xdr:colOff>
      <xdr:row>18</xdr:row>
      <xdr:rowOff>15240</xdr:rowOff>
    </xdr:from>
    <xdr:to>
      <xdr:col>8</xdr:col>
      <xdr:colOff>645795</xdr:colOff>
      <xdr:row>19</xdr:row>
      <xdr:rowOff>28575</xdr:rowOff>
    </xdr:to>
    <xdr:sp macro="" textlink="">
      <xdr:nvSpPr>
        <xdr:cNvPr id="4" name="TextBox 3">
          <a:extLst>
            <a:ext uri="{FF2B5EF4-FFF2-40B4-BE49-F238E27FC236}">
              <a16:creationId xmlns:a16="http://schemas.microsoft.com/office/drawing/2014/main" id="{03B3B327-1FA2-402C-A4BF-B83C3F95014B}"/>
            </a:ext>
          </a:extLst>
        </xdr:cNvPr>
        <xdr:cNvSpPr txBox="1"/>
      </xdr:nvSpPr>
      <xdr:spPr>
        <a:xfrm>
          <a:off x="257175" y="3491865"/>
          <a:ext cx="6579870" cy="2118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Eaglewood Estates presents a rare opportunity to acquire a large-scale mobile home community at a significant discount due to purchasing</a:t>
          </a:r>
          <a:r>
            <a:rPr lang="en-US" sz="1100" baseline="0">
              <a:solidFill>
                <a:schemeClr val="dk1"/>
              </a:solidFill>
              <a:effectLst/>
              <a:latin typeface="+mn-lt"/>
              <a:ea typeface="+mn-ea"/>
              <a:cs typeface="+mn-cs"/>
            </a:rPr>
            <a:t> the park out of receivership at an auction</a:t>
          </a:r>
          <a:r>
            <a:rPr lang="en-US" sz="1100">
              <a:solidFill>
                <a:schemeClr val="dk1"/>
              </a:solidFill>
              <a:effectLst/>
              <a:latin typeface="+mn-lt"/>
              <a:ea typeface="+mn-ea"/>
              <a:cs typeface="+mn-cs"/>
            </a:rPr>
            <a:t>. The park includes 242 sites with paved roads, direct-billed electric and water, and septic sewer—minimizing utility overhead. With 211 park-owned homes—many of which are newer models—and a current lot rent of $585/month that remains below market, the groundwork is laid for a high-yielding value-add strategy.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The location within the Fayetteville MSA and near Interstate 95 offers strong accessibility for residents and workforce demand for affordable housing. Prior court-appointed management began the stabilization process, and BoaVida is well-positioned to complete the turnaround using its in-house home sales and property management teams. With minimal deferred infrastructure needs, Waynesville is expected to generate strong cash flows and long-term appreciation as occupancy, collections, and rental rates increase over the next 24–36 months.</a:t>
          </a:r>
          <a:endParaRPr lang="en-US">
            <a:effectLst/>
          </a:endParaRPr>
        </a:p>
        <a:p>
          <a:endParaRPr lang="en-US" sz="1100"/>
        </a:p>
        <a:p>
          <a:endParaRPr lang="en-US" sz="1100"/>
        </a:p>
      </xdr:txBody>
    </xdr:sp>
    <xdr:clientData/>
  </xdr:twoCellAnchor>
  <xdr:twoCellAnchor editAs="oneCell">
    <xdr:from>
      <xdr:col>0</xdr:col>
      <xdr:colOff>0</xdr:colOff>
      <xdr:row>0</xdr:row>
      <xdr:rowOff>0</xdr:rowOff>
    </xdr:from>
    <xdr:to>
      <xdr:col>2</xdr:col>
      <xdr:colOff>324390</xdr:colOff>
      <xdr:row>4</xdr:row>
      <xdr:rowOff>126364</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20</xdr:row>
      <xdr:rowOff>74296</xdr:rowOff>
    </xdr:from>
    <xdr:to>
      <xdr:col>9</xdr:col>
      <xdr:colOff>0</xdr:colOff>
      <xdr:row>20</xdr:row>
      <xdr:rowOff>809626</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5522596"/>
          <a:ext cx="6505575" cy="735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Additonal cash will be used to upgrade the park</a:t>
          </a:r>
          <a:r>
            <a:rPr lang="en-US" sz="1100" baseline="0">
              <a:solidFill>
                <a:schemeClr val="dk1"/>
              </a:solidFill>
              <a:effectLst/>
              <a:latin typeface="+mn-lt"/>
              <a:ea typeface="+mn-ea"/>
              <a:cs typeface="+mn-cs"/>
            </a:rPr>
            <a:t> signage and marketing strategy to fill vacant park owned homes.  The remainder of the cash will be used to rehab park owned homes and fill the remaining pads in the park with new park owned homes</a:t>
          </a:r>
          <a:endParaRPr lang="en-US">
            <a:effectLst/>
          </a:endParaRPr>
        </a:p>
        <a:p>
          <a:endParaRPr lang="en-US" sz="110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2</xdr:row>
      <xdr:rowOff>123825</xdr:rowOff>
    </xdr:from>
    <xdr:to>
      <xdr:col>14</xdr:col>
      <xdr:colOff>105550</xdr:colOff>
      <xdr:row>21</xdr:row>
      <xdr:rowOff>112500</xdr:rowOff>
    </xdr:to>
    <xdr:pic>
      <xdr:nvPicPr>
        <xdr:cNvPr id="3" name="Picture 2">
          <a:extLst>
            <a:ext uri="{FF2B5EF4-FFF2-40B4-BE49-F238E27FC236}">
              <a16:creationId xmlns:a16="http://schemas.microsoft.com/office/drawing/2014/main" id="{9B5B1BFB-5B3C-6D49-307E-4FA9AAE400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0" y="571500"/>
          <a:ext cx="4087000" cy="3065250"/>
        </a:xfrm>
        <a:prstGeom prst="rect">
          <a:avLst/>
        </a:prstGeom>
      </xdr:spPr>
    </xdr:pic>
    <xdr:clientData/>
  </xdr:twoCellAnchor>
  <xdr:twoCellAnchor editAs="oneCell">
    <xdr:from>
      <xdr:col>0</xdr:col>
      <xdr:colOff>123825</xdr:colOff>
      <xdr:row>22</xdr:row>
      <xdr:rowOff>23775</xdr:rowOff>
    </xdr:from>
    <xdr:to>
      <xdr:col>7</xdr:col>
      <xdr:colOff>76975</xdr:colOff>
      <xdr:row>41</xdr:row>
      <xdr:rowOff>12450</xdr:rowOff>
    </xdr:to>
    <xdr:pic>
      <xdr:nvPicPr>
        <xdr:cNvPr id="7" name="Picture 6">
          <a:extLst>
            <a:ext uri="{FF2B5EF4-FFF2-40B4-BE49-F238E27FC236}">
              <a16:creationId xmlns:a16="http://schemas.microsoft.com/office/drawing/2014/main" id="{EA1FA534-3AF0-146E-332C-BAF815EA93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3709950"/>
          <a:ext cx="4087000" cy="3065250"/>
        </a:xfrm>
        <a:prstGeom prst="rect">
          <a:avLst/>
        </a:prstGeom>
      </xdr:spPr>
    </xdr:pic>
    <xdr:clientData/>
  </xdr:twoCellAnchor>
  <xdr:twoCellAnchor editAs="oneCell">
    <xdr:from>
      <xdr:col>0</xdr:col>
      <xdr:colOff>126150</xdr:colOff>
      <xdr:row>2</xdr:row>
      <xdr:rowOff>135675</xdr:rowOff>
    </xdr:from>
    <xdr:to>
      <xdr:col>7</xdr:col>
      <xdr:colOff>79300</xdr:colOff>
      <xdr:row>21</xdr:row>
      <xdr:rowOff>124350</xdr:rowOff>
    </xdr:to>
    <xdr:pic>
      <xdr:nvPicPr>
        <xdr:cNvPr id="9" name="Picture 8">
          <a:extLst>
            <a:ext uri="{FF2B5EF4-FFF2-40B4-BE49-F238E27FC236}">
              <a16:creationId xmlns:a16="http://schemas.microsoft.com/office/drawing/2014/main" id="{C61AA7A3-F426-E3E9-FE74-1E427D3E9B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150" y="583350"/>
          <a:ext cx="4087000" cy="3065250"/>
        </a:xfrm>
        <a:prstGeom prst="rect">
          <a:avLst/>
        </a:prstGeom>
      </xdr:spPr>
    </xdr:pic>
    <xdr:clientData/>
  </xdr:twoCellAnchor>
  <xdr:twoCellAnchor editAs="oneCell">
    <xdr:from>
      <xdr:col>14</xdr:col>
      <xdr:colOff>171375</xdr:colOff>
      <xdr:row>2</xdr:row>
      <xdr:rowOff>133275</xdr:rowOff>
    </xdr:from>
    <xdr:to>
      <xdr:col>21</xdr:col>
      <xdr:colOff>124525</xdr:colOff>
      <xdr:row>21</xdr:row>
      <xdr:rowOff>121950</xdr:rowOff>
    </xdr:to>
    <xdr:pic>
      <xdr:nvPicPr>
        <xdr:cNvPr id="11" name="Picture 10">
          <a:extLst>
            <a:ext uri="{FF2B5EF4-FFF2-40B4-BE49-F238E27FC236}">
              <a16:creationId xmlns:a16="http://schemas.microsoft.com/office/drawing/2014/main" id="{D2984528-D32B-DB85-AFF3-F2FF5F79E8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39075" y="580950"/>
          <a:ext cx="4087000" cy="3065250"/>
        </a:xfrm>
        <a:prstGeom prst="rect">
          <a:avLst/>
        </a:prstGeom>
      </xdr:spPr>
    </xdr:pic>
    <xdr:clientData/>
  </xdr:twoCellAnchor>
  <xdr:twoCellAnchor editAs="oneCell">
    <xdr:from>
      <xdr:col>0</xdr:col>
      <xdr:colOff>121275</xdr:colOff>
      <xdr:row>60</xdr:row>
      <xdr:rowOff>130800</xdr:rowOff>
    </xdr:from>
    <xdr:to>
      <xdr:col>7</xdr:col>
      <xdr:colOff>74425</xdr:colOff>
      <xdr:row>79</xdr:row>
      <xdr:rowOff>119475</xdr:rowOff>
    </xdr:to>
    <xdr:pic>
      <xdr:nvPicPr>
        <xdr:cNvPr id="21" name="Picture 20">
          <a:extLst>
            <a:ext uri="{FF2B5EF4-FFF2-40B4-BE49-F238E27FC236}">
              <a16:creationId xmlns:a16="http://schemas.microsoft.com/office/drawing/2014/main" id="{89F20861-AF39-EAE5-451A-A3C5ED7D1E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1275" y="9970125"/>
          <a:ext cx="4087000" cy="3065250"/>
        </a:xfrm>
        <a:prstGeom prst="rect">
          <a:avLst/>
        </a:prstGeom>
      </xdr:spPr>
    </xdr:pic>
    <xdr:clientData/>
  </xdr:twoCellAnchor>
  <xdr:twoCellAnchor editAs="oneCell">
    <xdr:from>
      <xdr:col>14</xdr:col>
      <xdr:colOff>242700</xdr:colOff>
      <xdr:row>80</xdr:row>
      <xdr:rowOff>33150</xdr:rowOff>
    </xdr:from>
    <xdr:to>
      <xdr:col>21</xdr:col>
      <xdr:colOff>195850</xdr:colOff>
      <xdr:row>99</xdr:row>
      <xdr:rowOff>21825</xdr:rowOff>
    </xdr:to>
    <xdr:pic>
      <xdr:nvPicPr>
        <xdr:cNvPr id="23" name="Picture 22">
          <a:extLst>
            <a:ext uri="{FF2B5EF4-FFF2-40B4-BE49-F238E27FC236}">
              <a16:creationId xmlns:a16="http://schemas.microsoft.com/office/drawing/2014/main" id="{C239167D-21F0-17AD-76E8-F7F4873715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10400" y="13110975"/>
          <a:ext cx="4087000" cy="3065250"/>
        </a:xfrm>
        <a:prstGeom prst="rect">
          <a:avLst/>
        </a:prstGeom>
      </xdr:spPr>
    </xdr:pic>
    <xdr:clientData/>
  </xdr:twoCellAnchor>
  <xdr:twoCellAnchor editAs="oneCell">
    <xdr:from>
      <xdr:col>7</xdr:col>
      <xdr:colOff>145050</xdr:colOff>
      <xdr:row>22</xdr:row>
      <xdr:rowOff>11700</xdr:rowOff>
    </xdr:from>
    <xdr:to>
      <xdr:col>14</xdr:col>
      <xdr:colOff>98200</xdr:colOff>
      <xdr:row>41</xdr:row>
      <xdr:rowOff>375</xdr:rowOff>
    </xdr:to>
    <xdr:pic>
      <xdr:nvPicPr>
        <xdr:cNvPr id="25" name="Picture 24">
          <a:extLst>
            <a:ext uri="{FF2B5EF4-FFF2-40B4-BE49-F238E27FC236}">
              <a16:creationId xmlns:a16="http://schemas.microsoft.com/office/drawing/2014/main" id="{FC7B852B-E5B7-E693-9FEF-B9941B2628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78900" y="3697875"/>
          <a:ext cx="4087000" cy="3065250"/>
        </a:xfrm>
        <a:prstGeom prst="rect">
          <a:avLst/>
        </a:prstGeom>
      </xdr:spPr>
    </xdr:pic>
    <xdr:clientData/>
  </xdr:twoCellAnchor>
  <xdr:twoCellAnchor editAs="oneCell">
    <xdr:from>
      <xdr:col>14</xdr:col>
      <xdr:colOff>161700</xdr:colOff>
      <xdr:row>22</xdr:row>
      <xdr:rowOff>9300</xdr:rowOff>
    </xdr:from>
    <xdr:to>
      <xdr:col>21</xdr:col>
      <xdr:colOff>114850</xdr:colOff>
      <xdr:row>40</xdr:row>
      <xdr:rowOff>159900</xdr:rowOff>
    </xdr:to>
    <xdr:pic>
      <xdr:nvPicPr>
        <xdr:cNvPr id="27" name="Picture 26">
          <a:extLst>
            <a:ext uri="{FF2B5EF4-FFF2-40B4-BE49-F238E27FC236}">
              <a16:creationId xmlns:a16="http://schemas.microsoft.com/office/drawing/2014/main" id="{71A267AC-41D1-96C4-42EB-DEC0FF7FFA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400" y="3695475"/>
          <a:ext cx="4087000" cy="3065250"/>
        </a:xfrm>
        <a:prstGeom prst="rect">
          <a:avLst/>
        </a:prstGeom>
      </xdr:spPr>
    </xdr:pic>
    <xdr:clientData/>
  </xdr:twoCellAnchor>
  <xdr:twoCellAnchor editAs="oneCell">
    <xdr:from>
      <xdr:col>14</xdr:col>
      <xdr:colOff>206925</xdr:colOff>
      <xdr:row>60</xdr:row>
      <xdr:rowOff>111675</xdr:rowOff>
    </xdr:from>
    <xdr:to>
      <xdr:col>21</xdr:col>
      <xdr:colOff>160075</xdr:colOff>
      <xdr:row>79</xdr:row>
      <xdr:rowOff>100350</xdr:rowOff>
    </xdr:to>
    <xdr:pic>
      <xdr:nvPicPr>
        <xdr:cNvPr id="29" name="Picture 28">
          <a:extLst>
            <a:ext uri="{FF2B5EF4-FFF2-40B4-BE49-F238E27FC236}">
              <a16:creationId xmlns:a16="http://schemas.microsoft.com/office/drawing/2014/main" id="{B3235B3D-1BFB-65D6-F6FC-97E92690BA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74625" y="9951000"/>
          <a:ext cx="4087000" cy="3065250"/>
        </a:xfrm>
        <a:prstGeom prst="rect">
          <a:avLst/>
        </a:prstGeom>
      </xdr:spPr>
    </xdr:pic>
    <xdr:clientData/>
  </xdr:twoCellAnchor>
  <xdr:twoCellAnchor editAs="oneCell">
    <xdr:from>
      <xdr:col>21</xdr:col>
      <xdr:colOff>190200</xdr:colOff>
      <xdr:row>2</xdr:row>
      <xdr:rowOff>133050</xdr:rowOff>
    </xdr:from>
    <xdr:to>
      <xdr:col>28</xdr:col>
      <xdr:colOff>143350</xdr:colOff>
      <xdr:row>21</xdr:row>
      <xdr:rowOff>121725</xdr:rowOff>
    </xdr:to>
    <xdr:pic>
      <xdr:nvPicPr>
        <xdr:cNvPr id="35" name="Picture 34">
          <a:extLst>
            <a:ext uri="{FF2B5EF4-FFF2-40B4-BE49-F238E27FC236}">
              <a16:creationId xmlns:a16="http://schemas.microsoft.com/office/drawing/2014/main" id="{7605BC2B-C213-DD79-F133-420E1F62E5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591750" y="580725"/>
          <a:ext cx="4087000" cy="3065250"/>
        </a:xfrm>
        <a:prstGeom prst="rect">
          <a:avLst/>
        </a:prstGeom>
      </xdr:spPr>
    </xdr:pic>
    <xdr:clientData/>
  </xdr:twoCellAnchor>
  <xdr:twoCellAnchor editAs="oneCell">
    <xdr:from>
      <xdr:col>0</xdr:col>
      <xdr:colOff>130650</xdr:colOff>
      <xdr:row>80</xdr:row>
      <xdr:rowOff>63975</xdr:rowOff>
    </xdr:from>
    <xdr:to>
      <xdr:col>7</xdr:col>
      <xdr:colOff>83800</xdr:colOff>
      <xdr:row>99</xdr:row>
      <xdr:rowOff>52650</xdr:rowOff>
    </xdr:to>
    <xdr:pic>
      <xdr:nvPicPr>
        <xdr:cNvPr id="37" name="Picture 36">
          <a:extLst>
            <a:ext uri="{FF2B5EF4-FFF2-40B4-BE49-F238E27FC236}">
              <a16:creationId xmlns:a16="http://schemas.microsoft.com/office/drawing/2014/main" id="{8BBE5372-85F8-9F61-1EC8-E5B6A542C5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0" y="13141800"/>
          <a:ext cx="4087000" cy="3065250"/>
        </a:xfrm>
        <a:prstGeom prst="rect">
          <a:avLst/>
        </a:prstGeom>
      </xdr:spPr>
    </xdr:pic>
    <xdr:clientData/>
  </xdr:twoCellAnchor>
  <xdr:twoCellAnchor editAs="oneCell">
    <xdr:from>
      <xdr:col>7</xdr:col>
      <xdr:colOff>137775</xdr:colOff>
      <xdr:row>41</xdr:row>
      <xdr:rowOff>71100</xdr:rowOff>
    </xdr:from>
    <xdr:to>
      <xdr:col>14</xdr:col>
      <xdr:colOff>90925</xdr:colOff>
      <xdr:row>60</xdr:row>
      <xdr:rowOff>59775</xdr:rowOff>
    </xdr:to>
    <xdr:pic>
      <xdr:nvPicPr>
        <xdr:cNvPr id="39" name="Picture 38">
          <a:extLst>
            <a:ext uri="{FF2B5EF4-FFF2-40B4-BE49-F238E27FC236}">
              <a16:creationId xmlns:a16="http://schemas.microsoft.com/office/drawing/2014/main" id="{F7D10270-CEAE-467C-BC4A-27B949AB24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71625" y="6833850"/>
          <a:ext cx="4087000" cy="3065250"/>
        </a:xfrm>
        <a:prstGeom prst="rect">
          <a:avLst/>
        </a:prstGeom>
      </xdr:spPr>
    </xdr:pic>
    <xdr:clientData/>
  </xdr:twoCellAnchor>
  <xdr:twoCellAnchor editAs="oneCell">
    <xdr:from>
      <xdr:col>7</xdr:col>
      <xdr:colOff>183000</xdr:colOff>
      <xdr:row>80</xdr:row>
      <xdr:rowOff>59175</xdr:rowOff>
    </xdr:from>
    <xdr:to>
      <xdr:col>14</xdr:col>
      <xdr:colOff>136150</xdr:colOff>
      <xdr:row>99</xdr:row>
      <xdr:rowOff>47850</xdr:rowOff>
    </xdr:to>
    <xdr:pic>
      <xdr:nvPicPr>
        <xdr:cNvPr id="41" name="Picture 40">
          <a:extLst>
            <a:ext uri="{FF2B5EF4-FFF2-40B4-BE49-F238E27FC236}">
              <a16:creationId xmlns:a16="http://schemas.microsoft.com/office/drawing/2014/main" id="{D3213C03-68EF-456E-FF9C-FE299BAEFE8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16850" y="13137000"/>
          <a:ext cx="4087000" cy="3065250"/>
        </a:xfrm>
        <a:prstGeom prst="rect">
          <a:avLst/>
        </a:prstGeom>
      </xdr:spPr>
    </xdr:pic>
    <xdr:clientData/>
  </xdr:twoCellAnchor>
  <xdr:twoCellAnchor editAs="oneCell">
    <xdr:from>
      <xdr:col>21</xdr:col>
      <xdr:colOff>192450</xdr:colOff>
      <xdr:row>22</xdr:row>
      <xdr:rowOff>11475</xdr:rowOff>
    </xdr:from>
    <xdr:to>
      <xdr:col>28</xdr:col>
      <xdr:colOff>145600</xdr:colOff>
      <xdr:row>41</xdr:row>
      <xdr:rowOff>150</xdr:rowOff>
    </xdr:to>
    <xdr:pic>
      <xdr:nvPicPr>
        <xdr:cNvPr id="49" name="Picture 48">
          <a:extLst>
            <a:ext uri="{FF2B5EF4-FFF2-40B4-BE49-F238E27FC236}">
              <a16:creationId xmlns:a16="http://schemas.microsoft.com/office/drawing/2014/main" id="{5A72974F-A07B-59F0-597C-60F1FA6E01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594000" y="3697650"/>
          <a:ext cx="4087000" cy="3065250"/>
        </a:xfrm>
        <a:prstGeom prst="rect">
          <a:avLst/>
        </a:prstGeom>
      </xdr:spPr>
    </xdr:pic>
    <xdr:clientData/>
  </xdr:twoCellAnchor>
  <xdr:twoCellAnchor editAs="oneCell">
    <xdr:from>
      <xdr:col>14</xdr:col>
      <xdr:colOff>168600</xdr:colOff>
      <xdr:row>41</xdr:row>
      <xdr:rowOff>44775</xdr:rowOff>
    </xdr:from>
    <xdr:to>
      <xdr:col>21</xdr:col>
      <xdr:colOff>121750</xdr:colOff>
      <xdr:row>60</xdr:row>
      <xdr:rowOff>33450</xdr:rowOff>
    </xdr:to>
    <xdr:pic>
      <xdr:nvPicPr>
        <xdr:cNvPr id="53" name="Picture 52">
          <a:extLst>
            <a:ext uri="{FF2B5EF4-FFF2-40B4-BE49-F238E27FC236}">
              <a16:creationId xmlns:a16="http://schemas.microsoft.com/office/drawing/2014/main" id="{F86545BC-678A-13E3-2250-AD6F047D25B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36300" y="6807525"/>
          <a:ext cx="4087000" cy="3065250"/>
        </a:xfrm>
        <a:prstGeom prst="rect">
          <a:avLst/>
        </a:prstGeom>
      </xdr:spPr>
    </xdr:pic>
    <xdr:clientData/>
  </xdr:twoCellAnchor>
  <xdr:twoCellAnchor editAs="oneCell">
    <xdr:from>
      <xdr:col>7</xdr:col>
      <xdr:colOff>125700</xdr:colOff>
      <xdr:row>60</xdr:row>
      <xdr:rowOff>125700</xdr:rowOff>
    </xdr:from>
    <xdr:to>
      <xdr:col>14</xdr:col>
      <xdr:colOff>78850</xdr:colOff>
      <xdr:row>79</xdr:row>
      <xdr:rowOff>114375</xdr:rowOff>
    </xdr:to>
    <xdr:pic>
      <xdr:nvPicPr>
        <xdr:cNvPr id="57" name="Picture 56">
          <a:extLst>
            <a:ext uri="{FF2B5EF4-FFF2-40B4-BE49-F238E27FC236}">
              <a16:creationId xmlns:a16="http://schemas.microsoft.com/office/drawing/2014/main" id="{A0FE992F-2FCB-6F8A-85B8-DC4E0AB6AF9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59550" y="9965025"/>
          <a:ext cx="4087000" cy="3065250"/>
        </a:xfrm>
        <a:prstGeom prst="rect">
          <a:avLst/>
        </a:prstGeom>
      </xdr:spPr>
    </xdr:pic>
    <xdr:clientData/>
  </xdr:twoCellAnchor>
  <xdr:twoCellAnchor editAs="oneCell">
    <xdr:from>
      <xdr:col>0</xdr:col>
      <xdr:colOff>120900</xdr:colOff>
      <xdr:row>41</xdr:row>
      <xdr:rowOff>82800</xdr:rowOff>
    </xdr:from>
    <xdr:to>
      <xdr:col>7</xdr:col>
      <xdr:colOff>74050</xdr:colOff>
      <xdr:row>60</xdr:row>
      <xdr:rowOff>71475</xdr:rowOff>
    </xdr:to>
    <xdr:pic>
      <xdr:nvPicPr>
        <xdr:cNvPr id="61" name="Picture 60">
          <a:extLst>
            <a:ext uri="{FF2B5EF4-FFF2-40B4-BE49-F238E27FC236}">
              <a16:creationId xmlns:a16="http://schemas.microsoft.com/office/drawing/2014/main" id="{D5D90566-4885-ED40-50B2-7B24275119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0900" y="6845550"/>
          <a:ext cx="4087000" cy="3065250"/>
        </a:xfrm>
        <a:prstGeom prst="rect">
          <a:avLst/>
        </a:prstGeom>
      </xdr:spPr>
    </xdr:pic>
    <xdr:clientData/>
  </xdr:twoCellAnchor>
  <xdr:twoCellAnchor editAs="oneCell">
    <xdr:from>
      <xdr:col>21</xdr:col>
      <xdr:colOff>175650</xdr:colOff>
      <xdr:row>41</xdr:row>
      <xdr:rowOff>61350</xdr:rowOff>
    </xdr:from>
    <xdr:to>
      <xdr:col>28</xdr:col>
      <xdr:colOff>128800</xdr:colOff>
      <xdr:row>60</xdr:row>
      <xdr:rowOff>50025</xdr:rowOff>
    </xdr:to>
    <xdr:pic>
      <xdr:nvPicPr>
        <xdr:cNvPr id="63" name="Picture 62">
          <a:extLst>
            <a:ext uri="{FF2B5EF4-FFF2-40B4-BE49-F238E27FC236}">
              <a16:creationId xmlns:a16="http://schemas.microsoft.com/office/drawing/2014/main" id="{31ACB760-9F70-26B5-B604-61CD6F31F8C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577200" y="6824100"/>
          <a:ext cx="4087000" cy="3065250"/>
        </a:xfrm>
        <a:prstGeom prst="rect">
          <a:avLst/>
        </a:prstGeom>
      </xdr:spPr>
    </xdr:pic>
    <xdr:clientData/>
  </xdr:twoCellAnchor>
  <xdr:twoCellAnchor editAs="oneCell">
    <xdr:from>
      <xdr:col>21</xdr:col>
      <xdr:colOff>220875</xdr:colOff>
      <xdr:row>60</xdr:row>
      <xdr:rowOff>97050</xdr:rowOff>
    </xdr:from>
    <xdr:to>
      <xdr:col>28</xdr:col>
      <xdr:colOff>174025</xdr:colOff>
      <xdr:row>79</xdr:row>
      <xdr:rowOff>85725</xdr:rowOff>
    </xdr:to>
    <xdr:pic>
      <xdr:nvPicPr>
        <xdr:cNvPr id="65" name="Picture 64">
          <a:extLst>
            <a:ext uri="{FF2B5EF4-FFF2-40B4-BE49-F238E27FC236}">
              <a16:creationId xmlns:a16="http://schemas.microsoft.com/office/drawing/2014/main" id="{89CB991D-41D8-89A8-349D-E6FECEEAF88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622425" y="9936375"/>
          <a:ext cx="4087000" cy="3065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670421" cy="6284720"/>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9"/>
  <sheetViews>
    <sheetView tabSelected="1" workbookViewId="0">
      <selection activeCell="C1" sqref="C1"/>
    </sheetView>
  </sheetViews>
  <sheetFormatPr baseColWidth="10" defaultColWidth="8.83203125" defaultRowHeight="13" x14ac:dyDescent="0.15"/>
  <cols>
    <col min="1" max="1" width="3.83203125" customWidth="1"/>
    <col min="2" max="2" width="15.6640625" customWidth="1"/>
    <col min="3" max="3" width="13" customWidth="1"/>
    <col min="4" max="4" width="11.33203125" customWidth="1"/>
    <col min="5" max="5" width="12.83203125" customWidth="1"/>
    <col min="6" max="6" width="11" customWidth="1"/>
    <col min="7" max="7" width="14" customWidth="1"/>
    <col min="8" max="8" width="11.1640625" customWidth="1"/>
    <col min="9" max="9" width="9.6640625" customWidth="1"/>
  </cols>
  <sheetData>
    <row r="6" spans="2:9" x14ac:dyDescent="0.15">
      <c r="B6" s="11" t="str">
        <f>Proforma!C1</f>
        <v xml:space="preserve">Eaglewood - 7721 NC-41, Lumberton, NC 28358 </v>
      </c>
    </row>
    <row r="8" spans="2:9" ht="33" customHeight="1" x14ac:dyDescent="0.15">
      <c r="B8" s="619" t="s">
        <v>0</v>
      </c>
      <c r="C8" s="619" t="s">
        <v>1</v>
      </c>
      <c r="D8" s="619" t="s">
        <v>2</v>
      </c>
      <c r="E8" s="619" t="s">
        <v>3</v>
      </c>
      <c r="F8" s="619" t="s">
        <v>4</v>
      </c>
      <c r="G8" s="619" t="s">
        <v>5</v>
      </c>
      <c r="H8" s="619" t="s">
        <v>6</v>
      </c>
      <c r="I8" s="619" t="s">
        <v>7</v>
      </c>
    </row>
    <row r="9" spans="2:9" ht="26" customHeight="1" x14ac:dyDescent="0.15">
      <c r="B9" s="620">
        <f>'Financial Summary'!B5</f>
        <v>4750000</v>
      </c>
      <c r="C9" s="621">
        <f>Proforma!D15</f>
        <v>100</v>
      </c>
      <c r="D9" s="620">
        <f>B9/C9</f>
        <v>47500</v>
      </c>
      <c r="E9" s="620">
        <f>Proforma!D5</f>
        <v>559999.5</v>
      </c>
      <c r="F9" s="622">
        <f>Proforma!G15</f>
        <v>0.39</v>
      </c>
      <c r="G9" s="621">
        <f>Proforma!D17</f>
        <v>73</v>
      </c>
      <c r="H9" s="622">
        <f ca="1">Proforma!D8</f>
        <v>3.7475302963776179E-2</v>
      </c>
      <c r="I9" s="622">
        <f ca="1">Proforma!D134</f>
        <v>0.15227236329139227</v>
      </c>
    </row>
    <row r="11" spans="2:9" ht="15" x14ac:dyDescent="0.15">
      <c r="B11" s="105" t="s">
        <v>8</v>
      </c>
    </row>
    <row r="12" spans="2:9" ht="13.25" customHeight="1" x14ac:dyDescent="0.15">
      <c r="B12" s="67" t="s">
        <v>637</v>
      </c>
      <c r="C12" s="67"/>
      <c r="D12" s="67"/>
      <c r="E12" s="67"/>
      <c r="F12" s="67" t="s">
        <v>629</v>
      </c>
      <c r="G12" s="67"/>
      <c r="H12" s="67"/>
      <c r="I12" s="67"/>
    </row>
    <row r="13" spans="2:9" ht="15" x14ac:dyDescent="0.15">
      <c r="B13" s="67" t="s">
        <v>630</v>
      </c>
      <c r="C13" s="67"/>
      <c r="D13" s="67"/>
      <c r="E13" s="67"/>
      <c r="F13" s="67" t="s">
        <v>631</v>
      </c>
      <c r="G13" s="67"/>
      <c r="H13" s="67"/>
      <c r="I13" s="67"/>
    </row>
    <row r="14" spans="2:9" ht="15" x14ac:dyDescent="0.15">
      <c r="B14" s="67" t="s">
        <v>632</v>
      </c>
      <c r="C14" s="67"/>
      <c r="D14" s="67"/>
      <c r="E14" s="67"/>
      <c r="F14" s="67" t="s">
        <v>633</v>
      </c>
      <c r="G14" s="67"/>
      <c r="H14" s="67"/>
      <c r="I14" s="67"/>
    </row>
    <row r="15" spans="2:9" ht="15" x14ac:dyDescent="0.15">
      <c r="B15" s="67" t="s">
        <v>634</v>
      </c>
      <c r="C15" s="67"/>
      <c r="D15" s="67"/>
      <c r="E15" s="67"/>
      <c r="F15" s="67" t="s">
        <v>635</v>
      </c>
      <c r="H15" s="67"/>
      <c r="I15" s="67"/>
    </row>
    <row r="16" spans="2:9" ht="13.25" customHeight="1" x14ac:dyDescent="0.15">
      <c r="B16" s="67" t="s">
        <v>636</v>
      </c>
    </row>
    <row r="18" spans="2:9" ht="15" x14ac:dyDescent="0.15">
      <c r="B18" s="105" t="s">
        <v>9</v>
      </c>
    </row>
    <row r="19" spans="2:9" ht="171" customHeight="1" x14ac:dyDescent="0.15">
      <c r="B19" s="751"/>
      <c r="C19" s="751"/>
      <c r="D19" s="751"/>
      <c r="E19" s="751"/>
      <c r="F19" s="751"/>
      <c r="G19" s="751"/>
      <c r="H19" s="751"/>
      <c r="I19" s="751"/>
    </row>
    <row r="20" spans="2:9" ht="15" x14ac:dyDescent="0.15">
      <c r="B20" s="105" t="s">
        <v>10</v>
      </c>
      <c r="C20" s="513"/>
      <c r="D20" s="513"/>
      <c r="E20" s="513"/>
      <c r="F20" s="513"/>
      <c r="G20" s="513"/>
      <c r="H20" s="513"/>
      <c r="I20" s="513"/>
    </row>
    <row r="21" spans="2:9" ht="70.5" customHeight="1" x14ac:dyDescent="0.15">
      <c r="B21" s="4"/>
      <c r="C21" s="513"/>
      <c r="D21" s="513"/>
      <c r="E21" s="513"/>
      <c r="F21" s="513"/>
      <c r="G21" s="513"/>
      <c r="H21" s="513"/>
      <c r="I21" s="513"/>
    </row>
    <row r="22" spans="2:9" ht="15" hidden="1" x14ac:dyDescent="0.15">
      <c r="B22" s="5"/>
      <c r="C22" s="513"/>
      <c r="D22" s="513"/>
      <c r="E22" s="513"/>
      <c r="F22" s="513"/>
      <c r="G22" s="513"/>
      <c r="H22" s="513"/>
      <c r="I22" s="513"/>
    </row>
    <row r="23" spans="2:9" ht="15" hidden="1" x14ac:dyDescent="0.15">
      <c r="B23" s="5"/>
      <c r="C23" s="513"/>
      <c r="D23" s="513"/>
      <c r="E23" s="513"/>
      <c r="F23" s="513"/>
      <c r="G23" s="513"/>
      <c r="H23" s="513"/>
      <c r="I23" s="513"/>
    </row>
    <row r="24" spans="2:9" ht="15" hidden="1" x14ac:dyDescent="0.15">
      <c r="B24" s="5"/>
    </row>
    <row r="25" spans="2:9" ht="15" hidden="1" x14ac:dyDescent="0.15">
      <c r="B25" s="5"/>
    </row>
    <row r="26" spans="2:9" hidden="1" x14ac:dyDescent="0.15"/>
    <row r="27" spans="2:9" hidden="1" x14ac:dyDescent="0.15"/>
    <row r="28" spans="2:9" hidden="1" x14ac:dyDescent="0.15"/>
    <row r="29" spans="2:9" ht="20.5" customHeight="1" x14ac:dyDescent="0.15">
      <c r="B29" s="105" t="s">
        <v>11</v>
      </c>
    </row>
    <row r="30" spans="2:9" ht="79.5" customHeight="1" x14ac:dyDescent="0.15">
      <c r="B30" s="752"/>
      <c r="C30" s="753"/>
      <c r="D30" s="753"/>
      <c r="E30" s="753"/>
      <c r="F30" s="753"/>
      <c r="G30" s="753"/>
      <c r="H30" s="753"/>
    </row>
    <row r="31" spans="2:9" ht="15" x14ac:dyDescent="0.15">
      <c r="B31" s="5"/>
    </row>
    <row r="32" spans="2:9" ht="14" thickBot="1" x14ac:dyDescent="0.2"/>
    <row r="33" spans="2:9" ht="15" x14ac:dyDescent="0.15">
      <c r="B33" s="106" t="s">
        <v>12</v>
      </c>
      <c r="C33" s="106" t="s">
        <v>13</v>
      </c>
      <c r="D33" s="106" t="s">
        <v>4</v>
      </c>
      <c r="E33" s="106" t="s">
        <v>14</v>
      </c>
      <c r="F33" s="107" t="s">
        <v>15</v>
      </c>
      <c r="G33" s="108"/>
    </row>
    <row r="34" spans="2:9" ht="27.75" customHeight="1" thickBot="1" x14ac:dyDescent="0.2">
      <c r="B34" s="2">
        <f ca="1">Proforma!J102</f>
        <v>6645258.7720052656</v>
      </c>
      <c r="C34" s="65">
        <f ca="1">B34/C9</f>
        <v>66452.587720052659</v>
      </c>
      <c r="D34" s="3">
        <f>Proforma!E38</f>
        <v>0.09</v>
      </c>
      <c r="E34" s="3">
        <f>Proforma!D9</f>
        <v>6.5000000000000002E-2</v>
      </c>
      <c r="F34" s="749">
        <f ca="1">Proforma!D136/-Proforma!E130</f>
        <v>1.2450671769398656</v>
      </c>
      <c r="G34" s="750"/>
    </row>
    <row r="35" spans="2:9" ht="14" thickBot="1" x14ac:dyDescent="0.2"/>
    <row r="36" spans="2:9" ht="18" x14ac:dyDescent="0.2">
      <c r="B36" s="78" t="s">
        <v>16</v>
      </c>
      <c r="C36" s="79"/>
      <c r="D36" s="79"/>
      <c r="E36" s="79"/>
      <c r="F36" s="79"/>
      <c r="G36" s="79"/>
      <c r="H36" s="79"/>
      <c r="I36" s="80"/>
    </row>
    <row r="37" spans="2:9" x14ac:dyDescent="0.15">
      <c r="B37" s="81"/>
      <c r="C37" s="44"/>
      <c r="D37" s="44"/>
      <c r="E37" s="44"/>
      <c r="F37" s="44"/>
      <c r="G37" s="44"/>
      <c r="H37" s="44"/>
      <c r="I37" s="514"/>
    </row>
    <row r="38" spans="2:9" ht="13.25" customHeight="1" thickBot="1" x14ac:dyDescent="0.25">
      <c r="B38" s="100" t="s">
        <v>17</v>
      </c>
      <c r="C38" s="66"/>
      <c r="D38" s="82">
        <f>-Proforma!E115</f>
        <v>2419999.5</v>
      </c>
      <c r="E38" s="754" t="str">
        <f>TEXT(Proforma!K22,"0%")&amp;" preferred return paid to investors.  All cash flow including refinance proceeds above the "&amp;TEXT(Proforma!K22,"0%")&amp;" preferred shall be paid to investors until 100% of their investment is returned.  After 100% of the original capital has been returned, then investors and BVG shall split the cash flow and refinance proceeds "&amp;TEXT(Proforma!K20,"00%")&amp;"/"&amp;TEXT(Proforma!K21,"00%")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50%/50%</v>
      </c>
      <c r="F38" s="754"/>
      <c r="G38" s="754"/>
      <c r="H38" s="754"/>
      <c r="I38" s="755"/>
    </row>
    <row r="39" spans="2:9" ht="16" thickBot="1" x14ac:dyDescent="0.25">
      <c r="B39" s="102" t="s">
        <v>18</v>
      </c>
      <c r="C39" s="103"/>
      <c r="D39" s="104">
        <f>D38</f>
        <v>2419999.5</v>
      </c>
      <c r="E39" s="754"/>
      <c r="F39" s="754"/>
      <c r="G39" s="754"/>
      <c r="H39" s="754"/>
      <c r="I39" s="755"/>
    </row>
    <row r="40" spans="2:9" ht="14" x14ac:dyDescent="0.2">
      <c r="B40" s="100" t="s">
        <v>19</v>
      </c>
      <c r="C40" s="66"/>
      <c r="D40" s="83">
        <f>IF(InvestorPromote=50%,D39/(D38/5000),D39/(D38/6000))</f>
        <v>5000</v>
      </c>
      <c r="E40" s="754"/>
      <c r="F40" s="754"/>
      <c r="G40" s="754"/>
      <c r="H40" s="754"/>
      <c r="I40" s="755"/>
    </row>
    <row r="41" spans="2:9" ht="14" x14ac:dyDescent="0.2">
      <c r="B41" s="97"/>
      <c r="C41" s="66" t="s">
        <v>20</v>
      </c>
      <c r="D41" s="96">
        <f>D40/10000</f>
        <v>0.5</v>
      </c>
      <c r="E41" s="754"/>
      <c r="F41" s="754"/>
      <c r="G41" s="754"/>
      <c r="H41" s="754"/>
      <c r="I41" s="755"/>
    </row>
    <row r="42" spans="2:9" ht="14" x14ac:dyDescent="0.2">
      <c r="B42" s="101"/>
      <c r="C42" s="66"/>
      <c r="D42" s="82"/>
      <c r="E42" s="754"/>
      <c r="F42" s="754"/>
      <c r="G42" s="754"/>
      <c r="H42" s="754"/>
      <c r="I42" s="755"/>
    </row>
    <row r="43" spans="2:9" ht="14" x14ac:dyDescent="0.2">
      <c r="B43" s="101"/>
      <c r="C43" s="66"/>
      <c r="D43" s="84"/>
      <c r="E43" s="85"/>
      <c r="F43" s="85"/>
      <c r="G43" s="85"/>
      <c r="H43" s="85"/>
      <c r="I43" s="86"/>
    </row>
    <row r="44" spans="2:9" ht="14" x14ac:dyDescent="0.2">
      <c r="B44" s="97" t="s">
        <v>21</v>
      </c>
      <c r="C44" s="66"/>
      <c r="D44" s="66"/>
      <c r="E44" s="98" t="s">
        <v>22</v>
      </c>
      <c r="F44" s="98" t="s">
        <v>23</v>
      </c>
      <c r="G44" s="98" t="s">
        <v>24</v>
      </c>
      <c r="H44" s="98" t="s">
        <v>25</v>
      </c>
      <c r="I44" s="99" t="s">
        <v>26</v>
      </c>
    </row>
    <row r="45" spans="2:9" ht="14" x14ac:dyDescent="0.2">
      <c r="B45" s="97"/>
      <c r="C45" s="66"/>
      <c r="D45" s="66"/>
      <c r="E45" s="87">
        <f ca="1">$D$39*E46</f>
        <v>162983.64833333335</v>
      </c>
      <c r="F45" s="87">
        <f t="shared" ref="F45:I45" ca="1" si="0">$D$39*F46</f>
        <v>281575.93113333336</v>
      </c>
      <c r="G45" s="87">
        <f t="shared" ca="1" si="0"/>
        <v>346267.47487463953</v>
      </c>
      <c r="H45" s="87">
        <f t="shared" ca="1" si="0"/>
        <v>365430.41057975963</v>
      </c>
      <c r="I45" s="88">
        <f t="shared" ca="1" si="0"/>
        <v>1856804.4807398203</v>
      </c>
    </row>
    <row r="46" spans="2:9" ht="14" x14ac:dyDescent="0.2">
      <c r="B46" s="97"/>
      <c r="C46" s="66"/>
      <c r="D46" s="66"/>
      <c r="E46" s="89">
        <f ca="1">'Financial Summary'!E17</f>
        <v>6.7348628928780088E-2</v>
      </c>
      <c r="F46" s="89">
        <f ca="1">'Financial Summary'!F17</f>
        <v>0.11635371459098788</v>
      </c>
      <c r="G46" s="89">
        <f ca="1">'Financial Summary'!G17</f>
        <v>0.14308576298244671</v>
      </c>
      <c r="H46" s="89">
        <f ca="1">'Financial Summary'!H17</f>
        <v>0.15100433309170502</v>
      </c>
      <c r="I46" s="90">
        <f ca="1">'Financial Summary'!I17</f>
        <v>0.76727473734594587</v>
      </c>
    </row>
    <row r="47" spans="2:9" ht="6.5" customHeight="1" x14ac:dyDescent="0.2">
      <c r="B47" s="97"/>
      <c r="C47" s="66"/>
      <c r="D47" s="66"/>
      <c r="E47" s="66"/>
      <c r="F47" s="66"/>
      <c r="G47" s="66"/>
      <c r="H47" s="66"/>
      <c r="I47" s="91"/>
    </row>
    <row r="48" spans="2:9" ht="14" x14ac:dyDescent="0.2">
      <c r="B48" s="97" t="s">
        <v>27</v>
      </c>
      <c r="C48" s="66"/>
      <c r="D48" s="66"/>
      <c r="E48" s="92">
        <f>$D$41*Proforma!F140*2</f>
        <v>-2744818.1818181816</v>
      </c>
      <c r="F48" s="92">
        <f>$D$41*Proforma!G140*2</f>
        <v>-39818.181818181816</v>
      </c>
      <c r="G48" s="92">
        <f>$D$41*Proforma!H140*2</f>
        <v>-39818.181818181816</v>
      </c>
      <c r="H48" s="92">
        <f>$D$41*Proforma!I140*2</f>
        <v>-39818.181818181816</v>
      </c>
      <c r="I48" s="93">
        <f>$D$41*Proforma!J140*2</f>
        <v>-39818.181818181816</v>
      </c>
    </row>
    <row r="49" spans="2:9" ht="14" x14ac:dyDescent="0.2">
      <c r="B49" s="97"/>
      <c r="C49" s="66"/>
      <c r="D49" s="66"/>
      <c r="E49" s="66"/>
      <c r="F49" s="66"/>
      <c r="G49" s="66"/>
      <c r="H49" s="66"/>
      <c r="I49" s="91"/>
    </row>
    <row r="50" spans="2:9" ht="14" x14ac:dyDescent="0.2">
      <c r="B50" s="97" t="s">
        <v>28</v>
      </c>
      <c r="E50" s="109">
        <f ca="1">SUM(E45:I45)</f>
        <v>3013061.9456608864</v>
      </c>
      <c r="H50" s="110" t="s">
        <v>29</v>
      </c>
      <c r="I50" s="111">
        <f ca="1">Proforma!D134</f>
        <v>0.15227236329139227</v>
      </c>
    </row>
    <row r="51" spans="2:9" ht="17" x14ac:dyDescent="0.35">
      <c r="B51" s="97" t="s">
        <v>30</v>
      </c>
      <c r="E51" s="112">
        <f ca="1">D41*(Proforma!J102-IF(Proforma!D97&lt;&gt;5,Proforma!J97,Proforma!K91))</f>
        <v>1162920.2851009215</v>
      </c>
      <c r="H51" s="110" t="s">
        <v>31</v>
      </c>
      <c r="I51" s="111">
        <f ca="1">Proforma!D144</f>
        <v>0.24826428747827878</v>
      </c>
    </row>
    <row r="52" spans="2:9" ht="14" x14ac:dyDescent="0.2">
      <c r="B52" s="346" t="s">
        <v>32</v>
      </c>
      <c r="C52" s="347"/>
      <c r="D52" s="347"/>
      <c r="E52" s="348">
        <f ca="1">E50+E51</f>
        <v>4175982.2307618079</v>
      </c>
      <c r="I52" s="349"/>
    </row>
    <row r="53" spans="2:9" ht="15" thickBot="1" x14ac:dyDescent="0.25">
      <c r="B53" s="344" t="s">
        <v>33</v>
      </c>
      <c r="C53" s="94"/>
      <c r="D53" s="94"/>
      <c r="E53" s="345">
        <f ca="1">+E52/D39</f>
        <v>1.7256128485819142</v>
      </c>
      <c r="F53" s="94"/>
      <c r="G53" s="94"/>
      <c r="H53" s="94"/>
      <c r="I53" s="113"/>
    </row>
    <row r="55" spans="2:9" x14ac:dyDescent="0.15">
      <c r="I55" s="506" t="s">
        <v>34</v>
      </c>
    </row>
    <row r="56" spans="2:9" x14ac:dyDescent="0.15">
      <c r="F56" s="505" t="s">
        <v>35</v>
      </c>
      <c r="I56" s="506" t="s">
        <v>36</v>
      </c>
    </row>
    <row r="58" spans="2:9" x14ac:dyDescent="0.15">
      <c r="H58" s="505"/>
      <c r="I58" s="70"/>
    </row>
    <row r="59" spans="2:9" x14ac:dyDescent="0.15">
      <c r="I59" s="70"/>
    </row>
  </sheetData>
  <sheetProtection algorithmName="SHA-512" hashValue="yBEH5nebsBhq4V9wrrV3oU9YRF26bAGaVDltwFSW6V5GKHtzvoZNtsKZ/VMMsUkQAOnF0K5ChEvaDuuz1HXixg==" saltValue="SxOckBV5/EW+RCMKbOu3ng==" spinCount="100000" sheet="1" objects="1" scenarios="1"/>
  <protectedRanges>
    <protectedRange sqref="D39" name="Range1"/>
  </protectedRanges>
  <mergeCells count="4">
    <mergeCell ref="F34:G34"/>
    <mergeCell ref="B19:I19"/>
    <mergeCell ref="B30:H30"/>
    <mergeCell ref="E38:I42"/>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activeCell="T12" sqref="T12"/>
    </sheetView>
  </sheetViews>
  <sheetFormatPr baseColWidth="10" defaultColWidth="9.1640625" defaultRowHeight="15" x14ac:dyDescent="0.2"/>
  <cols>
    <col min="1" max="1" width="9.1640625" style="150"/>
    <col min="2" max="2" width="53.6640625" style="150" bestFit="1" customWidth="1"/>
    <col min="3" max="3" width="108.33203125" style="150" bestFit="1" customWidth="1"/>
    <col min="4" max="16384" width="9.1640625" style="150"/>
  </cols>
  <sheetData>
    <row r="1" spans="1:3" x14ac:dyDescent="0.2">
      <c r="A1" s="769" t="s">
        <v>512</v>
      </c>
      <c r="B1" s="769"/>
      <c r="C1" s="769"/>
    </row>
    <row r="2" spans="1:3" x14ac:dyDescent="0.2">
      <c r="A2" s="571">
        <v>1</v>
      </c>
      <c r="B2" s="569" t="s">
        <v>439</v>
      </c>
    </row>
    <row r="3" spans="1:3" x14ac:dyDescent="0.2">
      <c r="A3" s="572">
        <v>2</v>
      </c>
      <c r="B3" s="573" t="s">
        <v>440</v>
      </c>
      <c r="C3" s="208" t="s">
        <v>513</v>
      </c>
    </row>
    <row r="4" spans="1:3" x14ac:dyDescent="0.2">
      <c r="A4" s="571">
        <v>3</v>
      </c>
      <c r="B4" s="569" t="s">
        <v>514</v>
      </c>
      <c r="C4" s="150" t="s">
        <v>513</v>
      </c>
    </row>
    <row r="5" spans="1:3" x14ac:dyDescent="0.2">
      <c r="A5" s="572">
        <v>4</v>
      </c>
      <c r="B5" s="573" t="s">
        <v>442</v>
      </c>
      <c r="C5" s="208" t="s">
        <v>515</v>
      </c>
    </row>
    <row r="6" spans="1:3" x14ac:dyDescent="0.2">
      <c r="A6" s="571">
        <v>4403</v>
      </c>
      <c r="B6" s="569" t="s">
        <v>260</v>
      </c>
      <c r="C6" s="150" t="s">
        <v>516</v>
      </c>
    </row>
    <row r="7" spans="1:3" x14ac:dyDescent="0.2">
      <c r="A7" s="572">
        <v>4401</v>
      </c>
      <c r="B7" s="573" t="s">
        <v>261</v>
      </c>
      <c r="C7" s="208" t="s">
        <v>516</v>
      </c>
    </row>
    <row r="8" spans="1:3" x14ac:dyDescent="0.2">
      <c r="A8" s="571">
        <v>4404</v>
      </c>
      <c r="B8" s="569" t="s">
        <v>262</v>
      </c>
      <c r="C8" s="150" t="s">
        <v>516</v>
      </c>
    </row>
    <row r="9" spans="1:3" x14ac:dyDescent="0.2">
      <c r="A9" s="572">
        <v>4405</v>
      </c>
      <c r="B9" s="573" t="s">
        <v>184</v>
      </c>
      <c r="C9" s="208" t="s">
        <v>516</v>
      </c>
    </row>
    <row r="10" spans="1:3" x14ac:dyDescent="0.2">
      <c r="A10" s="571">
        <v>4402</v>
      </c>
      <c r="B10" s="569" t="s">
        <v>183</v>
      </c>
      <c r="C10" s="150" t="s">
        <v>516</v>
      </c>
    </row>
    <row r="11" spans="1:3" x14ac:dyDescent="0.2">
      <c r="A11" s="572">
        <v>4998</v>
      </c>
      <c r="B11" s="573" t="s">
        <v>263</v>
      </c>
      <c r="C11" s="208" t="s">
        <v>517</v>
      </c>
    </row>
    <row r="12" spans="1:3" x14ac:dyDescent="0.2">
      <c r="A12" s="571">
        <v>4134</v>
      </c>
      <c r="B12" s="569" t="s">
        <v>443</v>
      </c>
      <c r="C12" s="209" t="s">
        <v>518</v>
      </c>
    </row>
    <row r="15" spans="1:3" x14ac:dyDescent="0.2">
      <c r="A15" s="769" t="s">
        <v>519</v>
      </c>
      <c r="B15" s="769"/>
      <c r="C15" s="769"/>
    </row>
    <row r="17" spans="1:3" ht="16" thickBot="1" x14ac:dyDescent="0.25">
      <c r="A17" s="210" t="s">
        <v>520</v>
      </c>
      <c r="B17" s="210" t="s">
        <v>521</v>
      </c>
      <c r="C17" s="210" t="s">
        <v>522</v>
      </c>
    </row>
    <row r="18" spans="1:3" x14ac:dyDescent="0.2">
      <c r="A18" s="571">
        <v>5701</v>
      </c>
      <c r="B18" s="569" t="s">
        <v>523</v>
      </c>
      <c r="C18" s="150" t="s">
        <v>524</v>
      </c>
    </row>
    <row r="19" spans="1:3" x14ac:dyDescent="0.2">
      <c r="A19" s="572">
        <v>5305</v>
      </c>
      <c r="B19" s="573" t="s">
        <v>277</v>
      </c>
      <c r="C19" s="208" t="s">
        <v>525</v>
      </c>
    </row>
    <row r="20" spans="1:3" x14ac:dyDescent="0.2">
      <c r="A20" s="571">
        <v>5306</v>
      </c>
      <c r="B20" s="569" t="s">
        <v>278</v>
      </c>
      <c r="C20" s="150" t="s">
        <v>526</v>
      </c>
    </row>
    <row r="21" spans="1:3" x14ac:dyDescent="0.2">
      <c r="A21" s="572">
        <v>5404</v>
      </c>
      <c r="B21" s="573" t="s">
        <v>260</v>
      </c>
      <c r="C21" s="208" t="s">
        <v>527</v>
      </c>
    </row>
    <row r="22" spans="1:3" x14ac:dyDescent="0.2">
      <c r="A22" s="571">
        <v>5401</v>
      </c>
      <c r="B22" s="569" t="s">
        <v>528</v>
      </c>
      <c r="C22" s="150" t="s">
        <v>529</v>
      </c>
    </row>
    <row r="23" spans="1:3" x14ac:dyDescent="0.2">
      <c r="A23" s="572">
        <v>5405</v>
      </c>
      <c r="B23" s="573" t="s">
        <v>262</v>
      </c>
      <c r="C23" s="208" t="s">
        <v>530</v>
      </c>
    </row>
    <row r="24" spans="1:3" x14ac:dyDescent="0.2">
      <c r="A24" s="571">
        <v>5403</v>
      </c>
      <c r="B24" s="569" t="s">
        <v>280</v>
      </c>
      <c r="C24" s="150" t="s">
        <v>531</v>
      </c>
    </row>
    <row r="25" spans="1:3" x14ac:dyDescent="0.2">
      <c r="A25" s="572">
        <v>5402</v>
      </c>
      <c r="B25" s="573" t="s">
        <v>281</v>
      </c>
      <c r="C25" s="208" t="s">
        <v>532</v>
      </c>
    </row>
    <row r="26" spans="1:3" x14ac:dyDescent="0.2">
      <c r="A26" s="571">
        <v>5603</v>
      </c>
      <c r="B26" s="569" t="s">
        <v>533</v>
      </c>
      <c r="C26" s="150" t="s">
        <v>534</v>
      </c>
    </row>
    <row r="27" spans="1:3" x14ac:dyDescent="0.2">
      <c r="A27" s="572">
        <v>5020</v>
      </c>
      <c r="B27" s="573" t="s">
        <v>283</v>
      </c>
      <c r="C27" s="208" t="s">
        <v>535</v>
      </c>
    </row>
    <row r="28" spans="1:3" x14ac:dyDescent="0.2">
      <c r="A28" s="571">
        <v>5104</v>
      </c>
      <c r="B28" s="569" t="s">
        <v>536</v>
      </c>
      <c r="C28" s="150" t="s">
        <v>537</v>
      </c>
    </row>
    <row r="29" spans="1:3" x14ac:dyDescent="0.2">
      <c r="A29" s="572">
        <v>5109</v>
      </c>
      <c r="B29" s="573" t="s">
        <v>284</v>
      </c>
      <c r="C29" s="208" t="s">
        <v>538</v>
      </c>
    </row>
    <row r="30" spans="1:3" x14ac:dyDescent="0.2">
      <c r="A30" s="571">
        <v>5200</v>
      </c>
      <c r="B30" s="569" t="s">
        <v>285</v>
      </c>
      <c r="C30" s="150" t="s">
        <v>539</v>
      </c>
    </row>
    <row r="31" spans="1:3" x14ac:dyDescent="0.2">
      <c r="A31" s="572">
        <v>5301</v>
      </c>
      <c r="B31" s="211" t="s">
        <v>540</v>
      </c>
      <c r="C31" s="208"/>
    </row>
    <row r="32" spans="1:3" x14ac:dyDescent="0.2">
      <c r="A32" s="571">
        <v>5053</v>
      </c>
      <c r="B32" s="569" t="s">
        <v>287</v>
      </c>
    </row>
    <row r="33" spans="1:3" x14ac:dyDescent="0.2">
      <c r="A33" s="572">
        <v>5604</v>
      </c>
      <c r="B33" s="573" t="s">
        <v>288</v>
      </c>
      <c r="C33" s="208" t="s">
        <v>541</v>
      </c>
    </row>
    <row r="34" spans="1:3" x14ac:dyDescent="0.2">
      <c r="A34" s="571">
        <v>5062</v>
      </c>
      <c r="B34" s="569" t="s">
        <v>289</v>
      </c>
      <c r="C34" s="150" t="s">
        <v>542</v>
      </c>
    </row>
    <row r="35" spans="1:3" x14ac:dyDescent="0.2">
      <c r="A35" s="572">
        <v>5302</v>
      </c>
      <c r="B35" s="573" t="s">
        <v>290</v>
      </c>
      <c r="C35" s="208" t="s">
        <v>543</v>
      </c>
    </row>
    <row r="36" spans="1:3" x14ac:dyDescent="0.2">
      <c r="A36" s="571">
        <v>5001</v>
      </c>
      <c r="B36" s="569" t="s">
        <v>291</v>
      </c>
      <c r="C36" s="150" t="s">
        <v>544</v>
      </c>
    </row>
    <row r="37" spans="1:3" x14ac:dyDescent="0.2">
      <c r="A37" s="572">
        <v>5061</v>
      </c>
      <c r="B37" s="573" t="s">
        <v>292</v>
      </c>
      <c r="C37" s="208" t="s">
        <v>545</v>
      </c>
    </row>
    <row r="38" spans="1:3" x14ac:dyDescent="0.2">
      <c r="A38" s="571">
        <v>5304</v>
      </c>
      <c r="B38" s="569" t="s">
        <v>293</v>
      </c>
      <c r="C38" s="150" t="s">
        <v>546</v>
      </c>
    </row>
    <row r="39" spans="1:3" x14ac:dyDescent="0.2">
      <c r="A39" s="572">
        <v>5064</v>
      </c>
      <c r="B39" s="573" t="s">
        <v>294</v>
      </c>
      <c r="C39" s="208" t="s">
        <v>547</v>
      </c>
    </row>
    <row r="40" spans="1:3" x14ac:dyDescent="0.2">
      <c r="A40" s="571">
        <v>5601</v>
      </c>
      <c r="B40" s="569" t="s">
        <v>295</v>
      </c>
      <c r="C40" s="150" t="s">
        <v>548</v>
      </c>
    </row>
    <row r="41" spans="1:3" x14ac:dyDescent="0.2">
      <c r="A41" s="572">
        <v>5000</v>
      </c>
      <c r="B41" s="573" t="s">
        <v>452</v>
      </c>
      <c r="C41" s="208" t="s">
        <v>549</v>
      </c>
    </row>
  </sheetData>
  <mergeCells count="2">
    <mergeCell ref="A1:C1"/>
    <mergeCell ref="A15:C15"/>
  </mergeCells>
  <pageMargins left="0.2" right="0.2" top="0.25" bottom="0.25" header="0.3" footer="0.3"/>
  <pageSetup scale="7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codeName="Sheet15">
    <tabColor theme="9"/>
    <pageSetUpPr fitToPage="1"/>
  </sheetPr>
  <dimension ref="A1:AC112"/>
  <sheetViews>
    <sheetView workbookViewId="0">
      <selection activeCell="T12" sqref="T12"/>
    </sheetView>
  </sheetViews>
  <sheetFormatPr baseColWidth="10" defaultColWidth="0" defaultRowHeight="0" customHeight="1" zeroHeight="1" x14ac:dyDescent="0.2"/>
  <cols>
    <col min="1" max="1" width="1" style="350" customWidth="1"/>
    <col min="2" max="2" width="29.6640625" style="350" customWidth="1"/>
    <col min="3" max="3" width="15.33203125" style="350" customWidth="1"/>
    <col min="4" max="4" width="16.1640625" style="350" bestFit="1" customWidth="1"/>
    <col min="5" max="5" width="20.33203125" style="350" customWidth="1"/>
    <col min="6" max="7" width="10.83203125" style="351" bestFit="1" customWidth="1"/>
    <col min="8" max="9" width="10.1640625" style="351" bestFit="1" customWidth="1"/>
    <col min="10" max="10" width="12.33203125" style="351" customWidth="1"/>
    <col min="11" max="11" width="10.33203125" style="351" customWidth="1"/>
    <col min="12" max="13" width="10.1640625" style="351" bestFit="1" customWidth="1"/>
    <col min="14" max="14" width="11.83203125" style="351" customWidth="1"/>
    <col min="15" max="16" width="10.1640625" style="351" bestFit="1" customWidth="1"/>
    <col min="17" max="17" width="10.33203125" style="350" bestFit="1" customWidth="1"/>
    <col min="18" max="18" width="18.5" style="350" bestFit="1" customWidth="1"/>
    <col min="19" max="20" width="10.1640625" style="350" bestFit="1" customWidth="1"/>
    <col min="21" max="21" width="11.1640625" style="350" bestFit="1" customWidth="1"/>
    <col min="22" max="29" width="9.1640625" style="350" customWidth="1"/>
    <col min="30" max="16384" width="9.1640625" style="350" hidden="1"/>
  </cols>
  <sheetData>
    <row r="1" spans="1:21" ht="6.75" customHeight="1" x14ac:dyDescent="0.2"/>
    <row r="2" spans="1:21" ht="19" x14ac:dyDescent="0.25">
      <c r="B2" s="352" t="s">
        <v>550</v>
      </c>
      <c r="C2" s="353"/>
      <c r="D2" s="353"/>
      <c r="E2" s="353"/>
      <c r="F2" s="354"/>
      <c r="G2" s="354"/>
      <c r="H2" s="354"/>
      <c r="I2" s="354"/>
      <c r="J2" s="354"/>
      <c r="K2" s="354"/>
      <c r="L2" s="354"/>
      <c r="M2" s="354"/>
      <c r="N2" s="354"/>
      <c r="O2" s="354"/>
      <c r="P2" s="354"/>
      <c r="Q2" s="354"/>
      <c r="R2" s="354"/>
      <c r="S2" s="354"/>
      <c r="T2" s="354"/>
      <c r="U2" s="355"/>
    </row>
    <row r="3" spans="1:21" ht="5" customHeight="1" x14ac:dyDescent="0.2">
      <c r="B3" s="356"/>
      <c r="C3" s="357"/>
      <c r="D3" s="357"/>
      <c r="E3" s="357"/>
      <c r="F3" s="358"/>
      <c r="G3" s="358"/>
      <c r="H3" s="358"/>
      <c r="I3" s="358"/>
      <c r="J3" s="358"/>
      <c r="K3" s="358"/>
      <c r="L3" s="358"/>
      <c r="M3" s="358"/>
      <c r="N3" s="358"/>
      <c r="O3" s="358"/>
      <c r="P3" s="358"/>
      <c r="Q3" s="358"/>
      <c r="R3" s="358"/>
      <c r="S3" s="358"/>
      <c r="T3" s="358"/>
      <c r="U3" s="358"/>
    </row>
    <row r="4" spans="1:21" ht="16" x14ac:dyDescent="0.2">
      <c r="B4" s="356" t="s">
        <v>551</v>
      </c>
      <c r="C4" s="357"/>
      <c r="D4" s="359" t="s">
        <v>552</v>
      </c>
      <c r="E4" s="360"/>
      <c r="F4" s="361" t="s">
        <v>553</v>
      </c>
      <c r="G4" s="362">
        <v>10</v>
      </c>
      <c r="H4" s="358"/>
      <c r="I4" s="358"/>
      <c r="J4" s="358"/>
      <c r="K4" s="358"/>
      <c r="L4" s="358"/>
      <c r="M4" s="358"/>
      <c r="N4" s="363"/>
      <c r="O4" s="778"/>
      <c r="P4" s="778"/>
      <c r="Q4" s="778"/>
      <c r="R4" s="778"/>
      <c r="S4" s="778"/>
      <c r="T4" s="358"/>
      <c r="U4" s="358"/>
    </row>
    <row r="5" spans="1:21" ht="16" x14ac:dyDescent="0.2">
      <c r="A5" s="350" t="b">
        <f>AND(E5="Yes", H14&lt;Equity_Share_Sponsor)</f>
        <v>0</v>
      </c>
      <c r="B5" s="356" t="s">
        <v>554</v>
      </c>
      <c r="C5" s="357"/>
      <c r="D5" s="364" t="s">
        <v>555</v>
      </c>
      <c r="E5" s="365" t="s">
        <v>162</v>
      </c>
      <c r="F5" s="366" t="s">
        <v>556</v>
      </c>
      <c r="G5" s="367">
        <f>Proforma!D97</f>
        <v>5</v>
      </c>
      <c r="H5" s="368" t="s">
        <v>557</v>
      </c>
      <c r="I5" s="358"/>
      <c r="J5" s="358"/>
      <c r="K5" s="358"/>
      <c r="L5" s="358"/>
      <c r="M5" s="358"/>
      <c r="N5" s="363"/>
      <c r="O5" s="778"/>
      <c r="P5" s="778"/>
      <c r="Q5" s="778"/>
      <c r="R5" s="778"/>
      <c r="S5" s="778"/>
      <c r="T5" s="358"/>
      <c r="U5" s="358"/>
    </row>
    <row r="6" spans="1:21" ht="5" customHeight="1" x14ac:dyDescent="0.2">
      <c r="B6" s="369"/>
      <c r="C6" s="369"/>
      <c r="D6" s="370"/>
      <c r="E6" s="369"/>
      <c r="F6" s="371"/>
      <c r="G6" s="371"/>
      <c r="H6" s="371"/>
      <c r="I6" s="371"/>
      <c r="J6" s="371"/>
      <c r="K6" s="371"/>
      <c r="L6" s="371"/>
      <c r="M6" s="358"/>
      <c r="N6" s="371"/>
      <c r="O6" s="371"/>
      <c r="P6" s="371"/>
      <c r="Q6" s="369"/>
      <c r="R6" s="369"/>
      <c r="S6" s="369"/>
      <c r="T6" s="369"/>
      <c r="U6" s="369"/>
    </row>
    <row r="7" spans="1:21" ht="17" thickBot="1" x14ac:dyDescent="0.25">
      <c r="B7" s="372" t="s">
        <v>558</v>
      </c>
      <c r="C7" s="373" t="s">
        <v>559</v>
      </c>
      <c r="D7" s="373" t="s">
        <v>560</v>
      </c>
      <c r="E7" s="366"/>
      <c r="F7" s="373" t="s">
        <v>561</v>
      </c>
      <c r="G7" s="374">
        <f>Proforma!E102</f>
        <v>6.5000000000000002E-2</v>
      </c>
      <c r="H7" s="368" t="s">
        <v>562</v>
      </c>
      <c r="I7" s="371"/>
      <c r="J7" s="371"/>
      <c r="K7" s="371"/>
      <c r="L7" s="371"/>
      <c r="M7" s="358"/>
      <c r="N7" s="371"/>
      <c r="O7" s="371"/>
      <c r="P7" s="371"/>
      <c r="Q7" s="369"/>
      <c r="R7" s="369"/>
      <c r="S7" s="369"/>
      <c r="T7" s="369"/>
      <c r="U7" s="369"/>
    </row>
    <row r="8" spans="1:21" ht="15" x14ac:dyDescent="0.2">
      <c r="B8" s="369" t="s">
        <v>563</v>
      </c>
      <c r="C8" s="375">
        <v>0.05</v>
      </c>
      <c r="D8" s="376">
        <f ca="1">Equity_Share_Sponsor*Total_Equity</f>
        <v>133299.97500000001</v>
      </c>
      <c r="E8" s="369"/>
      <c r="F8" s="377"/>
      <c r="G8" s="368"/>
      <c r="H8" s="371"/>
      <c r="I8" s="371"/>
      <c r="J8" s="371"/>
      <c r="K8" s="378" t="s">
        <v>564</v>
      </c>
      <c r="L8" s="379" t="str">
        <f ca="1">IF(ROUND(L10,0)=ROUND(L9,0),"OK","Error")</f>
        <v>OK</v>
      </c>
      <c r="M8" s="371"/>
      <c r="N8" s="371"/>
      <c r="O8" s="371"/>
      <c r="P8" s="371"/>
      <c r="Q8" s="369"/>
      <c r="R8" s="369"/>
      <c r="S8" s="369"/>
      <c r="T8" s="369"/>
      <c r="U8" s="369"/>
    </row>
    <row r="9" spans="1:21" ht="15" x14ac:dyDescent="0.2">
      <c r="B9" s="369" t="s">
        <v>565</v>
      </c>
      <c r="C9" s="380">
        <f>1-C8</f>
        <v>0.95</v>
      </c>
      <c r="D9" s="381">
        <f ca="1">Total_Equity*Equity_Share_LP</f>
        <v>2532699.5249999999</v>
      </c>
      <c r="E9" s="369"/>
      <c r="F9" s="377"/>
      <c r="G9" s="382"/>
      <c r="H9" s="371"/>
      <c r="I9" s="371"/>
      <c r="J9" s="371"/>
      <c r="K9" s="383" t="s">
        <v>566</v>
      </c>
      <c r="L9" s="384">
        <f ca="1">(D23+D33)/1000000</f>
        <v>2.1814403840954815</v>
      </c>
      <c r="M9" s="371"/>
      <c r="N9" s="371"/>
      <c r="O9" s="371"/>
      <c r="P9" s="371"/>
      <c r="Q9" s="369"/>
      <c r="R9" s="385"/>
      <c r="S9" s="369"/>
      <c r="T9" s="369"/>
      <c r="U9" s="369"/>
    </row>
    <row r="10" spans="1:21" ht="16" thickBot="1" x14ac:dyDescent="0.25">
      <c r="B10" s="369" t="s">
        <v>567</v>
      </c>
      <c r="C10" s="386"/>
      <c r="D10" s="376">
        <f ca="1">-SUMIF(F47:U47,"&lt;0")</f>
        <v>2665999.5</v>
      </c>
      <c r="E10" s="369"/>
      <c r="F10" s="377"/>
      <c r="G10" s="382"/>
      <c r="H10" s="371"/>
      <c r="I10" s="371"/>
      <c r="J10" s="371"/>
      <c r="K10" s="387" t="s">
        <v>568</v>
      </c>
      <c r="L10" s="388">
        <f ca="1">(SUM(F47:U47)+SUM(F40:U42))/1000000</f>
        <v>2.1814403840954819</v>
      </c>
      <c r="M10" s="371"/>
      <c r="N10" s="389"/>
      <c r="O10" s="371"/>
      <c r="P10" s="371"/>
      <c r="Q10" s="369"/>
      <c r="R10" s="385"/>
      <c r="S10" s="369"/>
      <c r="T10" s="369"/>
      <c r="U10" s="369"/>
    </row>
    <row r="11" spans="1:21" ht="5" customHeight="1" x14ac:dyDescent="0.2">
      <c r="B11" s="369"/>
      <c r="C11" s="386"/>
      <c r="D11" s="390"/>
      <c r="E11" s="369"/>
      <c r="F11" s="377"/>
      <c r="G11" s="382"/>
      <c r="H11" s="371"/>
      <c r="I11" s="371"/>
      <c r="J11" s="371"/>
      <c r="K11" s="371"/>
      <c r="L11" s="371"/>
      <c r="M11" s="371"/>
      <c r="N11" s="371"/>
      <c r="O11" s="371"/>
      <c r="P11" s="371"/>
      <c r="Q11" s="369"/>
      <c r="R11" s="369"/>
      <c r="S11" s="369"/>
      <c r="T11" s="369"/>
      <c r="U11" s="369"/>
    </row>
    <row r="12" spans="1:21" ht="15" x14ac:dyDescent="0.2">
      <c r="B12" s="369"/>
      <c r="C12" s="369"/>
      <c r="D12" s="370"/>
      <c r="E12" s="369"/>
      <c r="F12" s="779" t="s">
        <v>569</v>
      </c>
      <c r="G12" s="780"/>
      <c r="H12" s="783" t="s">
        <v>570</v>
      </c>
      <c r="I12" s="783"/>
      <c r="J12" s="391"/>
      <c r="K12" s="371"/>
      <c r="L12" s="371"/>
      <c r="M12" s="371"/>
      <c r="N12" s="371"/>
      <c r="O12" s="371"/>
      <c r="P12" s="371"/>
      <c r="Q12" s="369"/>
      <c r="R12" s="385"/>
      <c r="S12" s="369"/>
      <c r="T12" s="369"/>
      <c r="U12" s="369"/>
    </row>
    <row r="13" spans="1:21" ht="16" x14ac:dyDescent="0.2">
      <c r="B13" s="392" t="str">
        <f>IF(D4="Equity Multiple","Promote Structure (Equity Multiple Hurdles)","Promote Structure (IRR Hurdles)")</f>
        <v>Promote Structure (IRR Hurdles)</v>
      </c>
      <c r="C13" s="393"/>
      <c r="D13" s="394"/>
      <c r="E13" s="393"/>
      <c r="F13" s="781"/>
      <c r="G13" s="782"/>
      <c r="H13" s="395" t="s">
        <v>571</v>
      </c>
      <c r="I13" s="396" t="s">
        <v>572</v>
      </c>
      <c r="J13" s="397" t="s">
        <v>187</v>
      </c>
      <c r="K13" s="398"/>
      <c r="L13" s="398"/>
      <c r="M13" s="398"/>
      <c r="N13" s="398"/>
      <c r="O13" s="371"/>
      <c r="P13" s="371"/>
      <c r="Q13" s="369"/>
      <c r="R13" s="369"/>
      <c r="S13" s="369"/>
      <c r="T13" s="369"/>
      <c r="U13" s="369"/>
    </row>
    <row r="14" spans="1:21" ht="15" x14ac:dyDescent="0.2">
      <c r="B14" s="369" t="s">
        <v>573</v>
      </c>
      <c r="C14" s="399" t="s">
        <v>574</v>
      </c>
      <c r="D14" s="400" t="s">
        <v>575</v>
      </c>
      <c r="E14" s="401">
        <f>IF($D$4="Equity Multiple",C15,D15)</f>
        <v>7.0000000000000007E-2</v>
      </c>
      <c r="F14" s="402" t="s">
        <v>576</v>
      </c>
      <c r="G14" s="403"/>
      <c r="H14" s="404">
        <f>Equity_Share_Sponsor</f>
        <v>0.05</v>
      </c>
      <c r="I14" s="386">
        <f>1-H14</f>
        <v>0.95</v>
      </c>
      <c r="J14" s="784" t="str">
        <f>IF(I14=Equity_Share_LP,"Pref prorata to LP/GP, then Pro rata return of capital",IF(CU?,"Return of capital and Pref NOT pro rata + GP Catch Up","Return of capital and Pref NOT pro rata"))</f>
        <v>Pref prorata to LP/GP, then Pro rata return of capital</v>
      </c>
      <c r="K14" s="785"/>
      <c r="L14" s="785"/>
      <c r="M14" s="785"/>
      <c r="N14" s="785"/>
      <c r="O14" s="371"/>
      <c r="P14" s="371"/>
      <c r="Q14" s="369"/>
      <c r="R14" s="405"/>
      <c r="S14" s="369"/>
      <c r="T14" s="369"/>
      <c r="U14" s="369"/>
    </row>
    <row r="15" spans="1:21" ht="15" x14ac:dyDescent="0.2">
      <c r="B15" s="369" t="s">
        <v>577</v>
      </c>
      <c r="C15" s="406">
        <v>2</v>
      </c>
      <c r="D15" s="407">
        <v>7.0000000000000007E-2</v>
      </c>
      <c r="E15" s="408">
        <f t="shared" ref="E15:E16" si="0">IF($D$4="Equity Multiple",C16,D16)</f>
        <v>0.15</v>
      </c>
      <c r="F15" s="404">
        <v>0.4</v>
      </c>
      <c r="G15" s="409"/>
      <c r="H15" s="410">
        <f>1-(Equity_Share_LP*(1-F15))</f>
        <v>0.43000000000000005</v>
      </c>
      <c r="I15" s="386">
        <f t="shared" ref="I15:I17" si="1">1-H15</f>
        <v>0.56999999999999995</v>
      </c>
      <c r="J15" s="776"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777"/>
      <c r="L15" s="777"/>
      <c r="M15" s="777"/>
      <c r="N15" s="777"/>
      <c r="O15" s="371"/>
      <c r="P15" s="371"/>
      <c r="Q15" s="369"/>
      <c r="R15" s="369"/>
      <c r="S15" s="369"/>
      <c r="T15" s="369"/>
      <c r="U15" s="369"/>
    </row>
    <row r="16" spans="1:21" ht="15" x14ac:dyDescent="0.2">
      <c r="B16" s="369" t="s">
        <v>578</v>
      </c>
      <c r="C16" s="406">
        <v>2.5</v>
      </c>
      <c r="D16" s="407">
        <v>0.15</v>
      </c>
      <c r="E16" s="408">
        <f t="shared" si="0"/>
        <v>0.99</v>
      </c>
      <c r="F16" s="404">
        <v>0.5</v>
      </c>
      <c r="G16" s="409"/>
      <c r="H16" s="410">
        <f>1-(Equity_Share_LP*(1-F16))</f>
        <v>0.52500000000000002</v>
      </c>
      <c r="I16" s="386">
        <f t="shared" si="1"/>
        <v>0.47499999999999998</v>
      </c>
      <c r="J16" s="776" t="str">
        <f>TEXT(I15,"0.0%")&amp;"/"&amp;TEXT(H15,"0.0%")&amp;" to "&amp;(IF(D4="IRR",TEXT(E15,"0.0%"),TEXT(E15,"0.0X")))&amp;", then "&amp;TEXT(I16,"0.0%")&amp;"/"&amp;TEXT(H16,"0.0%")&amp;" to "&amp;(IF(D4="IRR",TEXT(E16,"0.0%"),TEXT(E16,"0.0X")))</f>
        <v>57.0%/43.0% to 15.0%, then 47.5%/52.5% to 99.0%</v>
      </c>
      <c r="K16" s="777"/>
      <c r="L16" s="777"/>
      <c r="M16" s="777"/>
      <c r="N16" s="777"/>
      <c r="O16" s="371"/>
      <c r="P16" s="371"/>
      <c r="Q16" s="369"/>
      <c r="R16" s="411"/>
      <c r="S16" s="369"/>
      <c r="T16" s="369"/>
      <c r="U16" s="369"/>
    </row>
    <row r="17" spans="2:21" ht="15" x14ac:dyDescent="0.2">
      <c r="B17" s="369" t="s">
        <v>579</v>
      </c>
      <c r="C17" s="406">
        <v>3</v>
      </c>
      <c r="D17" s="407">
        <v>0.99</v>
      </c>
      <c r="E17" s="408"/>
      <c r="F17" s="404">
        <v>0.5</v>
      </c>
      <c r="G17" s="409"/>
      <c r="H17" s="410">
        <f>1-(Equity_Share_LP*(1-F17))</f>
        <v>0.52500000000000002</v>
      </c>
      <c r="I17" s="386">
        <f t="shared" si="1"/>
        <v>0.47499999999999998</v>
      </c>
      <c r="J17" s="776" t="str">
        <f>TEXT(I16,"0.0%")&amp;"/"&amp;TEXT(H16,"0.0%")&amp;" to "&amp;(IF(D4="IRR",TEXT(E16,"0.0%"),TEXT(E16,"0.0X")))&amp;", then "&amp;TEXT(I17,"0.0%")&amp;"/"&amp;TEXT(H17,"0.0%")&amp;" thereafter"</f>
        <v>47.5%/52.5% to 99.0%, then 47.5%/52.5% thereafter</v>
      </c>
      <c r="K17" s="777"/>
      <c r="L17" s="777"/>
      <c r="M17" s="777"/>
      <c r="N17" s="777"/>
      <c r="O17" s="371"/>
      <c r="P17" s="371"/>
      <c r="Q17" s="369"/>
      <c r="R17" s="369"/>
      <c r="S17" s="369"/>
      <c r="T17" s="369"/>
      <c r="U17" s="369"/>
    </row>
    <row r="18" spans="2:21" ht="5" customHeight="1" x14ac:dyDescent="0.2">
      <c r="B18" s="369"/>
      <c r="C18" s="369"/>
      <c r="D18" s="412"/>
      <c r="E18" s="408"/>
      <c r="F18" s="382"/>
      <c r="G18" s="413"/>
      <c r="H18" s="414"/>
      <c r="I18" s="414"/>
      <c r="J18" s="371"/>
      <c r="K18" s="371"/>
      <c r="L18" s="371"/>
      <c r="M18" s="371"/>
      <c r="N18" s="371"/>
      <c r="O18" s="371"/>
      <c r="P18" s="371"/>
      <c r="Q18" s="369"/>
      <c r="R18" s="369"/>
      <c r="S18" s="369"/>
      <c r="T18" s="369"/>
      <c r="U18" s="369"/>
    </row>
    <row r="19" spans="2:21" ht="16" x14ac:dyDescent="0.2">
      <c r="B19" s="392" t="s">
        <v>580</v>
      </c>
      <c r="C19" s="393"/>
      <c r="D19" s="415"/>
      <c r="E19" s="416"/>
      <c r="F19" s="417">
        <v>0</v>
      </c>
      <c r="G19" s="417">
        <f ca="1">IF(G39="","",F19+1)</f>
        <v>1</v>
      </c>
      <c r="H19" s="417">
        <f t="shared" ref="H19:U19" ca="1" si="2">IF(H39="","",G19+1)</f>
        <v>2</v>
      </c>
      <c r="I19" s="417">
        <f t="shared" ca="1" si="2"/>
        <v>3</v>
      </c>
      <c r="J19" s="417">
        <f t="shared" ca="1" si="2"/>
        <v>4</v>
      </c>
      <c r="K19" s="417">
        <f t="shared" ca="1" si="2"/>
        <v>5</v>
      </c>
      <c r="L19" s="417">
        <f t="shared" ca="1" si="2"/>
        <v>6</v>
      </c>
      <c r="M19" s="417">
        <f t="shared" ca="1" si="2"/>
        <v>7</v>
      </c>
      <c r="N19" s="417">
        <f t="shared" ca="1" si="2"/>
        <v>8</v>
      </c>
      <c r="O19" s="417">
        <f t="shared" ca="1" si="2"/>
        <v>9</v>
      </c>
      <c r="P19" s="417">
        <f t="shared" ca="1" si="2"/>
        <v>10</v>
      </c>
      <c r="Q19" s="417" t="str">
        <f t="shared" si="2"/>
        <v/>
      </c>
      <c r="R19" s="417" t="str">
        <f t="shared" si="2"/>
        <v/>
      </c>
      <c r="S19" s="417" t="str">
        <f t="shared" si="2"/>
        <v/>
      </c>
      <c r="T19" s="417" t="str">
        <f t="shared" si="2"/>
        <v/>
      </c>
      <c r="U19" s="417" t="str">
        <f t="shared" si="2"/>
        <v/>
      </c>
    </row>
    <row r="20" spans="2:21" ht="15" x14ac:dyDescent="0.2">
      <c r="B20" s="418" t="s">
        <v>581</v>
      </c>
      <c r="C20" s="369"/>
      <c r="D20" s="412"/>
      <c r="E20" s="408"/>
      <c r="F20" s="419"/>
      <c r="G20" s="420"/>
      <c r="H20" s="421"/>
      <c r="I20" s="421"/>
      <c r="J20" s="370"/>
      <c r="K20" s="370"/>
      <c r="L20" s="370"/>
      <c r="M20" s="370"/>
      <c r="N20" s="370"/>
      <c r="O20" s="370"/>
      <c r="P20" s="370"/>
      <c r="Q20" s="370"/>
      <c r="R20" s="370"/>
      <c r="S20" s="370"/>
      <c r="T20" s="370"/>
      <c r="U20" s="370"/>
    </row>
    <row r="21" spans="2:21" ht="15" x14ac:dyDescent="0.2">
      <c r="B21" s="422" t="s">
        <v>582</v>
      </c>
      <c r="C21" s="369"/>
      <c r="D21" s="423">
        <f ca="1">SUM(F21:U21)</f>
        <v>3853290.2703725123</v>
      </c>
      <c r="E21" s="408"/>
      <c r="F21" s="376">
        <f t="shared" ref="F21:U21" si="3">IF(F19="","",F60+F82+F97+F104)</f>
        <v>0</v>
      </c>
      <c r="G21" s="376">
        <f t="shared" ca="1" si="3"/>
        <v>127094.47066666668</v>
      </c>
      <c r="H21" s="376">
        <f t="shared" ca="1" si="3"/>
        <v>239757.13932666669</v>
      </c>
      <c r="I21" s="376">
        <f t="shared" ca="1" si="3"/>
        <v>301214.10588090756</v>
      </c>
      <c r="J21" s="376">
        <f t="shared" ca="1" si="3"/>
        <v>319418.89480077167</v>
      </c>
      <c r="K21" s="376">
        <f t="shared" ca="1" si="3"/>
        <v>1791070.1747034709</v>
      </c>
      <c r="L21" s="376">
        <f t="shared" ca="1" si="3"/>
        <v>252952.73459812731</v>
      </c>
      <c r="M21" s="376">
        <f t="shared" ca="1" si="3"/>
        <v>273689.61092576635</v>
      </c>
      <c r="N21" s="376">
        <f t="shared" ca="1" si="3"/>
        <v>245205.27604278494</v>
      </c>
      <c r="O21" s="376">
        <f t="shared" ca="1" si="3"/>
        <v>190769.50803845012</v>
      </c>
      <c r="P21" s="376">
        <f t="shared" ca="1" si="3"/>
        <v>112118.35538890035</v>
      </c>
      <c r="Q21" s="376" t="str">
        <f t="shared" si="3"/>
        <v/>
      </c>
      <c r="R21" s="376" t="str">
        <f t="shared" si="3"/>
        <v/>
      </c>
      <c r="S21" s="376" t="str">
        <f t="shared" si="3"/>
        <v/>
      </c>
      <c r="T21" s="376" t="str">
        <f t="shared" si="3"/>
        <v/>
      </c>
      <c r="U21" s="376" t="str">
        <f t="shared" si="3"/>
        <v/>
      </c>
    </row>
    <row r="22" spans="2:21" ht="15" x14ac:dyDescent="0.2">
      <c r="B22" s="422" t="s">
        <v>583</v>
      </c>
      <c r="C22" s="369"/>
      <c r="D22" s="423">
        <f ca="1">SUM(F22:U22)</f>
        <v>2532699.5249999999</v>
      </c>
      <c r="E22" s="408"/>
      <c r="F22" s="376">
        <f t="shared" ref="F22:U22" si="4">F56</f>
        <v>2532699.5249999999</v>
      </c>
      <c r="G22" s="376">
        <f t="shared" ca="1" si="4"/>
        <v>0</v>
      </c>
      <c r="H22" s="376">
        <f t="shared" ca="1" si="4"/>
        <v>0</v>
      </c>
      <c r="I22" s="376">
        <f t="shared" ca="1" si="4"/>
        <v>0</v>
      </c>
      <c r="J22" s="376">
        <f t="shared" ca="1" si="4"/>
        <v>0</v>
      </c>
      <c r="K22" s="376">
        <f t="shared" ca="1" si="4"/>
        <v>0</v>
      </c>
      <c r="L22" s="376">
        <f t="shared" ca="1" si="4"/>
        <v>0</v>
      </c>
      <c r="M22" s="376">
        <f t="shared" ca="1" si="4"/>
        <v>0</v>
      </c>
      <c r="N22" s="376">
        <f t="shared" ca="1" si="4"/>
        <v>0</v>
      </c>
      <c r="O22" s="376">
        <f t="shared" ca="1" si="4"/>
        <v>0</v>
      </c>
      <c r="P22" s="376">
        <f t="shared" ca="1" si="4"/>
        <v>0</v>
      </c>
      <c r="Q22" s="376" t="str">
        <f t="shared" si="4"/>
        <v/>
      </c>
      <c r="R22" s="376" t="str">
        <f t="shared" si="4"/>
        <v/>
      </c>
      <c r="S22" s="376" t="str">
        <f t="shared" si="4"/>
        <v/>
      </c>
      <c r="T22" s="376" t="str">
        <f t="shared" si="4"/>
        <v/>
      </c>
      <c r="U22" s="376" t="str">
        <f t="shared" si="4"/>
        <v/>
      </c>
    </row>
    <row r="23" spans="2:21" ht="15" x14ac:dyDescent="0.2">
      <c r="B23" s="422" t="s">
        <v>584</v>
      </c>
      <c r="C23" s="369"/>
      <c r="D23" s="423">
        <f ca="1">D21-D22</f>
        <v>1320590.7453725124</v>
      </c>
      <c r="E23" s="408"/>
      <c r="F23" s="419"/>
      <c r="G23" s="420"/>
      <c r="H23" s="421"/>
      <c r="I23" s="421"/>
      <c r="J23" s="370"/>
      <c r="K23" s="370"/>
      <c r="L23" s="370"/>
      <c r="M23" s="370"/>
      <c r="N23" s="370"/>
      <c r="O23" s="370"/>
      <c r="P23" s="370"/>
      <c r="Q23" s="370"/>
      <c r="R23" s="370"/>
      <c r="S23" s="370"/>
      <c r="T23" s="370"/>
      <c r="U23" s="370"/>
    </row>
    <row r="24" spans="2:21" ht="15" x14ac:dyDescent="0.2">
      <c r="B24" s="422" t="s">
        <v>585</v>
      </c>
      <c r="C24" s="369"/>
      <c r="D24" s="424">
        <f ca="1">IRR(F24:U24)</f>
        <v>8.7104353086767228E-2</v>
      </c>
      <c r="E24" s="408"/>
      <c r="F24" s="376">
        <f t="shared" ref="F24:U24" si="5">IF(F19="","",(-F22)+F21)</f>
        <v>-2532699.5249999999</v>
      </c>
      <c r="G24" s="376">
        <f t="shared" ca="1" si="5"/>
        <v>127094.47066666668</v>
      </c>
      <c r="H24" s="376">
        <f t="shared" ca="1" si="5"/>
        <v>239757.13932666669</v>
      </c>
      <c r="I24" s="376">
        <f t="shared" ca="1" si="5"/>
        <v>301214.10588090756</v>
      </c>
      <c r="J24" s="376">
        <f t="shared" ca="1" si="5"/>
        <v>319418.89480077167</v>
      </c>
      <c r="K24" s="376">
        <f t="shared" ca="1" si="5"/>
        <v>1791070.1747034709</v>
      </c>
      <c r="L24" s="376">
        <f t="shared" ca="1" si="5"/>
        <v>252952.73459812731</v>
      </c>
      <c r="M24" s="376">
        <f t="shared" ca="1" si="5"/>
        <v>273689.61092576635</v>
      </c>
      <c r="N24" s="376">
        <f t="shared" ca="1" si="5"/>
        <v>245205.27604278494</v>
      </c>
      <c r="O24" s="376">
        <f t="shared" ca="1" si="5"/>
        <v>190769.50803845012</v>
      </c>
      <c r="P24" s="376">
        <f t="shared" ca="1" si="5"/>
        <v>112118.35538890035</v>
      </c>
      <c r="Q24" s="376" t="str">
        <f t="shared" si="5"/>
        <v/>
      </c>
      <c r="R24" s="376" t="str">
        <f t="shared" si="5"/>
        <v/>
      </c>
      <c r="S24" s="376" t="str">
        <f t="shared" si="5"/>
        <v/>
      </c>
      <c r="T24" s="376" t="str">
        <f t="shared" si="5"/>
        <v/>
      </c>
      <c r="U24" s="376" t="str">
        <f t="shared" si="5"/>
        <v/>
      </c>
    </row>
    <row r="25" spans="2:21" ht="15" x14ac:dyDescent="0.2">
      <c r="B25" s="422" t="s">
        <v>586</v>
      </c>
      <c r="C25" s="369"/>
      <c r="D25" s="425">
        <f ca="1">D21/D22</f>
        <v>1.5214162723754261</v>
      </c>
      <c r="E25" s="408"/>
      <c r="F25" s="419"/>
      <c r="G25" s="420"/>
      <c r="H25" s="421"/>
      <c r="I25" s="421"/>
      <c r="J25" s="370"/>
      <c r="K25" s="370"/>
      <c r="L25" s="370"/>
      <c r="M25" s="370"/>
      <c r="N25" s="370"/>
      <c r="O25" s="370"/>
      <c r="P25" s="370"/>
      <c r="Q25" s="370"/>
      <c r="R25" s="370"/>
      <c r="S25" s="370"/>
      <c r="T25" s="370"/>
      <c r="U25" s="370"/>
    </row>
    <row r="26" spans="2:21" ht="5" customHeight="1" x14ac:dyDescent="0.2">
      <c r="B26" s="422"/>
      <c r="C26" s="369"/>
      <c r="D26" s="412"/>
      <c r="E26" s="408"/>
      <c r="F26" s="419"/>
      <c r="G26" s="420"/>
      <c r="H26" s="421"/>
      <c r="I26" s="421"/>
      <c r="J26" s="370"/>
      <c r="K26" s="370"/>
      <c r="L26" s="370"/>
      <c r="M26" s="370"/>
      <c r="N26" s="370"/>
      <c r="O26" s="370"/>
      <c r="P26" s="370"/>
      <c r="Q26" s="370"/>
      <c r="R26" s="370"/>
      <c r="S26" s="370"/>
      <c r="T26" s="370"/>
      <c r="U26" s="370"/>
    </row>
    <row r="27" spans="2:21" ht="15" x14ac:dyDescent="0.2">
      <c r="B27" s="418" t="s">
        <v>587</v>
      </c>
      <c r="C27" s="369"/>
      <c r="D27" s="412"/>
      <c r="E27" s="408"/>
      <c r="F27" s="419"/>
      <c r="G27" s="420"/>
      <c r="H27" s="421"/>
      <c r="I27" s="421"/>
      <c r="J27" s="370"/>
      <c r="K27" s="370"/>
      <c r="L27" s="370"/>
      <c r="M27" s="370"/>
      <c r="N27" s="370"/>
      <c r="O27" s="370"/>
      <c r="P27" s="370"/>
      <c r="Q27" s="370"/>
      <c r="R27" s="370"/>
      <c r="S27" s="370"/>
      <c r="T27" s="370"/>
      <c r="U27" s="370"/>
    </row>
    <row r="28" spans="2:21" s="431" customFormat="1" ht="15" x14ac:dyDescent="0.2">
      <c r="B28" s="426" t="s">
        <v>588</v>
      </c>
      <c r="C28" s="427"/>
      <c r="D28" s="428">
        <f ca="1">SUM(F28:U28)</f>
        <v>468133.45890863077</v>
      </c>
      <c r="E28" s="429"/>
      <c r="F28" s="430">
        <f t="shared" ref="F28:U28" si="6">IF(F19="","",F65+F83+F98+F105)</f>
        <v>0</v>
      </c>
      <c r="G28" s="430">
        <f t="shared" ca="1" si="6"/>
        <v>6689.1826666666675</v>
      </c>
      <c r="H28" s="430">
        <f t="shared" ca="1" si="6"/>
        <v>12618.796806666669</v>
      </c>
      <c r="I28" s="430">
        <f t="shared" ca="1" si="6"/>
        <v>15853.373993731977</v>
      </c>
      <c r="J28" s="430">
        <f t="shared" ca="1" si="6"/>
        <v>16811.520778988008</v>
      </c>
      <c r="K28" s="430">
        <f t="shared" ca="1" si="6"/>
        <v>94266.851300182694</v>
      </c>
      <c r="L28" s="430">
        <f t="shared" ca="1" si="6"/>
        <v>13313.30182095407</v>
      </c>
      <c r="M28" s="430">
        <f t="shared" ca="1" si="6"/>
        <v>14404.716364514019</v>
      </c>
      <c r="N28" s="430">
        <f t="shared" ca="1" si="6"/>
        <v>65681.362065065681</v>
      </c>
      <c r="O28" s="430">
        <f t="shared" ca="1" si="6"/>
        <v>143913.83939742731</v>
      </c>
      <c r="P28" s="430">
        <f t="shared" ca="1" si="6"/>
        <v>84580.513714433619</v>
      </c>
      <c r="Q28" s="430" t="str">
        <f t="shared" si="6"/>
        <v/>
      </c>
      <c r="R28" s="430" t="str">
        <f t="shared" si="6"/>
        <v/>
      </c>
      <c r="S28" s="430" t="str">
        <f t="shared" si="6"/>
        <v/>
      </c>
      <c r="T28" s="430" t="str">
        <f t="shared" si="6"/>
        <v/>
      </c>
      <c r="U28" s="430" t="str">
        <f t="shared" si="6"/>
        <v/>
      </c>
    </row>
    <row r="29" spans="2:21" ht="15" x14ac:dyDescent="0.2">
      <c r="B29" s="422" t="s">
        <v>589</v>
      </c>
      <c r="C29" s="369"/>
      <c r="D29" s="423"/>
      <c r="E29" s="408"/>
      <c r="F29" s="376"/>
      <c r="G29" s="376">
        <f t="shared" ref="G29:U29" ca="1" si="7">IF(ISERROR((+G21/Equity_Share_LP*Equity_Share_Sponsor)),"-",(+G21/Equity_Share_LP*Equity_Share_Sponsor))</f>
        <v>6689.1826666666675</v>
      </c>
      <c r="H29" s="376">
        <f t="shared" ca="1" si="7"/>
        <v>12618.796806666669</v>
      </c>
      <c r="I29" s="376">
        <f t="shared" ca="1" si="7"/>
        <v>15853.373993731977</v>
      </c>
      <c r="J29" s="376">
        <f t="shared" ca="1" si="7"/>
        <v>16811.520778987986</v>
      </c>
      <c r="K29" s="376">
        <f t="shared" ca="1" si="7"/>
        <v>94266.851300182694</v>
      </c>
      <c r="L29" s="376">
        <f t="shared" ca="1" si="7"/>
        <v>13313.30182095407</v>
      </c>
      <c r="M29" s="376">
        <f t="shared" ca="1" si="7"/>
        <v>14404.716364514019</v>
      </c>
      <c r="N29" s="376">
        <f t="shared" ca="1" si="7"/>
        <v>12905.540844357103</v>
      </c>
      <c r="O29" s="376">
        <f t="shared" ca="1" si="7"/>
        <v>10040.500423076322</v>
      </c>
      <c r="P29" s="376">
        <f t="shared" ca="1" si="7"/>
        <v>5900.9660731000185</v>
      </c>
      <c r="Q29" s="376" t="str">
        <f t="shared" si="7"/>
        <v>-</v>
      </c>
      <c r="R29" s="376" t="str">
        <f t="shared" si="7"/>
        <v>-</v>
      </c>
      <c r="S29" s="376" t="str">
        <f t="shared" si="7"/>
        <v>-</v>
      </c>
      <c r="T29" s="376" t="str">
        <f t="shared" si="7"/>
        <v>-</v>
      </c>
      <c r="U29" s="376" t="str">
        <f t="shared" si="7"/>
        <v>-</v>
      </c>
    </row>
    <row r="30" spans="2:21" ht="15" x14ac:dyDescent="0.2">
      <c r="B30" s="422" t="s">
        <v>590</v>
      </c>
      <c r="C30" s="369"/>
      <c r="D30" s="423"/>
      <c r="E30" s="408"/>
      <c r="F30" s="376"/>
      <c r="G30" s="376">
        <f ca="1">IF(ISERROR((+G28-G29)),"-",(+G28-G29))</f>
        <v>0</v>
      </c>
      <c r="H30" s="376">
        <f t="shared" ref="H30:U30" ca="1" si="8">IF(ISERROR((+H28-H29)),"-",(+H28-H29))</f>
        <v>0</v>
      </c>
      <c r="I30" s="376">
        <f t="shared" ca="1" si="8"/>
        <v>0</v>
      </c>
      <c r="J30" s="376">
        <f t="shared" ca="1" si="8"/>
        <v>2.1827872842550278E-11</v>
      </c>
      <c r="K30" s="376">
        <f t="shared" ca="1" si="8"/>
        <v>0</v>
      </c>
      <c r="L30" s="376">
        <f t="shared" ca="1" si="8"/>
        <v>0</v>
      </c>
      <c r="M30" s="376">
        <f t="shared" ca="1" si="8"/>
        <v>0</v>
      </c>
      <c r="N30" s="376">
        <f t="shared" ca="1" si="8"/>
        <v>52775.821220708574</v>
      </c>
      <c r="O30" s="376">
        <f t="shared" ca="1" si="8"/>
        <v>133873.33897435098</v>
      </c>
      <c r="P30" s="376">
        <f t="shared" ca="1" si="8"/>
        <v>78679.5476413336</v>
      </c>
      <c r="Q30" s="376" t="str">
        <f t="shared" si="8"/>
        <v>-</v>
      </c>
      <c r="R30" s="376" t="str">
        <f t="shared" si="8"/>
        <v>-</v>
      </c>
      <c r="S30" s="376" t="str">
        <f t="shared" si="8"/>
        <v>-</v>
      </c>
      <c r="T30" s="376" t="str">
        <f t="shared" si="8"/>
        <v>-</v>
      </c>
      <c r="U30" s="376" t="str">
        <f t="shared" si="8"/>
        <v>-</v>
      </c>
    </row>
    <row r="31" spans="2:21" ht="15" x14ac:dyDescent="0.2">
      <c r="B31" s="422" t="s">
        <v>591</v>
      </c>
      <c r="C31" s="369"/>
      <c r="D31" s="423">
        <f ca="1">SUM(F31:U31)</f>
        <v>526016.15481433866</v>
      </c>
      <c r="E31" s="408"/>
      <c r="F31" s="376">
        <f>IF(F19="","",SUM(F40:F42))</f>
        <v>200000</v>
      </c>
      <c r="G31" s="376">
        <f t="shared" ref="G31:U31" ca="1" si="9">IF(G19="","",SUM(G40:G42))</f>
        <v>24199.994999999999</v>
      </c>
      <c r="H31" s="376">
        <f t="shared" ca="1" si="9"/>
        <v>24199.994999999999</v>
      </c>
      <c r="I31" s="376">
        <f t="shared" ca="1" si="9"/>
        <v>24199.994999999999</v>
      </c>
      <c r="J31" s="376">
        <f t="shared" ca="1" si="9"/>
        <v>24199.994999999999</v>
      </c>
      <c r="K31" s="376">
        <f t="shared" ca="1" si="9"/>
        <v>24199.994999999999</v>
      </c>
      <c r="L31" s="376">
        <f t="shared" ca="1" si="9"/>
        <v>24199.994999999999</v>
      </c>
      <c r="M31" s="376">
        <f t="shared" ca="1" si="9"/>
        <v>24199.994999999999</v>
      </c>
      <c r="N31" s="376">
        <f t="shared" ca="1" si="9"/>
        <v>24199.994999999999</v>
      </c>
      <c r="O31" s="376">
        <f t="shared" ca="1" si="9"/>
        <v>24199.994999999999</v>
      </c>
      <c r="P31" s="376">
        <f t="shared" ca="1" si="9"/>
        <v>108216.19981433873</v>
      </c>
      <c r="Q31" s="376" t="str">
        <f t="shared" si="9"/>
        <v/>
      </c>
      <c r="R31" s="376" t="str">
        <f t="shared" si="9"/>
        <v/>
      </c>
      <c r="S31" s="376" t="str">
        <f t="shared" si="9"/>
        <v/>
      </c>
      <c r="T31" s="376" t="str">
        <f t="shared" si="9"/>
        <v/>
      </c>
      <c r="U31" s="376" t="str">
        <f t="shared" si="9"/>
        <v/>
      </c>
    </row>
    <row r="32" spans="2:21" ht="15" x14ac:dyDescent="0.2">
      <c r="B32" s="422" t="s">
        <v>592</v>
      </c>
      <c r="C32" s="369"/>
      <c r="D32" s="423">
        <f ca="1">SUM(F32:U32)</f>
        <v>133299.97500000009</v>
      </c>
      <c r="E32" s="408"/>
      <c r="F32" s="376">
        <f t="shared" ref="F32:U32" si="10">IF(F19="","",-(MIN(F47,0)+F56))</f>
        <v>133299.97500000009</v>
      </c>
      <c r="G32" s="376">
        <f t="shared" ca="1" si="10"/>
        <v>0</v>
      </c>
      <c r="H32" s="376">
        <f t="shared" ca="1" si="10"/>
        <v>0</v>
      </c>
      <c r="I32" s="376">
        <f t="shared" ca="1" si="10"/>
        <v>0</v>
      </c>
      <c r="J32" s="376">
        <f t="shared" ca="1" si="10"/>
        <v>0</v>
      </c>
      <c r="K32" s="376">
        <f t="shared" ca="1" si="10"/>
        <v>0</v>
      </c>
      <c r="L32" s="376">
        <f t="shared" ca="1" si="10"/>
        <v>0</v>
      </c>
      <c r="M32" s="376">
        <f t="shared" ca="1" si="10"/>
        <v>0</v>
      </c>
      <c r="N32" s="376">
        <f t="shared" ca="1" si="10"/>
        <v>0</v>
      </c>
      <c r="O32" s="376">
        <f t="shared" ca="1" si="10"/>
        <v>0</v>
      </c>
      <c r="P32" s="376">
        <f t="shared" ca="1" si="10"/>
        <v>0</v>
      </c>
      <c r="Q32" s="376" t="str">
        <f t="shared" si="10"/>
        <v/>
      </c>
      <c r="R32" s="376" t="str">
        <f t="shared" si="10"/>
        <v/>
      </c>
      <c r="S32" s="376" t="str">
        <f t="shared" si="10"/>
        <v/>
      </c>
      <c r="T32" s="376" t="str">
        <f t="shared" si="10"/>
        <v/>
      </c>
      <c r="U32" s="376" t="str">
        <f t="shared" si="10"/>
        <v/>
      </c>
    </row>
    <row r="33" spans="2:25" ht="15" x14ac:dyDescent="0.2">
      <c r="B33" s="422" t="s">
        <v>593</v>
      </c>
      <c r="C33" s="369"/>
      <c r="D33" s="423">
        <f ca="1">+D28+D31-D32</f>
        <v>860849.63872296934</v>
      </c>
      <c r="E33" s="408"/>
      <c r="F33" s="419"/>
      <c r="G33" s="420"/>
      <c r="H33" s="421"/>
      <c r="I33" s="421"/>
      <c r="J33" s="370"/>
      <c r="K33" s="370"/>
      <c r="L33" s="370"/>
      <c r="M33" s="370"/>
      <c r="N33" s="370"/>
      <c r="O33" s="370"/>
      <c r="P33" s="370"/>
      <c r="Q33" s="370"/>
      <c r="R33" s="370"/>
      <c r="S33" s="370"/>
      <c r="T33" s="370"/>
      <c r="U33" s="370"/>
    </row>
    <row r="34" spans="2:25" ht="15" x14ac:dyDescent="0.2">
      <c r="B34" s="422" t="s">
        <v>594</v>
      </c>
      <c r="C34" s="369"/>
      <c r="D34" s="424" t="e">
        <f ca="1">IRR(F34:U34)</f>
        <v>#NUM!</v>
      </c>
      <c r="E34" s="408"/>
      <c r="F34" s="376">
        <f>IF(F19="","",(-F32)+F28+F31)</f>
        <v>66700.024999999907</v>
      </c>
      <c r="G34" s="376">
        <f t="shared" ref="G34:U34" ca="1" si="11">IF(G19="","",(-G32)+G28+G31)</f>
        <v>30889.177666666666</v>
      </c>
      <c r="H34" s="376">
        <f t="shared" ca="1" si="11"/>
        <v>36818.791806666668</v>
      </c>
      <c r="I34" s="376">
        <f t="shared" ca="1" si="11"/>
        <v>40053.368993731972</v>
      </c>
      <c r="J34" s="376">
        <f t="shared" ca="1" si="11"/>
        <v>41011.515778988003</v>
      </c>
      <c r="K34" s="376">
        <f t="shared" ca="1" si="11"/>
        <v>118466.84630018269</v>
      </c>
      <c r="L34" s="376">
        <f t="shared" ca="1" si="11"/>
        <v>37513.29682095407</v>
      </c>
      <c r="M34" s="376">
        <f t="shared" ca="1" si="11"/>
        <v>38604.71136451402</v>
      </c>
      <c r="N34" s="376">
        <f t="shared" ca="1" si="11"/>
        <v>89881.357065065677</v>
      </c>
      <c r="O34" s="376">
        <f t="shared" ca="1" si="11"/>
        <v>168113.8343974273</v>
      </c>
      <c r="P34" s="376">
        <f t="shared" ca="1" si="11"/>
        <v>192796.71352877235</v>
      </c>
      <c r="Q34" s="376" t="str">
        <f t="shared" si="11"/>
        <v/>
      </c>
      <c r="R34" s="376" t="str">
        <f t="shared" si="11"/>
        <v/>
      </c>
      <c r="S34" s="376" t="str">
        <f t="shared" si="11"/>
        <v/>
      </c>
      <c r="T34" s="376" t="str">
        <f t="shared" si="11"/>
        <v/>
      </c>
      <c r="U34" s="376" t="str">
        <f t="shared" si="11"/>
        <v/>
      </c>
    </row>
    <row r="35" spans="2:25" ht="15" x14ac:dyDescent="0.2">
      <c r="B35" s="422" t="s">
        <v>595</v>
      </c>
      <c r="C35" s="369"/>
      <c r="D35" s="425">
        <f ca="1">D28/D32</f>
        <v>3.5118795701846941</v>
      </c>
      <c r="E35" s="408"/>
      <c r="F35" s="419"/>
      <c r="G35" s="420"/>
      <c r="H35" s="421"/>
      <c r="I35" s="421"/>
      <c r="J35" s="370"/>
      <c r="K35" s="370"/>
      <c r="L35" s="370"/>
      <c r="M35" s="370"/>
      <c r="N35" s="370"/>
      <c r="O35" s="370"/>
      <c r="P35" s="370"/>
      <c r="Q35" s="370"/>
      <c r="R35" s="370"/>
      <c r="S35" s="370"/>
      <c r="T35" s="370"/>
      <c r="U35" s="370"/>
    </row>
    <row r="36" spans="2:25" ht="5" customHeight="1" x14ac:dyDescent="0.2">
      <c r="B36" s="432"/>
      <c r="C36" s="433"/>
      <c r="D36" s="434"/>
      <c r="E36" s="369"/>
      <c r="F36" s="370"/>
      <c r="G36" s="370"/>
      <c r="H36" s="370"/>
      <c r="I36" s="370"/>
      <c r="J36" s="370"/>
      <c r="K36" s="370"/>
      <c r="L36" s="370"/>
      <c r="M36" s="370"/>
      <c r="N36" s="370"/>
      <c r="O36" s="370"/>
      <c r="P36" s="370"/>
      <c r="Q36" s="370"/>
      <c r="R36" s="370"/>
      <c r="S36" s="370"/>
      <c r="T36" s="370"/>
      <c r="U36" s="370"/>
    </row>
    <row r="37" spans="2:25" ht="16" x14ac:dyDescent="0.2">
      <c r="B37" s="392" t="s">
        <v>596</v>
      </c>
      <c r="C37" s="393"/>
      <c r="D37" s="393"/>
      <c r="E37" s="398"/>
      <c r="F37" s="417">
        <v>0</v>
      </c>
      <c r="G37" s="417">
        <f t="shared" ref="G37:U37" si="12">IF(F37&gt;=$G$4,"",F37+1)</f>
        <v>1</v>
      </c>
      <c r="H37" s="417">
        <f t="shared" si="12"/>
        <v>2</v>
      </c>
      <c r="I37" s="417">
        <f t="shared" si="12"/>
        <v>3</v>
      </c>
      <c r="J37" s="417">
        <f t="shared" si="12"/>
        <v>4</v>
      </c>
      <c r="K37" s="417">
        <f t="shared" si="12"/>
        <v>5</v>
      </c>
      <c r="L37" s="417">
        <f t="shared" si="12"/>
        <v>6</v>
      </c>
      <c r="M37" s="417">
        <f t="shared" si="12"/>
        <v>7</v>
      </c>
      <c r="N37" s="417">
        <f t="shared" si="12"/>
        <v>8</v>
      </c>
      <c r="O37" s="417">
        <f t="shared" si="12"/>
        <v>9</v>
      </c>
      <c r="P37" s="417">
        <f t="shared" si="12"/>
        <v>10</v>
      </c>
      <c r="Q37" s="417" t="str">
        <f t="shared" si="12"/>
        <v/>
      </c>
      <c r="R37" s="417" t="str">
        <f t="shared" si="12"/>
        <v/>
      </c>
      <c r="S37" s="417" t="str">
        <f t="shared" si="12"/>
        <v/>
      </c>
      <c r="T37" s="417" t="str">
        <f t="shared" si="12"/>
        <v/>
      </c>
      <c r="U37" s="417" t="str">
        <f t="shared" si="12"/>
        <v/>
      </c>
      <c r="V37" s="435"/>
      <c r="W37" s="435"/>
      <c r="X37" s="435"/>
      <c r="Y37" s="435"/>
    </row>
    <row r="38" spans="2:25" ht="15" x14ac:dyDescent="0.2">
      <c r="B38" s="369"/>
      <c r="C38" s="369"/>
      <c r="D38" s="369"/>
      <c r="E38" s="377" t="s">
        <v>597</v>
      </c>
      <c r="F38" s="436">
        <f ca="1">EOMONTH(TODAY(),0)</f>
        <v>45930</v>
      </c>
      <c r="G38" s="437">
        <f ca="1">IF(G37="","",EOMONTH(F38,12))</f>
        <v>46295</v>
      </c>
      <c r="H38" s="437">
        <f t="shared" ref="H38:U38" ca="1" si="13">IF(H37="","",EOMONTH(G38,12))</f>
        <v>46660</v>
      </c>
      <c r="I38" s="437">
        <f t="shared" ca="1" si="13"/>
        <v>47026</v>
      </c>
      <c r="J38" s="437">
        <f t="shared" ca="1" si="13"/>
        <v>47391</v>
      </c>
      <c r="K38" s="437">
        <f t="shared" ca="1" si="13"/>
        <v>47756</v>
      </c>
      <c r="L38" s="437">
        <f t="shared" ca="1" si="13"/>
        <v>48121</v>
      </c>
      <c r="M38" s="437">
        <f t="shared" ca="1" si="13"/>
        <v>48487</v>
      </c>
      <c r="N38" s="437">
        <f t="shared" ca="1" si="13"/>
        <v>48852</v>
      </c>
      <c r="O38" s="437">
        <f t="shared" ca="1" si="13"/>
        <v>49217</v>
      </c>
      <c r="P38" s="437">
        <f t="shared" ca="1" si="13"/>
        <v>49582</v>
      </c>
      <c r="Q38" s="437" t="str">
        <f t="shared" si="13"/>
        <v/>
      </c>
      <c r="R38" s="437" t="str">
        <f t="shared" si="13"/>
        <v/>
      </c>
      <c r="S38" s="437" t="str">
        <f t="shared" si="13"/>
        <v/>
      </c>
      <c r="T38" s="437" t="str">
        <f t="shared" si="13"/>
        <v/>
      </c>
      <c r="U38" s="437" t="str">
        <f t="shared" si="13"/>
        <v/>
      </c>
      <c r="V38" s="435"/>
      <c r="W38" s="435"/>
      <c r="X38" s="435"/>
      <c r="Y38" s="435"/>
    </row>
    <row r="39" spans="2:25" ht="15" x14ac:dyDescent="0.2">
      <c r="B39" s="438" t="s">
        <v>598</v>
      </c>
      <c r="C39" s="369"/>
      <c r="D39" s="369"/>
      <c r="E39" s="405"/>
      <c r="F39" s="439">
        <f>Proforma!E115</f>
        <v>-2419999.5</v>
      </c>
      <c r="G39" s="439">
        <f ca="1">IF(G37="","",IF(G37=$G$4,Proforma!F115+Proforma!F104-Proforma!F99,Proforma!F115))</f>
        <v>162983.64833333335</v>
      </c>
      <c r="H39" s="439">
        <f ca="1">IF(H37="","",IF(H37=$G$4,Proforma!G115+Proforma!G104-Proforma!G99,Proforma!G115))</f>
        <v>281575.93113333336</v>
      </c>
      <c r="I39" s="439">
        <f ca="1">IF(I37="","",IF(I37=$G$4,Proforma!H115+Proforma!H104-Proforma!H99,Proforma!H115))</f>
        <v>346267.47487463953</v>
      </c>
      <c r="J39" s="439">
        <f ca="1">IF(J37="","",IF(J37=$G$4,Proforma!I115+Proforma!I104-Proforma!I99,Proforma!I115))</f>
        <v>365430.41057975963</v>
      </c>
      <c r="K39" s="439">
        <f ca="1">IF(K37="","",IF(K37=$G$4,Proforma!J115+Proforma!J104-Proforma!J99,Proforma!J115))</f>
        <v>1914537.0210036538</v>
      </c>
      <c r="L39" s="439">
        <f ca="1">IF(L37="","",IF(L37=$G$4,Proforma!K115+Proforma!K104-Proforma!K99,Proforma!K115))</f>
        <v>295466.03141908138</v>
      </c>
      <c r="M39" s="439">
        <f ca="1">IF(M37="","",IF(M37=$G$4,Proforma!L115+Proforma!L104-Proforma!L99,Proforma!L115))</f>
        <v>317294.32229028037</v>
      </c>
      <c r="N39" s="439">
        <f ca="1">IF(N37="","",IF(N37=$G$4,Proforma!M115+Proforma!M104-Proforma!M99,Proforma!M115))</f>
        <v>340086.63310785062</v>
      </c>
      <c r="O39" s="439">
        <f ca="1">IF(O37="","",IF(O37=$G$4,Proforma!N115+Proforma!N104-Proforma!N99,Proforma!N115))</f>
        <v>363883.34243587742</v>
      </c>
      <c r="P39" s="439">
        <f ca="1">IF(P37="","",IF(P37=$G$4,Proforma!O115+Proforma!O104-Proforma!O99,Proforma!O115))</f>
        <v>603971.78576785827</v>
      </c>
      <c r="Q39" s="439" t="str">
        <f>IF(Q37="","",IF(Q37=$G$4,Proforma!P115+Proforma!P104-Proforma!P99,Proforma!P115))</f>
        <v/>
      </c>
      <c r="R39" s="439" t="str">
        <f>IF(R37="","",IF(R37=$G$4,Proforma!Q115+Proforma!Q104-Proforma!Q99,Proforma!Q115))</f>
        <v/>
      </c>
      <c r="S39" s="439" t="str">
        <f>IF(S37="","",IF(S37=$G$4,Proforma!R115+Proforma!R104-Proforma!R99,Proforma!R115))</f>
        <v/>
      </c>
      <c r="T39" s="439" t="str">
        <f>IF(T37="","",IF(T37=$G$4,Proforma!S115+Proforma!S104-Proforma!S99,Proforma!S115))</f>
        <v/>
      </c>
      <c r="U39" s="439" t="str">
        <f>IF(U37="","",IF(U37=$G$4,Proforma!T115+Proforma!T104-Proforma!T99,Proforma!T115))</f>
        <v/>
      </c>
    </row>
    <row r="40" spans="2:25" ht="15" x14ac:dyDescent="0.2">
      <c r="B40" s="422" t="s">
        <v>599</v>
      </c>
      <c r="C40" s="440">
        <v>0.01</v>
      </c>
      <c r="D40" s="369"/>
      <c r="E40" s="405"/>
      <c r="F40" s="439">
        <v>0</v>
      </c>
      <c r="G40" s="439">
        <f ca="1">IF(G39="","",$C$40*(-Proforma!$E$115))</f>
        <v>24199.994999999999</v>
      </c>
      <c r="H40" s="439">
        <f ca="1">IF(H39="","",$C$40*(-Proforma!$E$115))</f>
        <v>24199.994999999999</v>
      </c>
      <c r="I40" s="439">
        <f ca="1">IF(I39="","",$C$40*(-Proforma!$E$115))</f>
        <v>24199.994999999999</v>
      </c>
      <c r="J40" s="439">
        <f ca="1">IF(J39="","",$C$40*(-Proforma!$E$115))</f>
        <v>24199.994999999999</v>
      </c>
      <c r="K40" s="439">
        <f ca="1">IF(K39="","",$C$40*(-Proforma!$E$115))</f>
        <v>24199.994999999999</v>
      </c>
      <c r="L40" s="439">
        <f ca="1">IF(L39="","",$C$40*(-Proforma!$E$115))</f>
        <v>24199.994999999999</v>
      </c>
      <c r="M40" s="439">
        <f ca="1">IF(M39="","",$C$40*(-Proforma!$E$115))</f>
        <v>24199.994999999999</v>
      </c>
      <c r="N40" s="439">
        <f ca="1">IF(N39="","",$C$40*(-Proforma!$E$115))</f>
        <v>24199.994999999999</v>
      </c>
      <c r="O40" s="439">
        <f ca="1">IF(O39="","",$C$40*(-Proforma!$E$115))</f>
        <v>24199.994999999999</v>
      </c>
      <c r="P40" s="439">
        <f ca="1">IF(P39="","",$C$40*(-Proforma!$E$115))</f>
        <v>24199.994999999999</v>
      </c>
      <c r="Q40" s="439" t="str">
        <f>IF(Q39="","",$C$40*(-Proforma!$E$115))</f>
        <v/>
      </c>
      <c r="R40" s="439" t="str">
        <f>IF(R39="","",$C$40*(-Proforma!$E$115))</f>
        <v/>
      </c>
      <c r="S40" s="439" t="str">
        <f>IF(S39="","",$C$40*(-Proforma!$E$115))</f>
        <v/>
      </c>
      <c r="T40" s="439" t="str">
        <f>IF(T39="","",$C$40*(-Proforma!$E$115))</f>
        <v/>
      </c>
      <c r="U40" s="439" t="str">
        <f>IF(U39="","",$C$40*(-Proforma!$E$115))</f>
        <v/>
      </c>
    </row>
    <row r="41" spans="2:25" ht="15" x14ac:dyDescent="0.2">
      <c r="B41" s="422" t="s">
        <v>600</v>
      </c>
      <c r="C41" s="441">
        <v>0.01</v>
      </c>
      <c r="D41" s="369"/>
      <c r="E41" s="405"/>
      <c r="F41" s="439">
        <v>200000</v>
      </c>
      <c r="G41" s="439">
        <f ca="1">IF(G39="","",0)</f>
        <v>0</v>
      </c>
      <c r="H41" s="439">
        <f t="shared" ref="H41:U41" ca="1" si="14">IF(H39="","",0)</f>
        <v>0</v>
      </c>
      <c r="I41" s="439">
        <f t="shared" ca="1" si="14"/>
        <v>0</v>
      </c>
      <c r="J41" s="439">
        <f t="shared" ca="1" si="14"/>
        <v>0</v>
      </c>
      <c r="K41" s="439">
        <f t="shared" ca="1" si="14"/>
        <v>0</v>
      </c>
      <c r="L41" s="439">
        <f t="shared" ca="1" si="14"/>
        <v>0</v>
      </c>
      <c r="M41" s="439">
        <f t="shared" ca="1" si="14"/>
        <v>0</v>
      </c>
      <c r="N41" s="439">
        <f t="shared" ca="1" si="14"/>
        <v>0</v>
      </c>
      <c r="O41" s="439">
        <f t="shared" ca="1" si="14"/>
        <v>0</v>
      </c>
      <c r="P41" s="439">
        <f t="shared" ca="1" si="14"/>
        <v>0</v>
      </c>
      <c r="Q41" s="439" t="str">
        <f t="shared" si="14"/>
        <v/>
      </c>
      <c r="R41" s="439" t="str">
        <f t="shared" si="14"/>
        <v/>
      </c>
      <c r="S41" s="439" t="str">
        <f t="shared" si="14"/>
        <v/>
      </c>
      <c r="T41" s="439" t="str">
        <f t="shared" si="14"/>
        <v/>
      </c>
      <c r="U41" s="439" t="str">
        <f t="shared" si="14"/>
        <v/>
      </c>
    </row>
    <row r="42" spans="2:25" ht="15" x14ac:dyDescent="0.2">
      <c r="B42" s="422" t="s">
        <v>601</v>
      </c>
      <c r="C42" s="441">
        <v>0.01</v>
      </c>
      <c r="D42" s="369"/>
      <c r="E42" s="405"/>
      <c r="F42" s="439">
        <v>0</v>
      </c>
      <c r="G42" s="439">
        <f ca="1">IF(G37=$G$4,$C$42*Proforma!F102,IF(G41="","",0))</f>
        <v>0</v>
      </c>
      <c r="H42" s="439">
        <f ca="1">IF(H37=$G$4,$C$42*Proforma!G102,IF(H41="","",0))</f>
        <v>0</v>
      </c>
      <c r="I42" s="439">
        <f ca="1">IF(I37=$G$4,$C$42*Proforma!H102,IF(I41="","",0))</f>
        <v>0</v>
      </c>
      <c r="J42" s="439">
        <f ca="1">IF(J37=$G$4,$C$42*Proforma!I102,IF(J41="","",0))</f>
        <v>0</v>
      </c>
      <c r="K42" s="439">
        <f ca="1">IF(K37=$G$4,$C$42*Proforma!J102,IF(K41="","",0))</f>
        <v>0</v>
      </c>
      <c r="L42" s="439">
        <f ca="1">IF(L37=$G$4,$C$42*Proforma!K102,IF(L41="","",0))</f>
        <v>0</v>
      </c>
      <c r="M42" s="439">
        <f ca="1">IF(M37=$G$4,$C$42*Proforma!L102,IF(M41="","",0))</f>
        <v>0</v>
      </c>
      <c r="N42" s="439">
        <f ca="1">IF(N37=$G$4,$C$42*Proforma!M102,IF(N41="","",0))</f>
        <v>0</v>
      </c>
      <c r="O42" s="439">
        <f ca="1">IF(O37=$G$4,$C$42*Proforma!N102,IF(O41="","",0))</f>
        <v>0</v>
      </c>
      <c r="P42" s="439">
        <f ca="1">IF(P37=$G$4,$C$42*Proforma!O102,IF(P41="","",0))</f>
        <v>84016.204814338736</v>
      </c>
      <c r="Q42" s="439" t="str">
        <f>IF(Q37=$G$4,$C$42*Proforma!P102,IF(Q41="","",0))</f>
        <v/>
      </c>
      <c r="R42" s="439" t="str">
        <f>IF(R37=$G$4,$C$42*Proforma!Q102,IF(R41="","",0))</f>
        <v/>
      </c>
      <c r="S42" s="439" t="str">
        <f>IF(S37=$G$4,$C$42*Proforma!R102,IF(S41="","",0))</f>
        <v/>
      </c>
      <c r="T42" s="439" t="str">
        <f>IF(T37=$G$4,$C$42*Proforma!S102,IF(T41="","",0))</f>
        <v/>
      </c>
      <c r="U42" s="439" t="str">
        <f>IF(U37=$G$4,$C$42*Proforma!T102,IF(U41="","",0))</f>
        <v/>
      </c>
    </row>
    <row r="43" spans="2:25" ht="15" x14ac:dyDescent="0.2">
      <c r="B43" s="422" t="s">
        <v>602</v>
      </c>
      <c r="C43" s="442">
        <v>25</v>
      </c>
      <c r="D43" s="369" t="s">
        <v>603</v>
      </c>
      <c r="E43" s="405"/>
      <c r="F43" s="439"/>
      <c r="G43" s="439">
        <f ca="1">IF(G42="","",$C43*200)</f>
        <v>5000</v>
      </c>
      <c r="H43" s="439">
        <f t="shared" ref="H43:U43" ca="1" si="15">IF(H42="","",$C43*200)</f>
        <v>5000</v>
      </c>
      <c r="I43" s="439">
        <f t="shared" ca="1" si="15"/>
        <v>5000</v>
      </c>
      <c r="J43" s="439">
        <f t="shared" ca="1" si="15"/>
        <v>5000</v>
      </c>
      <c r="K43" s="439">
        <f t="shared" ca="1" si="15"/>
        <v>5000</v>
      </c>
      <c r="L43" s="439">
        <f t="shared" ca="1" si="15"/>
        <v>5000</v>
      </c>
      <c r="M43" s="439">
        <f t="shared" ca="1" si="15"/>
        <v>5000</v>
      </c>
      <c r="N43" s="439">
        <f t="shared" ca="1" si="15"/>
        <v>5000</v>
      </c>
      <c r="O43" s="439">
        <f t="shared" ca="1" si="15"/>
        <v>5000</v>
      </c>
      <c r="P43" s="439">
        <f t="shared" ca="1" si="15"/>
        <v>5000</v>
      </c>
      <c r="Q43" s="439" t="str">
        <f t="shared" si="15"/>
        <v/>
      </c>
      <c r="R43" s="439" t="str">
        <f t="shared" si="15"/>
        <v/>
      </c>
      <c r="S43" s="439" t="str">
        <f t="shared" si="15"/>
        <v/>
      </c>
      <c r="T43" s="439" t="str">
        <f t="shared" si="15"/>
        <v/>
      </c>
      <c r="U43" s="439" t="str">
        <f t="shared" si="15"/>
        <v/>
      </c>
    </row>
    <row r="44" spans="2:25" ht="15" x14ac:dyDescent="0.2">
      <c r="B44" s="422" t="s">
        <v>604</v>
      </c>
      <c r="C44" s="438">
        <f>C43</f>
        <v>25</v>
      </c>
      <c r="D44" s="443" t="str">
        <f>IF(C44&lt;25,"Need to calculate manually when less than 25","")</f>
        <v/>
      </c>
      <c r="E44" s="405"/>
      <c r="F44" s="439">
        <f>MAX(C44-25,0)*1200+24000+22000</f>
        <v>46000</v>
      </c>
      <c r="G44" s="439"/>
      <c r="H44" s="439"/>
      <c r="I44" s="439"/>
      <c r="J44" s="439"/>
      <c r="K44" s="439"/>
      <c r="L44" s="439"/>
      <c r="M44" s="439"/>
      <c r="N44" s="439"/>
      <c r="O44" s="439"/>
      <c r="P44" s="439"/>
      <c r="Q44" s="439"/>
      <c r="R44" s="439"/>
      <c r="S44" s="439"/>
      <c r="T44" s="439"/>
      <c r="U44" s="439"/>
    </row>
    <row r="45" spans="2:25" ht="15" x14ac:dyDescent="0.2">
      <c r="B45" s="422" t="s">
        <v>605</v>
      </c>
      <c r="C45" s="441">
        <v>0.03</v>
      </c>
      <c r="D45" s="369"/>
      <c r="E45" s="405"/>
      <c r="F45" s="439">
        <v>0</v>
      </c>
      <c r="G45" s="439">
        <f ca="1">IF(G$37=$G$4,$C$45*Proforma!F$102,IF(G42="","",0))</f>
        <v>0</v>
      </c>
      <c r="H45" s="439">
        <f ca="1">IF(H$37=$G$4,$C$45*Proforma!G$102,IF(H42="","",0))</f>
        <v>0</v>
      </c>
      <c r="I45" s="439">
        <f ca="1">IF(I$37=$G$4,$C$45*Proforma!H$102,IF(I42="","",0))</f>
        <v>0</v>
      </c>
      <c r="J45" s="439">
        <f ca="1">IF(J$37=$G$4,$C$45*Proforma!I$102,IF(J42="","",0))</f>
        <v>0</v>
      </c>
      <c r="K45" s="439">
        <f ca="1">IF(K$37=$G$4,$C$45*Proforma!J$102,IF(K42="","",0))</f>
        <v>0</v>
      </c>
      <c r="L45" s="439">
        <f ca="1">IF(L$37=$G$4,$C$45*Proforma!K$102,IF(L42="","",0))</f>
        <v>0</v>
      </c>
      <c r="M45" s="439">
        <f ca="1">IF(M$37=$G$4,$C$45*Proforma!L$102,IF(M42="","",0))</f>
        <v>0</v>
      </c>
      <c r="N45" s="439">
        <f ca="1">IF(N$37=$G$4,$C$45*Proforma!M$102,IF(N42="","",0))</f>
        <v>0</v>
      </c>
      <c r="O45" s="439">
        <f ca="1">IF(O$37=$G$4,$C$45*Proforma!N$102,IF(O42="","",0))</f>
        <v>0</v>
      </c>
      <c r="P45" s="439">
        <f ca="1">IF(P$37=$G$4,$C$45*Proforma!O$102,IF(P42="","",0))</f>
        <v>252048.61444301621</v>
      </c>
      <c r="Q45" s="439" t="str">
        <f>IF(Q$37=$G$4,$C$45*Proforma!P$102,IF(Q42="","",0))</f>
        <v/>
      </c>
      <c r="R45" s="439" t="str">
        <f>IF(R$37=$G$4,$C$45*Proforma!Q$102,IF(R42="","",0))</f>
        <v/>
      </c>
      <c r="S45" s="439" t="str">
        <f>IF(S$37=$G$4,$C$45*Proforma!R$102,IF(S42="","",0))</f>
        <v/>
      </c>
      <c r="T45" s="439" t="str">
        <f>IF(T$37=$G$4,$C$45*Proforma!S$102,IF(T42="","",0))</f>
        <v/>
      </c>
      <c r="U45" s="439" t="str">
        <f>IF(U$37=$G$4,$C$45*Proforma!T$102,IF(U42="","",0))</f>
        <v/>
      </c>
    </row>
    <row r="46" spans="2:25" ht="15" x14ac:dyDescent="0.2">
      <c r="B46" s="422" t="s">
        <v>606</v>
      </c>
      <c r="C46" s="441">
        <v>5.0000000000000001E-3</v>
      </c>
      <c r="D46" s="369"/>
      <c r="E46" s="405"/>
      <c r="F46" s="439">
        <v>0</v>
      </c>
      <c r="G46" s="439">
        <f ca="1">IF(G$37=$G$4,$C$46*Proforma!F$102,IF(G45="","",0))</f>
        <v>0</v>
      </c>
      <c r="H46" s="439">
        <f ca="1">IF(H$37=$G$4,$C$46*Proforma!G$102,IF(H45="","",0))</f>
        <v>0</v>
      </c>
      <c r="I46" s="439">
        <f ca="1">IF(I$37=$G$4,$C$46*Proforma!H$102,IF(I45="","",0))</f>
        <v>0</v>
      </c>
      <c r="J46" s="439">
        <f ca="1">IF(J$37=$G$4,$C$46*Proforma!I$102,IF(J45="","",0))</f>
        <v>0</v>
      </c>
      <c r="K46" s="439">
        <f ca="1">IF(K$37=$G$4,$C$46*Proforma!J$102,IF(K45="","",0))</f>
        <v>0</v>
      </c>
      <c r="L46" s="439">
        <f ca="1">IF(L$37=$G$4,$C$46*Proforma!K$102,IF(L45="","",0))</f>
        <v>0</v>
      </c>
      <c r="M46" s="439">
        <f ca="1">IF(M$37=$G$4,$C$46*Proforma!L$102,IF(M45="","",0))</f>
        <v>0</v>
      </c>
      <c r="N46" s="439">
        <f ca="1">IF(N$37=$G$4,$C$46*Proforma!M$102,IF(N45="","",0))</f>
        <v>0</v>
      </c>
      <c r="O46" s="439">
        <f ca="1">IF(O$37=$G$4,$C$46*Proforma!N$102,IF(O45="","",0))</f>
        <v>0</v>
      </c>
      <c r="P46" s="439">
        <f ca="1">IF(P$37=$G$4,$C$46*Proforma!O$102,IF(P45="","",0))</f>
        <v>42008.102407169368</v>
      </c>
      <c r="Q46" s="439" t="str">
        <f>IF(Q$37=$G$4,$C$46*Proforma!P$102,IF(Q45="","",0))</f>
        <v/>
      </c>
      <c r="R46" s="439" t="str">
        <f>IF(R$37=$G$4,$C$46*Proforma!Q$102,IF(R45="","",0))</f>
        <v/>
      </c>
      <c r="S46" s="439" t="str">
        <f>IF(S$37=$G$4,$C$46*Proforma!R$102,IF(S45="","",0))</f>
        <v/>
      </c>
      <c r="T46" s="439" t="str">
        <f>IF(T$37=$G$4,$C$46*Proforma!S$102,IF(T45="","",0))</f>
        <v/>
      </c>
      <c r="U46" s="439" t="str">
        <f>IF(U$37=$G$4,$C$46*Proforma!T$102,IF(U45="","",0))</f>
        <v/>
      </c>
    </row>
    <row r="47" spans="2:25" ht="15" x14ac:dyDescent="0.2">
      <c r="B47" s="369" t="s">
        <v>607</v>
      </c>
      <c r="C47" s="369"/>
      <c r="D47" s="369"/>
      <c r="E47" s="405"/>
      <c r="F47" s="439">
        <f>IF(F37="","",F39-SUM(F40:F46))</f>
        <v>-2665999.5</v>
      </c>
      <c r="G47" s="439">
        <f t="shared" ref="G47:U47" ca="1" si="16">IF(G37="","",G39-SUM(G40:G46))</f>
        <v>133783.65333333335</v>
      </c>
      <c r="H47" s="439">
        <f t="shared" ca="1" si="16"/>
        <v>252375.93613333337</v>
      </c>
      <c r="I47" s="439">
        <f t="shared" ca="1" si="16"/>
        <v>317067.47987463954</v>
      </c>
      <c r="J47" s="439">
        <f t="shared" ca="1" si="16"/>
        <v>336230.41557975963</v>
      </c>
      <c r="K47" s="439">
        <f t="shared" ca="1" si="16"/>
        <v>1885337.0260036536</v>
      </c>
      <c r="L47" s="439">
        <f t="shared" ca="1" si="16"/>
        <v>266266.03641908139</v>
      </c>
      <c r="M47" s="439">
        <f t="shared" ca="1" si="16"/>
        <v>288094.32729028037</v>
      </c>
      <c r="N47" s="439">
        <f t="shared" ca="1" si="16"/>
        <v>310886.63810785062</v>
      </c>
      <c r="O47" s="439">
        <f t="shared" ca="1" si="16"/>
        <v>334683.34743587743</v>
      </c>
      <c r="P47" s="439">
        <f t="shared" ca="1" si="16"/>
        <v>196698.86910333397</v>
      </c>
      <c r="Q47" s="439" t="str">
        <f t="shared" si="16"/>
        <v/>
      </c>
      <c r="R47" s="439" t="str">
        <f t="shared" si="16"/>
        <v/>
      </c>
      <c r="S47" s="439" t="str">
        <f t="shared" si="16"/>
        <v/>
      </c>
      <c r="T47" s="439" t="str">
        <f t="shared" si="16"/>
        <v/>
      </c>
      <c r="U47" s="439" t="str">
        <f t="shared" si="16"/>
        <v/>
      </c>
    </row>
    <row r="48" spans="2:25" ht="15" x14ac:dyDescent="0.2">
      <c r="B48" s="369" t="s">
        <v>608</v>
      </c>
      <c r="C48" s="369"/>
      <c r="D48" s="369"/>
      <c r="E48" s="369"/>
      <c r="F48" s="421">
        <f ca="1">IRR(F47:U47)</f>
        <v>9.6989943656305755E-2</v>
      </c>
      <c r="G48" s="370"/>
      <c r="H48" s="370"/>
      <c r="I48" s="370"/>
      <c r="J48" s="370"/>
      <c r="K48" s="370"/>
      <c r="L48" s="370"/>
      <c r="M48" s="370"/>
      <c r="N48" s="370"/>
      <c r="O48" s="370"/>
      <c r="P48" s="370"/>
      <c r="Q48" s="370"/>
      <c r="R48" s="370"/>
      <c r="S48" s="370"/>
      <c r="T48" s="370"/>
      <c r="U48" s="370"/>
    </row>
    <row r="49" spans="2:21" ht="15" x14ac:dyDescent="0.2">
      <c r="B49" s="369" t="s">
        <v>574</v>
      </c>
      <c r="C49" s="369"/>
      <c r="D49" s="369"/>
      <c r="E49" s="369"/>
      <c r="F49" s="444">
        <f ca="1">SUMIF(F47:U47,"&gt;0")/-SUMIF(F47:U47,"&lt;0")</f>
        <v>1.6209394372658896</v>
      </c>
      <c r="G49" s="370"/>
      <c r="H49" s="370"/>
      <c r="I49" s="370"/>
      <c r="J49" s="370"/>
      <c r="K49" s="370"/>
      <c r="L49" s="370"/>
      <c r="M49" s="370"/>
      <c r="N49" s="370"/>
      <c r="O49" s="370"/>
      <c r="P49" s="370"/>
      <c r="Q49" s="370"/>
      <c r="R49" s="370"/>
      <c r="S49" s="370"/>
      <c r="T49" s="370"/>
      <c r="U49" s="370"/>
    </row>
    <row r="50" spans="2:21" ht="5" customHeight="1" x14ac:dyDescent="0.2">
      <c r="B50" s="369"/>
      <c r="C50" s="369"/>
      <c r="D50" s="369"/>
      <c r="E50" s="370"/>
      <c r="F50" s="445"/>
      <c r="G50" s="370"/>
      <c r="H50" s="370"/>
      <c r="I50" s="370"/>
      <c r="J50" s="370"/>
      <c r="K50" s="370"/>
      <c r="L50" s="370"/>
      <c r="M50" s="370"/>
      <c r="N50" s="370"/>
      <c r="O50" s="370"/>
      <c r="P50" s="445"/>
      <c r="Q50" s="370"/>
      <c r="R50" s="370"/>
      <c r="S50" s="370"/>
      <c r="T50" s="370"/>
      <c r="U50" s="370"/>
    </row>
    <row r="51" spans="2:21" ht="16" x14ac:dyDescent="0.2">
      <c r="B51" s="372" t="s">
        <v>609</v>
      </c>
      <c r="C51" s="369"/>
      <c r="D51" s="369"/>
      <c r="E51" s="369"/>
      <c r="F51" s="370"/>
      <c r="G51" s="370"/>
      <c r="H51" s="370"/>
      <c r="I51" s="370"/>
      <c r="J51" s="370"/>
      <c r="K51" s="370"/>
      <c r="L51" s="370"/>
      <c r="M51" s="370"/>
      <c r="N51" s="370"/>
      <c r="O51" s="370"/>
      <c r="P51" s="370"/>
      <c r="Q51" s="370"/>
      <c r="R51" s="370"/>
      <c r="S51" s="370"/>
      <c r="T51" s="370"/>
      <c r="U51" s="370"/>
    </row>
    <row r="52" spans="2:21" ht="15" x14ac:dyDescent="0.2">
      <c r="B52" s="446" t="s">
        <v>610</v>
      </c>
      <c r="C52" s="447">
        <f>E14</f>
        <v>7.0000000000000007E-2</v>
      </c>
      <c r="D52" s="393"/>
      <c r="E52" s="393"/>
      <c r="F52" s="394"/>
      <c r="G52" s="394"/>
      <c r="H52" s="394"/>
      <c r="I52" s="394"/>
      <c r="J52" s="394"/>
      <c r="K52" s="394"/>
      <c r="L52" s="394"/>
      <c r="M52" s="394"/>
      <c r="N52" s="394"/>
      <c r="O52" s="394"/>
      <c r="P52" s="394"/>
      <c r="Q52" s="394"/>
      <c r="R52" s="394"/>
      <c r="S52" s="394"/>
      <c r="T52" s="394"/>
      <c r="U52" s="394"/>
    </row>
    <row r="53" spans="2:21" ht="15" x14ac:dyDescent="0.2">
      <c r="B53" s="369" t="s">
        <v>611</v>
      </c>
      <c r="C53" s="369"/>
      <c r="D53" s="369"/>
      <c r="E53" s="369"/>
      <c r="F53" s="448">
        <f t="shared" ref="F53:U53" si="17">IF(F37="","",E58)</f>
        <v>0</v>
      </c>
      <c r="G53" s="448">
        <f t="shared" si="17"/>
        <v>2532699.5249999999</v>
      </c>
      <c r="H53" s="448">
        <f t="shared" ca="1" si="17"/>
        <v>2582894.0210833335</v>
      </c>
      <c r="I53" s="448">
        <f t="shared" ca="1" si="17"/>
        <v>2523939.4632325005</v>
      </c>
      <c r="J53" s="448">
        <f t="shared" ca="1" si="17"/>
        <v>2399401.1197778676</v>
      </c>
      <c r="K53" s="448">
        <f t="shared" ca="1" si="17"/>
        <v>2247940.3033615467</v>
      </c>
      <c r="L53" s="448">
        <f t="shared" ca="1" si="17"/>
        <v>614225.94989338424</v>
      </c>
      <c r="M53" s="448">
        <f t="shared" ca="1" si="17"/>
        <v>404269.03178779385</v>
      </c>
      <c r="N53" s="448">
        <f t="shared" ca="1" si="17"/>
        <v>158878.2530871731</v>
      </c>
      <c r="O53" s="448">
        <f t="shared" ca="1" si="17"/>
        <v>0</v>
      </c>
      <c r="P53" s="448">
        <f t="shared" ca="1" si="17"/>
        <v>0</v>
      </c>
      <c r="Q53" s="448" t="str">
        <f t="shared" si="17"/>
        <v/>
      </c>
      <c r="R53" s="448" t="str">
        <f t="shared" si="17"/>
        <v/>
      </c>
      <c r="S53" s="448" t="str">
        <f t="shared" si="17"/>
        <v/>
      </c>
      <c r="T53" s="448" t="str">
        <f t="shared" si="17"/>
        <v/>
      </c>
      <c r="U53" s="448" t="str">
        <f t="shared" si="17"/>
        <v/>
      </c>
    </row>
    <row r="54" spans="2:21" ht="15" x14ac:dyDescent="0.2">
      <c r="B54" s="369" t="s">
        <v>612</v>
      </c>
      <c r="C54" s="369"/>
      <c r="D54" s="369"/>
      <c r="E54" s="369"/>
      <c r="F54" s="449" t="str">
        <f ca="1">IF(ROUND(SUM(G54:U54),0)=ROUND(SUM(F56:U56),0),"All Capital Returned","Capital Not Returned")</f>
        <v>All Capital Returned</v>
      </c>
      <c r="G54" s="448">
        <f ca="1">IF(G37="","",G60-G55)</f>
        <v>-50194.496083333346</v>
      </c>
      <c r="H54" s="448">
        <f t="shared" ref="H54:U54" ca="1" si="18">IF(H37="","",H60-H55)</f>
        <v>58954.557850833313</v>
      </c>
      <c r="I54" s="448">
        <f t="shared" ca="1" si="18"/>
        <v>124538.3434546325</v>
      </c>
      <c r="J54" s="448">
        <f t="shared" ca="1" si="18"/>
        <v>151460.81641632086</v>
      </c>
      <c r="K54" s="448">
        <f t="shared" ca="1" si="18"/>
        <v>1633714.3534681627</v>
      </c>
      <c r="L54" s="448">
        <f t="shared" ca="1" si="18"/>
        <v>209956.91810559042</v>
      </c>
      <c r="M54" s="448">
        <f t="shared" ca="1" si="18"/>
        <v>245390.77870062078</v>
      </c>
      <c r="N54" s="448">
        <f t="shared" ca="1" si="18"/>
        <v>158878.2530871731</v>
      </c>
      <c r="O54" s="448">
        <f t="shared" ca="1" si="18"/>
        <v>0</v>
      </c>
      <c r="P54" s="448">
        <f t="shared" ca="1" si="18"/>
        <v>0</v>
      </c>
      <c r="Q54" s="448" t="str">
        <f t="shared" si="18"/>
        <v/>
      </c>
      <c r="R54" s="448" t="str">
        <f t="shared" si="18"/>
        <v/>
      </c>
      <c r="S54" s="448" t="str">
        <f t="shared" si="18"/>
        <v/>
      </c>
      <c r="T54" s="448" t="str">
        <f t="shared" si="18"/>
        <v/>
      </c>
      <c r="U54" s="448" t="str">
        <f t="shared" si="18"/>
        <v/>
      </c>
    </row>
    <row r="55" spans="2:21" ht="15" x14ac:dyDescent="0.2">
      <c r="B55" s="369" t="s">
        <v>613</v>
      </c>
      <c r="C55" s="369"/>
      <c r="D55" s="369"/>
      <c r="E55" s="369"/>
      <c r="F55" s="448">
        <f>IF(F53="","",IF($D$4="Equity Multiple",E56*$C52-E56,F53*Preferred_Return))</f>
        <v>0</v>
      </c>
      <c r="G55" s="448">
        <f t="shared" ref="G55:U55" si="19">IF(G53="","",IF($D$4="Equity Multiple",F56*$C52-F56,G53*Preferred_Return))</f>
        <v>177288.96675000002</v>
      </c>
      <c r="H55" s="448">
        <f t="shared" ca="1" si="19"/>
        <v>180802.58147583337</v>
      </c>
      <c r="I55" s="448">
        <f t="shared" ca="1" si="19"/>
        <v>176675.76242627506</v>
      </c>
      <c r="J55" s="448">
        <f t="shared" ca="1" si="19"/>
        <v>167958.07838445075</v>
      </c>
      <c r="K55" s="448">
        <f t="shared" ca="1" si="19"/>
        <v>157355.82123530828</v>
      </c>
      <c r="L55" s="448">
        <f t="shared" ca="1" si="19"/>
        <v>42995.816492536898</v>
      </c>
      <c r="M55" s="448">
        <f t="shared" ca="1" si="19"/>
        <v>28298.832225145572</v>
      </c>
      <c r="N55" s="448">
        <f t="shared" ca="1" si="19"/>
        <v>11121.477716102117</v>
      </c>
      <c r="O55" s="448">
        <f t="shared" ca="1" si="19"/>
        <v>0</v>
      </c>
      <c r="P55" s="448">
        <f t="shared" ca="1" si="19"/>
        <v>0</v>
      </c>
      <c r="Q55" s="448" t="str">
        <f t="shared" si="19"/>
        <v/>
      </c>
      <c r="R55" s="448" t="str">
        <f t="shared" si="19"/>
        <v/>
      </c>
      <c r="S55" s="448" t="str">
        <f t="shared" si="19"/>
        <v/>
      </c>
      <c r="T55" s="448" t="str">
        <f t="shared" si="19"/>
        <v/>
      </c>
      <c r="U55" s="448" t="str">
        <f t="shared" si="19"/>
        <v/>
      </c>
    </row>
    <row r="56" spans="2:21" ht="15" x14ac:dyDescent="0.2">
      <c r="B56" s="369" t="s">
        <v>614</v>
      </c>
      <c r="C56" s="369"/>
      <c r="D56" s="369"/>
      <c r="E56" s="369"/>
      <c r="F56" s="448">
        <f t="shared" ref="F56:U56" si="20">IF(F53="","",-MIN(0,F47*Equity_Share_LP))</f>
        <v>2532699.5249999999</v>
      </c>
      <c r="G56" s="448">
        <f t="shared" ca="1" si="20"/>
        <v>0</v>
      </c>
      <c r="H56" s="448">
        <f t="shared" ca="1" si="20"/>
        <v>0</v>
      </c>
      <c r="I56" s="448">
        <f t="shared" ca="1" si="20"/>
        <v>0</v>
      </c>
      <c r="J56" s="448">
        <f t="shared" ca="1" si="20"/>
        <v>0</v>
      </c>
      <c r="K56" s="448">
        <f t="shared" ca="1" si="20"/>
        <v>0</v>
      </c>
      <c r="L56" s="448">
        <f t="shared" ca="1" si="20"/>
        <v>0</v>
      </c>
      <c r="M56" s="448">
        <f t="shared" ca="1" si="20"/>
        <v>0</v>
      </c>
      <c r="N56" s="448">
        <f t="shared" ca="1" si="20"/>
        <v>0</v>
      </c>
      <c r="O56" s="448">
        <f t="shared" ca="1" si="20"/>
        <v>0</v>
      </c>
      <c r="P56" s="448">
        <f t="shared" ca="1" si="20"/>
        <v>0</v>
      </c>
      <c r="Q56" s="448" t="str">
        <f t="shared" si="20"/>
        <v/>
      </c>
      <c r="R56" s="448" t="str">
        <f t="shared" si="20"/>
        <v/>
      </c>
      <c r="S56" s="448" t="str">
        <f t="shared" si="20"/>
        <v/>
      </c>
      <c r="T56" s="448" t="str">
        <f t="shared" si="20"/>
        <v/>
      </c>
      <c r="U56" s="448" t="str">
        <f t="shared" si="20"/>
        <v/>
      </c>
    </row>
    <row r="57" spans="2:21" ht="15" x14ac:dyDescent="0.2">
      <c r="B57" s="369" t="s">
        <v>615</v>
      </c>
      <c r="C57" s="369"/>
      <c r="D57" s="369"/>
      <c r="E57" s="369"/>
      <c r="F57" s="448">
        <f>MAX(F47,F55)</f>
        <v>0</v>
      </c>
      <c r="G57" s="376">
        <f t="shared" ref="G57:U57" ca="1" si="21">IF(G53="","",MIN(G53+G55,MAX(G47,0)*$I$14))</f>
        <v>127094.47066666668</v>
      </c>
      <c r="H57" s="376">
        <f t="shared" ca="1" si="21"/>
        <v>239757.13932666669</v>
      </c>
      <c r="I57" s="376">
        <f t="shared" ca="1" si="21"/>
        <v>301214.10588090756</v>
      </c>
      <c r="J57" s="376">
        <f t="shared" ca="1" si="21"/>
        <v>319418.89480077161</v>
      </c>
      <c r="K57" s="376">
        <f t="shared" ca="1" si="21"/>
        <v>1791070.1747034709</v>
      </c>
      <c r="L57" s="376">
        <f t="shared" ca="1" si="21"/>
        <v>252952.73459812731</v>
      </c>
      <c r="M57" s="376">
        <f t="shared" ca="1" si="21"/>
        <v>273689.61092576635</v>
      </c>
      <c r="N57" s="376">
        <f t="shared" ca="1" si="21"/>
        <v>169999.73080327522</v>
      </c>
      <c r="O57" s="376">
        <f t="shared" ca="1" si="21"/>
        <v>0</v>
      </c>
      <c r="P57" s="376">
        <f t="shared" ca="1" si="21"/>
        <v>0</v>
      </c>
      <c r="Q57" s="376" t="str">
        <f t="shared" si="21"/>
        <v/>
      </c>
      <c r="R57" s="376" t="str">
        <f t="shared" si="21"/>
        <v/>
      </c>
      <c r="S57" s="376" t="str">
        <f t="shared" si="21"/>
        <v/>
      </c>
      <c r="T57" s="376" t="str">
        <f t="shared" si="21"/>
        <v/>
      </c>
      <c r="U57" s="376" t="str">
        <f t="shared" si="21"/>
        <v/>
      </c>
    </row>
    <row r="58" spans="2:21" ht="15" x14ac:dyDescent="0.2">
      <c r="B58" s="369" t="s">
        <v>616</v>
      </c>
      <c r="C58" s="369"/>
      <c r="D58" s="369"/>
      <c r="E58" s="369"/>
      <c r="F58" s="448">
        <f>F53+F56-F57</f>
        <v>2532699.5249999999</v>
      </c>
      <c r="G58" s="448">
        <f ca="1">IF(G53="","",G53+G55+G56-G57)</f>
        <v>2582894.0210833335</v>
      </c>
      <c r="H58" s="448">
        <f t="shared" ref="H58:U58" ca="1" si="22">IF(H53="","",H53+H55+H56-H57)</f>
        <v>2523939.4632325005</v>
      </c>
      <c r="I58" s="448">
        <f t="shared" ca="1" si="22"/>
        <v>2399401.1197778676</v>
      </c>
      <c r="J58" s="448">
        <f t="shared" ca="1" si="22"/>
        <v>2247940.3033615467</v>
      </c>
      <c r="K58" s="448">
        <f t="shared" ca="1" si="22"/>
        <v>614225.94989338424</v>
      </c>
      <c r="L58" s="448">
        <f t="shared" ca="1" si="22"/>
        <v>404269.03178779385</v>
      </c>
      <c r="M58" s="448">
        <f t="shared" ca="1" si="22"/>
        <v>158878.2530871731</v>
      </c>
      <c r="N58" s="448">
        <f t="shared" ca="1" si="22"/>
        <v>0</v>
      </c>
      <c r="O58" s="448">
        <f t="shared" ca="1" si="22"/>
        <v>0</v>
      </c>
      <c r="P58" s="448">
        <f t="shared" ca="1" si="22"/>
        <v>0</v>
      </c>
      <c r="Q58" s="448" t="str">
        <f t="shared" si="22"/>
        <v/>
      </c>
      <c r="R58" s="448" t="str">
        <f t="shared" si="22"/>
        <v/>
      </c>
      <c r="S58" s="448" t="str">
        <f t="shared" si="22"/>
        <v/>
      </c>
      <c r="T58" s="448" t="str">
        <f t="shared" si="22"/>
        <v/>
      </c>
      <c r="U58" s="448" t="str">
        <f t="shared" si="22"/>
        <v/>
      </c>
    </row>
    <row r="59" spans="2:21" ht="15" x14ac:dyDescent="0.2">
      <c r="B59" s="450" t="str">
        <f>IF(D4="Equity Multiple", "LP EMx Check","LP IRR Check")</f>
        <v>LP IRR Check</v>
      </c>
      <c r="C59" s="369"/>
      <c r="D59" s="369"/>
      <c r="E59" s="451">
        <f ca="1">IF($D$4="IRR",IRR(F59:U59),SUMIF(F59:U59,"&gt;0")/-SUMIF(F59:U59,"&lt;0"))</f>
        <v>7.0000000000000062E-2</v>
      </c>
      <c r="F59" s="448">
        <f t="shared" ref="F59:U59" si="23">IF(F53="","",-F56+F57)</f>
        <v>-2532699.5249999999</v>
      </c>
      <c r="G59" s="448">
        <f t="shared" ca="1" si="23"/>
        <v>127094.47066666668</v>
      </c>
      <c r="H59" s="448">
        <f t="shared" ca="1" si="23"/>
        <v>239757.13932666669</v>
      </c>
      <c r="I59" s="448">
        <f t="shared" ca="1" si="23"/>
        <v>301214.10588090756</v>
      </c>
      <c r="J59" s="448">
        <f t="shared" ca="1" si="23"/>
        <v>319418.89480077161</v>
      </c>
      <c r="K59" s="448">
        <f t="shared" ca="1" si="23"/>
        <v>1791070.1747034709</v>
      </c>
      <c r="L59" s="448">
        <f t="shared" ca="1" si="23"/>
        <v>252952.73459812731</v>
      </c>
      <c r="M59" s="448">
        <f t="shared" ca="1" si="23"/>
        <v>273689.61092576635</v>
      </c>
      <c r="N59" s="448">
        <f t="shared" ca="1" si="23"/>
        <v>169999.73080327522</v>
      </c>
      <c r="O59" s="448">
        <f t="shared" ca="1" si="23"/>
        <v>0</v>
      </c>
      <c r="P59" s="448">
        <f t="shared" ca="1" si="23"/>
        <v>0</v>
      </c>
      <c r="Q59" s="448" t="str">
        <f t="shared" si="23"/>
        <v/>
      </c>
      <c r="R59" s="448" t="str">
        <f t="shared" si="23"/>
        <v/>
      </c>
      <c r="S59" s="448" t="str">
        <f t="shared" si="23"/>
        <v/>
      </c>
      <c r="T59" s="448" t="str">
        <f t="shared" si="23"/>
        <v/>
      </c>
      <c r="U59" s="448" t="str">
        <f t="shared" si="23"/>
        <v/>
      </c>
    </row>
    <row r="60" spans="2:21" ht="15" x14ac:dyDescent="0.2">
      <c r="B60" s="369" t="s">
        <v>617</v>
      </c>
      <c r="C60" s="369"/>
      <c r="D60" s="369"/>
      <c r="E60" s="369"/>
      <c r="F60" s="448">
        <f>MAX(F47,F55)</f>
        <v>0</v>
      </c>
      <c r="G60" s="448">
        <f ca="1">IF(G53="","",MIN(G53+G55,MAX(G47,0)*$I$14))</f>
        <v>127094.47066666668</v>
      </c>
      <c r="H60" s="448">
        <f t="shared" ref="H60:U60" ca="1" si="24">H57</f>
        <v>239757.13932666669</v>
      </c>
      <c r="I60" s="448">
        <f t="shared" ca="1" si="24"/>
        <v>301214.10588090756</v>
      </c>
      <c r="J60" s="448">
        <f t="shared" ca="1" si="24"/>
        <v>319418.89480077161</v>
      </c>
      <c r="K60" s="448">
        <f t="shared" ca="1" si="24"/>
        <v>1791070.1747034709</v>
      </c>
      <c r="L60" s="448">
        <f t="shared" ca="1" si="24"/>
        <v>252952.73459812731</v>
      </c>
      <c r="M60" s="448">
        <f t="shared" ca="1" si="24"/>
        <v>273689.61092576635</v>
      </c>
      <c r="N60" s="448">
        <f t="shared" ca="1" si="24"/>
        <v>169999.73080327522</v>
      </c>
      <c r="O60" s="448">
        <f t="shared" ca="1" si="24"/>
        <v>0</v>
      </c>
      <c r="P60" s="448">
        <f t="shared" ca="1" si="24"/>
        <v>0</v>
      </c>
      <c r="Q60" s="448" t="str">
        <f t="shared" si="24"/>
        <v/>
      </c>
      <c r="R60" s="448" t="str">
        <f t="shared" si="24"/>
        <v/>
      </c>
      <c r="S60" s="448" t="str">
        <f t="shared" si="24"/>
        <v/>
      </c>
      <c r="T60" s="448" t="str">
        <f t="shared" si="24"/>
        <v/>
      </c>
      <c r="U60" s="448" t="str">
        <f t="shared" si="24"/>
        <v/>
      </c>
    </row>
    <row r="61" spans="2:21" ht="5" customHeight="1" x14ac:dyDescent="0.2">
      <c r="B61" s="369"/>
      <c r="C61" s="369"/>
      <c r="D61" s="369"/>
      <c r="E61" s="369"/>
      <c r="F61" s="448"/>
      <c r="G61" s="448"/>
      <c r="H61" s="448"/>
      <c r="I61" s="448"/>
      <c r="J61" s="448"/>
      <c r="K61" s="448"/>
      <c r="L61" s="448"/>
      <c r="M61" s="448"/>
      <c r="N61" s="448"/>
      <c r="O61" s="448"/>
      <c r="P61" s="448"/>
      <c r="Q61" s="448"/>
      <c r="R61" s="448"/>
      <c r="S61" s="448"/>
      <c r="T61" s="448"/>
      <c r="U61" s="448"/>
    </row>
    <row r="62" spans="2:21" ht="15" x14ac:dyDescent="0.2">
      <c r="B62" s="369" t="s">
        <v>618</v>
      </c>
      <c r="C62" s="369"/>
      <c r="D62" s="369"/>
      <c r="E62" s="369"/>
      <c r="F62" s="448">
        <f>IF(F37="","",E66)</f>
        <v>0</v>
      </c>
      <c r="G62" s="448">
        <f t="shared" ref="G62:U62" si="25">IF(G37="","",F66)</f>
        <v>133299.97500000001</v>
      </c>
      <c r="H62" s="448">
        <f t="shared" ca="1" si="25"/>
        <v>135941.79058333335</v>
      </c>
      <c r="I62" s="448">
        <f t="shared" ca="1" si="25"/>
        <v>132838.91911750002</v>
      </c>
      <c r="J62" s="448">
        <f t="shared" ca="1" si="25"/>
        <v>126284.26946199304</v>
      </c>
      <c r="K62" s="448">
        <f t="shared" ca="1" si="25"/>
        <v>118312.64754534459</v>
      </c>
      <c r="L62" s="448">
        <f t="shared" ca="1" si="25"/>
        <v>32327.681573336013</v>
      </c>
      <c r="M62" s="448">
        <f t="shared" ca="1" si="25"/>
        <v>21277.317462515464</v>
      </c>
      <c r="N62" s="448">
        <f t="shared" ca="1" si="25"/>
        <v>8362.0133203775276</v>
      </c>
      <c r="O62" s="448">
        <f t="shared" ca="1" si="25"/>
        <v>-5.4569682106375694E-12</v>
      </c>
      <c r="P62" s="448">
        <f t="shared" ca="1" si="25"/>
        <v>-5.8389559853821992E-12</v>
      </c>
      <c r="Q62" s="448" t="str">
        <f t="shared" si="25"/>
        <v/>
      </c>
      <c r="R62" s="448" t="str">
        <f t="shared" si="25"/>
        <v/>
      </c>
      <c r="S62" s="448" t="str">
        <f t="shared" si="25"/>
        <v/>
      </c>
      <c r="T62" s="448" t="str">
        <f t="shared" si="25"/>
        <v/>
      </c>
      <c r="U62" s="448" t="str">
        <f t="shared" si="25"/>
        <v/>
      </c>
    </row>
    <row r="63" spans="2:21" ht="15" x14ac:dyDescent="0.2">
      <c r="B63" s="369" t="s">
        <v>619</v>
      </c>
      <c r="C63" s="369"/>
      <c r="D63" s="369"/>
      <c r="E63" s="369"/>
      <c r="F63" s="448">
        <f t="shared" ref="F63:U63" si="26">IF(F62="","",IF($D$4="Equity Multiple",E64*$C52-E64,F62*Preferred_Return))</f>
        <v>0</v>
      </c>
      <c r="G63" s="448">
        <f t="shared" si="26"/>
        <v>9330.9982500000006</v>
      </c>
      <c r="H63" s="448">
        <f t="shared" ca="1" si="26"/>
        <v>9515.9253408333352</v>
      </c>
      <c r="I63" s="448">
        <f t="shared" ca="1" si="26"/>
        <v>9298.7243382250017</v>
      </c>
      <c r="J63" s="448">
        <f t="shared" ca="1" si="26"/>
        <v>8839.8988623395144</v>
      </c>
      <c r="K63" s="448">
        <f t="shared" ca="1" si="26"/>
        <v>8281.8853281741212</v>
      </c>
      <c r="L63" s="448">
        <f t="shared" ca="1" si="26"/>
        <v>2262.9377101335213</v>
      </c>
      <c r="M63" s="448">
        <f t="shared" ca="1" si="26"/>
        <v>1489.4122223760826</v>
      </c>
      <c r="N63" s="448">
        <f t="shared" ca="1" si="26"/>
        <v>585.340932426427</v>
      </c>
      <c r="O63" s="448">
        <f t="shared" ca="1" si="26"/>
        <v>-3.819877747446299E-13</v>
      </c>
      <c r="P63" s="448">
        <f t="shared" ca="1" si="26"/>
        <v>-4.0872691897675397E-13</v>
      </c>
      <c r="Q63" s="448" t="str">
        <f t="shared" si="26"/>
        <v/>
      </c>
      <c r="R63" s="448" t="str">
        <f t="shared" si="26"/>
        <v/>
      </c>
      <c r="S63" s="448" t="str">
        <f t="shared" si="26"/>
        <v/>
      </c>
      <c r="T63" s="448" t="str">
        <f t="shared" si="26"/>
        <v/>
      </c>
      <c r="U63" s="448" t="str">
        <f t="shared" si="26"/>
        <v/>
      </c>
    </row>
    <row r="64" spans="2:21" ht="15" x14ac:dyDescent="0.2">
      <c r="B64" s="369" t="s">
        <v>620</v>
      </c>
      <c r="C64" s="369"/>
      <c r="D64" s="369"/>
      <c r="E64" s="369"/>
      <c r="F64" s="448">
        <f t="shared" ref="F64:U64" si="27">IF(F37="","",-MIN(0,F47*Equity_Share_Sponsor))</f>
        <v>133299.97500000001</v>
      </c>
      <c r="G64" s="448">
        <f t="shared" ca="1" si="27"/>
        <v>0</v>
      </c>
      <c r="H64" s="448">
        <f t="shared" ca="1" si="27"/>
        <v>0</v>
      </c>
      <c r="I64" s="448">
        <f t="shared" ca="1" si="27"/>
        <v>0</v>
      </c>
      <c r="J64" s="448">
        <f t="shared" ca="1" si="27"/>
        <v>0</v>
      </c>
      <c r="K64" s="448">
        <f t="shared" ca="1" si="27"/>
        <v>0</v>
      </c>
      <c r="L64" s="448">
        <f t="shared" ca="1" si="27"/>
        <v>0</v>
      </c>
      <c r="M64" s="448">
        <f t="shared" ca="1" si="27"/>
        <v>0</v>
      </c>
      <c r="N64" s="448">
        <f t="shared" ca="1" si="27"/>
        <v>0</v>
      </c>
      <c r="O64" s="448">
        <f t="shared" ca="1" si="27"/>
        <v>0</v>
      </c>
      <c r="P64" s="448">
        <f t="shared" ca="1" si="27"/>
        <v>0</v>
      </c>
      <c r="Q64" s="448" t="str">
        <f t="shared" si="27"/>
        <v/>
      </c>
      <c r="R64" s="448" t="str">
        <f t="shared" si="27"/>
        <v/>
      </c>
      <c r="S64" s="448" t="str">
        <f t="shared" si="27"/>
        <v/>
      </c>
      <c r="T64" s="448" t="str">
        <f t="shared" si="27"/>
        <v/>
      </c>
      <c r="U64" s="448" t="str">
        <f t="shared" si="27"/>
        <v/>
      </c>
    </row>
    <row r="65" spans="2:21" ht="15" x14ac:dyDescent="0.2">
      <c r="B65" s="369" t="s">
        <v>621</v>
      </c>
      <c r="C65" s="369"/>
      <c r="D65" s="369"/>
      <c r="E65" s="369"/>
      <c r="F65" s="448">
        <f t="shared" ref="F65:U65" si="28">IF(F37="","",IF(CU?,MAX(MIN(F47-F60,F62+F63+F64),0),F57/$I$14*$H$14))</f>
        <v>0</v>
      </c>
      <c r="G65" s="376">
        <f t="shared" ca="1" si="28"/>
        <v>6689.1826666666675</v>
      </c>
      <c r="H65" s="376">
        <f t="shared" ca="1" si="28"/>
        <v>12618.796806666669</v>
      </c>
      <c r="I65" s="376">
        <f t="shared" ca="1" si="28"/>
        <v>15853.373993731977</v>
      </c>
      <c r="J65" s="376">
        <f t="shared" ca="1" si="28"/>
        <v>16811.520778987982</v>
      </c>
      <c r="K65" s="376">
        <f t="shared" ca="1" si="28"/>
        <v>94266.851300182694</v>
      </c>
      <c r="L65" s="376">
        <f t="shared" ca="1" si="28"/>
        <v>13313.30182095407</v>
      </c>
      <c r="M65" s="376">
        <f t="shared" ca="1" si="28"/>
        <v>14404.716364514019</v>
      </c>
      <c r="N65" s="376">
        <f t="shared" ca="1" si="28"/>
        <v>8947.3542528039598</v>
      </c>
      <c r="O65" s="376">
        <f t="shared" ca="1" si="28"/>
        <v>0</v>
      </c>
      <c r="P65" s="376">
        <f t="shared" ca="1" si="28"/>
        <v>0</v>
      </c>
      <c r="Q65" s="376" t="str">
        <f t="shared" si="28"/>
        <v/>
      </c>
      <c r="R65" s="376" t="str">
        <f t="shared" si="28"/>
        <v/>
      </c>
      <c r="S65" s="376" t="str">
        <f t="shared" si="28"/>
        <v/>
      </c>
      <c r="T65" s="376" t="str">
        <f t="shared" si="28"/>
        <v/>
      </c>
      <c r="U65" s="376" t="str">
        <f t="shared" si="28"/>
        <v/>
      </c>
    </row>
    <row r="66" spans="2:21" ht="15" x14ac:dyDescent="0.2">
      <c r="B66" s="369" t="s">
        <v>622</v>
      </c>
      <c r="C66" s="369"/>
      <c r="D66" s="369"/>
      <c r="E66" s="369"/>
      <c r="F66" s="448">
        <f>IF(F37="","",F62+F63+F64-F65)</f>
        <v>133299.97500000001</v>
      </c>
      <c r="G66" s="376">
        <f t="shared" ref="G66:U66" ca="1" si="29">IF(G37="","",G62+G63+G64-G65)</f>
        <v>135941.79058333335</v>
      </c>
      <c r="H66" s="376">
        <f t="shared" ca="1" si="29"/>
        <v>132838.91911750002</v>
      </c>
      <c r="I66" s="376">
        <f t="shared" ca="1" si="29"/>
        <v>126284.26946199304</v>
      </c>
      <c r="J66" s="376">
        <f t="shared" ca="1" si="29"/>
        <v>118312.64754534459</v>
      </c>
      <c r="K66" s="376">
        <f t="shared" ca="1" si="29"/>
        <v>32327.681573336013</v>
      </c>
      <c r="L66" s="376">
        <f t="shared" ca="1" si="29"/>
        <v>21277.317462515464</v>
      </c>
      <c r="M66" s="376">
        <f t="shared" ca="1" si="29"/>
        <v>8362.0133203775276</v>
      </c>
      <c r="N66" s="376">
        <f t="shared" ca="1" si="29"/>
        <v>-5.4569682106375694E-12</v>
      </c>
      <c r="O66" s="376">
        <f t="shared" ca="1" si="29"/>
        <v>-5.8389559853821992E-12</v>
      </c>
      <c r="P66" s="376">
        <f t="shared" ca="1" si="29"/>
        <v>-6.247682904358953E-12</v>
      </c>
      <c r="Q66" s="376" t="str">
        <f t="shared" si="29"/>
        <v/>
      </c>
      <c r="R66" s="376" t="str">
        <f t="shared" si="29"/>
        <v/>
      </c>
      <c r="S66" s="376" t="str">
        <f t="shared" si="29"/>
        <v/>
      </c>
      <c r="T66" s="376" t="str">
        <f t="shared" si="29"/>
        <v/>
      </c>
      <c r="U66" s="376" t="str">
        <f t="shared" si="29"/>
        <v/>
      </c>
    </row>
    <row r="67" spans="2:21" ht="15" x14ac:dyDescent="0.2">
      <c r="B67" s="450" t="str">
        <f>IF(D4="Equity Multiple", "GP EMx Check","GP IRR Check")</f>
        <v>GP IRR Check</v>
      </c>
      <c r="C67" s="369"/>
      <c r="D67" s="369"/>
      <c r="E67" s="451">
        <f ca="1">IF($D$4="IRR",IFERROR(IRR(F67:U67),"NA"),SUMIF(F67:U67,"&gt;0")/-SUMIF(F67:U67,"&lt;0"))</f>
        <v>7.0000000000000062E-2</v>
      </c>
      <c r="F67" s="448">
        <f>IF(F37="","",-F64+F65)</f>
        <v>-133299.97500000001</v>
      </c>
      <c r="G67" s="376">
        <f t="shared" ref="G67:U67" ca="1" si="30">IF(G37="","",-G64+G65)</f>
        <v>6689.1826666666675</v>
      </c>
      <c r="H67" s="376">
        <f t="shared" ca="1" si="30"/>
        <v>12618.796806666669</v>
      </c>
      <c r="I67" s="376">
        <f t="shared" ca="1" si="30"/>
        <v>15853.373993731977</v>
      </c>
      <c r="J67" s="376">
        <f t="shared" ca="1" si="30"/>
        <v>16811.520778987982</v>
      </c>
      <c r="K67" s="376">
        <f t="shared" ca="1" si="30"/>
        <v>94266.851300182694</v>
      </c>
      <c r="L67" s="376">
        <f t="shared" ca="1" si="30"/>
        <v>13313.30182095407</v>
      </c>
      <c r="M67" s="376">
        <f t="shared" ca="1" si="30"/>
        <v>14404.716364514019</v>
      </c>
      <c r="N67" s="376">
        <f t="shared" ca="1" si="30"/>
        <v>8947.3542528039598</v>
      </c>
      <c r="O67" s="376">
        <f t="shared" ca="1" si="30"/>
        <v>0</v>
      </c>
      <c r="P67" s="376">
        <f t="shared" ca="1" si="30"/>
        <v>0</v>
      </c>
      <c r="Q67" s="376" t="str">
        <f t="shared" si="30"/>
        <v/>
      </c>
      <c r="R67" s="376" t="str">
        <f t="shared" si="30"/>
        <v/>
      </c>
      <c r="S67" s="376" t="str">
        <f t="shared" si="30"/>
        <v/>
      </c>
      <c r="T67" s="376" t="str">
        <f t="shared" si="30"/>
        <v/>
      </c>
      <c r="U67" s="376" t="str">
        <f t="shared" si="30"/>
        <v/>
      </c>
    </row>
    <row r="68" spans="2:21" ht="5" customHeight="1" x14ac:dyDescent="0.2">
      <c r="B68" s="369"/>
      <c r="C68" s="369"/>
      <c r="D68" s="369"/>
      <c r="E68" s="369"/>
      <c r="F68" s="448"/>
      <c r="G68" s="376"/>
      <c r="H68" s="376"/>
      <c r="I68" s="376"/>
      <c r="J68" s="376"/>
      <c r="K68" s="376"/>
      <c r="L68" s="376"/>
      <c r="M68" s="376"/>
      <c r="N68" s="376"/>
      <c r="O68" s="376"/>
      <c r="P68" s="376"/>
      <c r="Q68" s="376"/>
      <c r="R68" s="376"/>
      <c r="S68" s="376"/>
      <c r="T68" s="376"/>
      <c r="U68" s="376"/>
    </row>
    <row r="69" spans="2:21" ht="15" x14ac:dyDescent="0.2">
      <c r="B69" s="369" t="str">
        <f>"Total Distributions ("&amp;B51&amp;")"</f>
        <v>Total Distributions (Return of Capital &amp; Hurdle 1 (Preferred Return))</v>
      </c>
      <c r="C69" s="369"/>
      <c r="D69" s="369"/>
      <c r="E69" s="369"/>
      <c r="F69" s="448">
        <f t="shared" ref="F69:U69" si="31">IF(F53="","",F65+F60)</f>
        <v>0</v>
      </c>
      <c r="G69" s="448">
        <f t="shared" ca="1" si="31"/>
        <v>133783.65333333335</v>
      </c>
      <c r="H69" s="448">
        <f t="shared" ca="1" si="31"/>
        <v>252375.93613333337</v>
      </c>
      <c r="I69" s="448">
        <f t="shared" ca="1" si="31"/>
        <v>317067.47987463954</v>
      </c>
      <c r="J69" s="448">
        <f t="shared" ca="1" si="31"/>
        <v>336230.41557975957</v>
      </c>
      <c r="K69" s="448">
        <f t="shared" ca="1" si="31"/>
        <v>1885337.0260036536</v>
      </c>
      <c r="L69" s="448">
        <f t="shared" ca="1" si="31"/>
        <v>266266.03641908139</v>
      </c>
      <c r="M69" s="448">
        <f t="shared" ca="1" si="31"/>
        <v>288094.32729028037</v>
      </c>
      <c r="N69" s="448">
        <f t="shared" ca="1" si="31"/>
        <v>178947.08505607917</v>
      </c>
      <c r="O69" s="448">
        <f t="shared" ca="1" si="31"/>
        <v>0</v>
      </c>
      <c r="P69" s="448">
        <f t="shared" ca="1" si="31"/>
        <v>0</v>
      </c>
      <c r="Q69" s="448" t="str">
        <f t="shared" si="31"/>
        <v/>
      </c>
      <c r="R69" s="448" t="str">
        <f t="shared" si="31"/>
        <v/>
      </c>
      <c r="S69" s="448" t="str">
        <f t="shared" si="31"/>
        <v/>
      </c>
      <c r="T69" s="448" t="str">
        <f t="shared" si="31"/>
        <v/>
      </c>
      <c r="U69" s="448" t="str">
        <f t="shared" si="31"/>
        <v/>
      </c>
    </row>
    <row r="70" spans="2:21" ht="15" x14ac:dyDescent="0.2">
      <c r="B70" s="369" t="s">
        <v>623</v>
      </c>
      <c r="C70" s="369"/>
      <c r="D70" s="369"/>
      <c r="E70" s="369"/>
      <c r="F70" s="448">
        <f t="shared" ref="F70:U70" si="32">IF(F53="","",MAX(F47-F69,0))</f>
        <v>0</v>
      </c>
      <c r="G70" s="448">
        <f t="shared" ca="1" si="32"/>
        <v>0</v>
      </c>
      <c r="H70" s="448">
        <f t="shared" ca="1" si="32"/>
        <v>0</v>
      </c>
      <c r="I70" s="448">
        <f t="shared" ca="1" si="32"/>
        <v>0</v>
      </c>
      <c r="J70" s="448">
        <f t="shared" ca="1" si="32"/>
        <v>5.8207660913467407E-11</v>
      </c>
      <c r="K70" s="448">
        <f t="shared" ca="1" si="32"/>
        <v>0</v>
      </c>
      <c r="L70" s="448">
        <f t="shared" ca="1" si="32"/>
        <v>0</v>
      </c>
      <c r="M70" s="448">
        <f t="shared" ca="1" si="32"/>
        <v>0</v>
      </c>
      <c r="N70" s="448">
        <f t="shared" ca="1" si="32"/>
        <v>131939.55305177145</v>
      </c>
      <c r="O70" s="448">
        <f t="shared" ca="1" si="32"/>
        <v>334683.34743587743</v>
      </c>
      <c r="P70" s="448">
        <f t="shared" ca="1" si="32"/>
        <v>196698.86910333397</v>
      </c>
      <c r="Q70" s="448" t="str">
        <f t="shared" si="32"/>
        <v/>
      </c>
      <c r="R70" s="448" t="str">
        <f t="shared" si="32"/>
        <v/>
      </c>
      <c r="S70" s="448" t="str">
        <f t="shared" si="32"/>
        <v/>
      </c>
      <c r="T70" s="448" t="str">
        <f t="shared" si="32"/>
        <v/>
      </c>
      <c r="U70" s="448" t="str">
        <f t="shared" si="32"/>
        <v/>
      </c>
    </row>
    <row r="71" spans="2:21" ht="5" customHeight="1" x14ac:dyDescent="0.2">
      <c r="B71" s="369"/>
      <c r="C71" s="369"/>
      <c r="D71" s="369"/>
      <c r="E71" s="369"/>
      <c r="F71" s="370"/>
      <c r="G71" s="370"/>
      <c r="H71" s="370"/>
      <c r="I71" s="370"/>
      <c r="J71" s="370"/>
      <c r="K71" s="370"/>
      <c r="L71" s="370"/>
      <c r="M71" s="370"/>
      <c r="N71" s="370"/>
      <c r="O71" s="370"/>
      <c r="P71" s="370"/>
      <c r="Q71" s="370"/>
      <c r="R71" s="370"/>
      <c r="S71" s="370"/>
      <c r="T71" s="370"/>
      <c r="U71" s="370"/>
    </row>
    <row r="72" spans="2:21" ht="16" x14ac:dyDescent="0.2">
      <c r="B72" s="372" t="s">
        <v>577</v>
      </c>
      <c r="C72" s="369"/>
      <c r="D72" s="369"/>
      <c r="E72" s="369"/>
      <c r="F72" s="370"/>
      <c r="G72" s="370"/>
      <c r="H72" s="370"/>
      <c r="I72" s="370"/>
      <c r="J72" s="370"/>
      <c r="K72" s="370"/>
      <c r="L72" s="370"/>
      <c r="M72" s="370"/>
      <c r="N72" s="370"/>
      <c r="O72" s="370"/>
      <c r="P72" s="370"/>
      <c r="Q72" s="370"/>
      <c r="R72" s="370"/>
      <c r="S72" s="370"/>
      <c r="T72" s="370"/>
      <c r="U72" s="370"/>
    </row>
    <row r="73" spans="2:21" ht="15" x14ac:dyDescent="0.2">
      <c r="B73" s="446" t="s">
        <v>610</v>
      </c>
      <c r="C73" s="447">
        <f>E15</f>
        <v>0.15</v>
      </c>
      <c r="D73" s="393"/>
      <c r="E73" s="393"/>
      <c r="F73" s="394"/>
      <c r="G73" s="394"/>
      <c r="H73" s="394"/>
      <c r="I73" s="394"/>
      <c r="J73" s="394"/>
      <c r="K73" s="394"/>
      <c r="L73" s="394"/>
      <c r="M73" s="394"/>
      <c r="N73" s="394"/>
      <c r="O73" s="394"/>
      <c r="P73" s="394"/>
      <c r="Q73" s="394"/>
      <c r="R73" s="394"/>
      <c r="S73" s="394"/>
      <c r="T73" s="394"/>
      <c r="U73" s="394"/>
    </row>
    <row r="74" spans="2:21" ht="15" x14ac:dyDescent="0.2">
      <c r="B74" s="369" t="s">
        <v>611</v>
      </c>
      <c r="C74" s="369"/>
      <c r="D74" s="369"/>
      <c r="E74" s="369"/>
      <c r="F74" s="448">
        <f t="shared" ref="F74:U74" si="33">IF(F37="","",E79)</f>
        <v>0</v>
      </c>
      <c r="G74" s="448">
        <f t="shared" si="33"/>
        <v>2532699.5249999999</v>
      </c>
      <c r="H74" s="448">
        <f t="shared" ca="1" si="33"/>
        <v>2785509.9830833334</v>
      </c>
      <c r="I74" s="448">
        <f t="shared" ca="1" si="33"/>
        <v>2963579.3412191668</v>
      </c>
      <c r="J74" s="448">
        <f t="shared" ca="1" si="33"/>
        <v>3106902.1365211341</v>
      </c>
      <c r="K74" s="448">
        <f t="shared" ca="1" si="33"/>
        <v>3253518.5621985327</v>
      </c>
      <c r="L74" s="448">
        <f t="shared" ca="1" si="33"/>
        <v>1950476.1718248418</v>
      </c>
      <c r="M74" s="448">
        <f t="shared" ca="1" si="33"/>
        <v>1990094.8630004409</v>
      </c>
      <c r="N74" s="448">
        <f t="shared" ca="1" si="33"/>
        <v>2014919.4815247406</v>
      </c>
      <c r="O74" s="448">
        <f t="shared" ca="1" si="33"/>
        <v>2071952.1277106667</v>
      </c>
      <c r="P74" s="448">
        <f t="shared" ca="1" si="33"/>
        <v>2191975.4388288166</v>
      </c>
      <c r="Q74" s="448" t="str">
        <f t="shared" si="33"/>
        <v/>
      </c>
      <c r="R74" s="448" t="str">
        <f t="shared" si="33"/>
        <v/>
      </c>
      <c r="S74" s="448" t="str">
        <f t="shared" si="33"/>
        <v/>
      </c>
      <c r="T74" s="448" t="str">
        <f t="shared" si="33"/>
        <v/>
      </c>
      <c r="U74" s="448" t="str">
        <f t="shared" si="33"/>
        <v/>
      </c>
    </row>
    <row r="75" spans="2:21" ht="15" x14ac:dyDescent="0.2">
      <c r="B75" s="369" t="s">
        <v>624</v>
      </c>
      <c r="C75" s="369"/>
      <c r="D75" s="369"/>
      <c r="E75" s="369"/>
      <c r="F75" s="448">
        <f>IF(F74="","",IF($D$4="Equity Multiple",E76*$C73-E76,F74*$C73))</f>
        <v>0</v>
      </c>
      <c r="G75" s="448">
        <f t="shared" ref="G75:U75" si="34">IF(G74="","",IF($D$4="Equity Multiple",F76*$C73-F76,G74*$C73))</f>
        <v>379904.92874999996</v>
      </c>
      <c r="H75" s="448">
        <f t="shared" ca="1" si="34"/>
        <v>417826.4974625</v>
      </c>
      <c r="I75" s="448">
        <f t="shared" ca="1" si="34"/>
        <v>444536.90118287498</v>
      </c>
      <c r="J75" s="448">
        <f t="shared" ca="1" si="34"/>
        <v>466035.32047817012</v>
      </c>
      <c r="K75" s="448">
        <f t="shared" ca="1" si="34"/>
        <v>488027.78432977991</v>
      </c>
      <c r="L75" s="448">
        <f t="shared" ca="1" si="34"/>
        <v>292571.42577372625</v>
      </c>
      <c r="M75" s="448">
        <f t="shared" ca="1" si="34"/>
        <v>298514.22945006611</v>
      </c>
      <c r="N75" s="448">
        <f t="shared" ca="1" si="34"/>
        <v>302237.92222871108</v>
      </c>
      <c r="O75" s="448">
        <f t="shared" ca="1" si="34"/>
        <v>310792.81915659999</v>
      </c>
      <c r="P75" s="448">
        <f t="shared" ca="1" si="34"/>
        <v>328796.31582432246</v>
      </c>
      <c r="Q75" s="448" t="str">
        <f t="shared" si="34"/>
        <v/>
      </c>
      <c r="R75" s="448" t="str">
        <f t="shared" si="34"/>
        <v/>
      </c>
      <c r="S75" s="448" t="str">
        <f t="shared" si="34"/>
        <v/>
      </c>
      <c r="T75" s="448" t="str">
        <f t="shared" si="34"/>
        <v/>
      </c>
      <c r="U75" s="448" t="str">
        <f t="shared" si="34"/>
        <v/>
      </c>
    </row>
    <row r="76" spans="2:21" ht="15" x14ac:dyDescent="0.2">
      <c r="B76" s="369" t="s">
        <v>614</v>
      </c>
      <c r="C76" s="369"/>
      <c r="D76" s="369"/>
      <c r="E76" s="369"/>
      <c r="F76" s="448">
        <f t="shared" ref="F76:U76" si="35">IF(F74="","",-MIN(0,F$47*Equity_Share_LP))</f>
        <v>2532699.5249999999</v>
      </c>
      <c r="G76" s="448">
        <f t="shared" ca="1" si="35"/>
        <v>0</v>
      </c>
      <c r="H76" s="448">
        <f t="shared" ca="1" si="35"/>
        <v>0</v>
      </c>
      <c r="I76" s="448">
        <f t="shared" ca="1" si="35"/>
        <v>0</v>
      </c>
      <c r="J76" s="448">
        <f t="shared" ca="1" si="35"/>
        <v>0</v>
      </c>
      <c r="K76" s="448">
        <f t="shared" ca="1" si="35"/>
        <v>0</v>
      </c>
      <c r="L76" s="448">
        <f t="shared" ca="1" si="35"/>
        <v>0</v>
      </c>
      <c r="M76" s="448">
        <f t="shared" ca="1" si="35"/>
        <v>0</v>
      </c>
      <c r="N76" s="448">
        <f t="shared" ca="1" si="35"/>
        <v>0</v>
      </c>
      <c r="O76" s="448">
        <f t="shared" ca="1" si="35"/>
        <v>0</v>
      </c>
      <c r="P76" s="448">
        <f t="shared" ca="1" si="35"/>
        <v>0</v>
      </c>
      <c r="Q76" s="448" t="str">
        <f t="shared" si="35"/>
        <v/>
      </c>
      <c r="R76" s="448" t="str">
        <f t="shared" si="35"/>
        <v/>
      </c>
      <c r="S76" s="448" t="str">
        <f t="shared" si="35"/>
        <v/>
      </c>
      <c r="T76" s="448" t="str">
        <f t="shared" si="35"/>
        <v/>
      </c>
      <c r="U76" s="448" t="str">
        <f t="shared" si="35"/>
        <v/>
      </c>
    </row>
    <row r="77" spans="2:21" ht="15" x14ac:dyDescent="0.2">
      <c r="B77" s="369" t="s">
        <v>625</v>
      </c>
      <c r="C77" s="369"/>
      <c r="D77" s="369"/>
      <c r="E77" s="369"/>
      <c r="F77" s="448">
        <f t="shared" ref="F77:U77" si="36">F60</f>
        <v>0</v>
      </c>
      <c r="G77" s="448">
        <f t="shared" ca="1" si="36"/>
        <v>127094.47066666668</v>
      </c>
      <c r="H77" s="448">
        <f t="shared" ca="1" si="36"/>
        <v>239757.13932666669</v>
      </c>
      <c r="I77" s="448">
        <f t="shared" ca="1" si="36"/>
        <v>301214.10588090756</v>
      </c>
      <c r="J77" s="448">
        <f t="shared" ca="1" si="36"/>
        <v>319418.89480077161</v>
      </c>
      <c r="K77" s="448">
        <f t="shared" ca="1" si="36"/>
        <v>1791070.1747034709</v>
      </c>
      <c r="L77" s="448">
        <f t="shared" ca="1" si="36"/>
        <v>252952.73459812731</v>
      </c>
      <c r="M77" s="448">
        <f t="shared" ca="1" si="36"/>
        <v>273689.61092576635</v>
      </c>
      <c r="N77" s="448">
        <f t="shared" ca="1" si="36"/>
        <v>169999.73080327522</v>
      </c>
      <c r="O77" s="448">
        <f t="shared" ca="1" si="36"/>
        <v>0</v>
      </c>
      <c r="P77" s="448">
        <f t="shared" ca="1" si="36"/>
        <v>0</v>
      </c>
      <c r="Q77" s="448" t="str">
        <f t="shared" si="36"/>
        <v/>
      </c>
      <c r="R77" s="448" t="str">
        <f t="shared" si="36"/>
        <v/>
      </c>
      <c r="S77" s="448" t="str">
        <f t="shared" si="36"/>
        <v/>
      </c>
      <c r="T77" s="448" t="str">
        <f t="shared" si="36"/>
        <v/>
      </c>
      <c r="U77" s="448" t="str">
        <f t="shared" si="36"/>
        <v/>
      </c>
    </row>
    <row r="78" spans="2:21" ht="15" x14ac:dyDescent="0.2">
      <c r="B78" s="369" t="str">
        <f>"Distributions to LP "&amp;B72</f>
        <v>Distributions to LP Hurdle 2</v>
      </c>
      <c r="C78" s="369"/>
      <c r="D78" s="369"/>
      <c r="E78" s="369"/>
      <c r="F78" s="448">
        <f t="shared" ref="F78:U78" si="37">IF(F74="","",MIN(F74+F75-F77,F70*$I$15))</f>
        <v>0</v>
      </c>
      <c r="G78" s="448">
        <f t="shared" ca="1" si="37"/>
        <v>0</v>
      </c>
      <c r="H78" s="448">
        <f t="shared" ca="1" si="37"/>
        <v>0</v>
      </c>
      <c r="I78" s="448">
        <f t="shared" ca="1" si="37"/>
        <v>0</v>
      </c>
      <c r="J78" s="448">
        <f t="shared" ca="1" si="37"/>
        <v>3.3178366720676419E-11</v>
      </c>
      <c r="K78" s="448">
        <f t="shared" ca="1" si="37"/>
        <v>0</v>
      </c>
      <c r="L78" s="448">
        <f t="shared" ca="1" si="37"/>
        <v>0</v>
      </c>
      <c r="M78" s="448">
        <f t="shared" ca="1" si="37"/>
        <v>0</v>
      </c>
      <c r="N78" s="448">
        <f t="shared" ca="1" si="37"/>
        <v>75205.545239509724</v>
      </c>
      <c r="O78" s="448">
        <f t="shared" ca="1" si="37"/>
        <v>190769.50803845012</v>
      </c>
      <c r="P78" s="448">
        <f t="shared" ca="1" si="37"/>
        <v>112118.35538890035</v>
      </c>
      <c r="Q78" s="448" t="str">
        <f t="shared" si="37"/>
        <v/>
      </c>
      <c r="R78" s="448" t="str">
        <f t="shared" si="37"/>
        <v/>
      </c>
      <c r="S78" s="448" t="str">
        <f t="shared" si="37"/>
        <v/>
      </c>
      <c r="T78" s="448" t="str">
        <f t="shared" si="37"/>
        <v/>
      </c>
      <c r="U78" s="448" t="str">
        <f t="shared" si="37"/>
        <v/>
      </c>
    </row>
    <row r="79" spans="2:21" ht="15" x14ac:dyDescent="0.2">
      <c r="B79" s="369" t="s">
        <v>616</v>
      </c>
      <c r="C79" s="369"/>
      <c r="D79" s="369"/>
      <c r="E79" s="369"/>
      <c r="F79" s="448">
        <f>F74+F76-F78</f>
        <v>2532699.5249999999</v>
      </c>
      <c r="G79" s="448">
        <f t="shared" ref="G79:U79" ca="1" si="38">IF(G74="","",G74+G75+G76-G77-G78)</f>
        <v>2785509.9830833334</v>
      </c>
      <c r="H79" s="448">
        <f t="shared" ca="1" si="38"/>
        <v>2963579.3412191668</v>
      </c>
      <c r="I79" s="448">
        <f t="shared" ca="1" si="38"/>
        <v>3106902.1365211341</v>
      </c>
      <c r="J79" s="448">
        <f t="shared" ca="1" si="38"/>
        <v>3253518.5621985327</v>
      </c>
      <c r="K79" s="448">
        <f t="shared" ca="1" si="38"/>
        <v>1950476.1718248418</v>
      </c>
      <c r="L79" s="448">
        <f t="shared" ca="1" si="38"/>
        <v>1990094.8630004409</v>
      </c>
      <c r="M79" s="448">
        <f t="shared" ca="1" si="38"/>
        <v>2014919.4815247406</v>
      </c>
      <c r="N79" s="448">
        <f t="shared" ca="1" si="38"/>
        <v>2071952.1277106667</v>
      </c>
      <c r="O79" s="448">
        <f t="shared" ca="1" si="38"/>
        <v>2191975.4388288166</v>
      </c>
      <c r="P79" s="448">
        <f t="shared" ca="1" si="38"/>
        <v>2408653.3992642388</v>
      </c>
      <c r="Q79" s="448" t="str">
        <f t="shared" si="38"/>
        <v/>
      </c>
      <c r="R79" s="448" t="str">
        <f t="shared" si="38"/>
        <v/>
      </c>
      <c r="S79" s="448" t="str">
        <f t="shared" si="38"/>
        <v/>
      </c>
      <c r="T79" s="448" t="str">
        <f t="shared" si="38"/>
        <v/>
      </c>
      <c r="U79" s="448" t="str">
        <f t="shared" si="38"/>
        <v/>
      </c>
    </row>
    <row r="80" spans="2:21" ht="15" x14ac:dyDescent="0.2">
      <c r="B80" s="452">
        <f>C73</f>
        <v>0.15</v>
      </c>
      <c r="C80" s="369"/>
      <c r="D80" s="369"/>
      <c r="E80" s="451">
        <f ca="1">IF($D$4="IRR",IRR(F80:U80),SUMIF(F80:U80,"&gt;0")/-SUMIF(F80:U80,"&lt;0"))</f>
        <v>8.7104353086767228E-2</v>
      </c>
      <c r="F80" s="448">
        <f>IF(F74="","",-F76+F78)</f>
        <v>-2532699.5249999999</v>
      </c>
      <c r="G80" s="448">
        <f t="shared" ref="G80:U80" ca="1" si="39">IF(G74="","",-G76+G77+G78)</f>
        <v>127094.47066666668</v>
      </c>
      <c r="H80" s="448">
        <f t="shared" ca="1" si="39"/>
        <v>239757.13932666669</v>
      </c>
      <c r="I80" s="448">
        <f t="shared" ca="1" si="39"/>
        <v>301214.10588090756</v>
      </c>
      <c r="J80" s="448">
        <f t="shared" ca="1" si="39"/>
        <v>319418.89480077167</v>
      </c>
      <c r="K80" s="448">
        <f t="shared" ca="1" si="39"/>
        <v>1791070.1747034709</v>
      </c>
      <c r="L80" s="448">
        <f t="shared" ca="1" si="39"/>
        <v>252952.73459812731</v>
      </c>
      <c r="M80" s="448">
        <f t="shared" ca="1" si="39"/>
        <v>273689.61092576635</v>
      </c>
      <c r="N80" s="448">
        <f t="shared" ca="1" si="39"/>
        <v>245205.27604278494</v>
      </c>
      <c r="O80" s="448">
        <f t="shared" ca="1" si="39"/>
        <v>190769.50803845012</v>
      </c>
      <c r="P80" s="448">
        <f t="shared" ca="1" si="39"/>
        <v>112118.35538890035</v>
      </c>
      <c r="Q80" s="448" t="str">
        <f t="shared" si="39"/>
        <v/>
      </c>
      <c r="R80" s="448" t="str">
        <f t="shared" si="39"/>
        <v/>
      </c>
      <c r="S80" s="448" t="str">
        <f t="shared" si="39"/>
        <v/>
      </c>
      <c r="T80" s="448" t="str">
        <f t="shared" si="39"/>
        <v/>
      </c>
      <c r="U80" s="448" t="str">
        <f t="shared" si="39"/>
        <v/>
      </c>
    </row>
    <row r="81" spans="2:21" ht="5" customHeight="1" x14ac:dyDescent="0.2">
      <c r="B81" s="357" t="s">
        <v>626</v>
      </c>
      <c r="C81" s="357" t="s">
        <v>626</v>
      </c>
      <c r="D81" s="357" t="s">
        <v>626</v>
      </c>
      <c r="E81" s="357" t="s">
        <v>626</v>
      </c>
      <c r="F81" s="453" t="str">
        <f t="shared" ref="F81:U81" si="40">IF(F74="","",".")</f>
        <v>.</v>
      </c>
      <c r="G81" s="453" t="str">
        <f t="shared" si="40"/>
        <v>.</v>
      </c>
      <c r="H81" s="453" t="str">
        <f t="shared" ca="1" si="40"/>
        <v>.</v>
      </c>
      <c r="I81" s="453" t="str">
        <f t="shared" ca="1" si="40"/>
        <v>.</v>
      </c>
      <c r="J81" s="453" t="str">
        <f t="shared" ca="1" si="40"/>
        <v>.</v>
      </c>
      <c r="K81" s="453" t="str">
        <f t="shared" ca="1" si="40"/>
        <v>.</v>
      </c>
      <c r="L81" s="453" t="str">
        <f t="shared" ca="1" si="40"/>
        <v>.</v>
      </c>
      <c r="M81" s="453" t="str">
        <f t="shared" ca="1" si="40"/>
        <v>.</v>
      </c>
      <c r="N81" s="453" t="str">
        <f t="shared" ca="1" si="40"/>
        <v>.</v>
      </c>
      <c r="O81" s="453" t="str">
        <f t="shared" ca="1" si="40"/>
        <v>.</v>
      </c>
      <c r="P81" s="453" t="str">
        <f t="shared" ca="1" si="40"/>
        <v>.</v>
      </c>
      <c r="Q81" s="453" t="str">
        <f t="shared" si="40"/>
        <v/>
      </c>
      <c r="R81" s="453" t="str">
        <f t="shared" si="40"/>
        <v/>
      </c>
      <c r="S81" s="453" t="str">
        <f t="shared" si="40"/>
        <v/>
      </c>
      <c r="T81" s="453" t="str">
        <f t="shared" si="40"/>
        <v/>
      </c>
      <c r="U81" s="453" t="str">
        <f t="shared" si="40"/>
        <v/>
      </c>
    </row>
    <row r="82" spans="2:21" ht="15" x14ac:dyDescent="0.2">
      <c r="B82" s="369" t="s">
        <v>617</v>
      </c>
      <c r="C82" s="369"/>
      <c r="D82" s="369"/>
      <c r="E82" s="369"/>
      <c r="F82" s="448">
        <f t="shared" ref="F82:U82" si="41">IF(F74="","",F78)</f>
        <v>0</v>
      </c>
      <c r="G82" s="448">
        <f t="shared" ca="1" si="41"/>
        <v>0</v>
      </c>
      <c r="H82" s="448">
        <f t="shared" ca="1" si="41"/>
        <v>0</v>
      </c>
      <c r="I82" s="448">
        <f t="shared" ca="1" si="41"/>
        <v>0</v>
      </c>
      <c r="J82" s="448">
        <f t="shared" ca="1" si="41"/>
        <v>3.3178366720676419E-11</v>
      </c>
      <c r="K82" s="448">
        <f t="shared" ca="1" si="41"/>
        <v>0</v>
      </c>
      <c r="L82" s="448">
        <f t="shared" ca="1" si="41"/>
        <v>0</v>
      </c>
      <c r="M82" s="448">
        <f t="shared" ca="1" si="41"/>
        <v>0</v>
      </c>
      <c r="N82" s="448">
        <f t="shared" ca="1" si="41"/>
        <v>75205.545239509724</v>
      </c>
      <c r="O82" s="448">
        <f t="shared" ca="1" si="41"/>
        <v>190769.50803845012</v>
      </c>
      <c r="P82" s="448">
        <f t="shared" ca="1" si="41"/>
        <v>112118.35538890035</v>
      </c>
      <c r="Q82" s="448" t="str">
        <f t="shared" si="41"/>
        <v/>
      </c>
      <c r="R82" s="448" t="str">
        <f t="shared" si="41"/>
        <v/>
      </c>
      <c r="S82" s="448" t="str">
        <f t="shared" si="41"/>
        <v/>
      </c>
      <c r="T82" s="448" t="str">
        <f t="shared" si="41"/>
        <v/>
      </c>
      <c r="U82" s="448" t="str">
        <f t="shared" si="41"/>
        <v/>
      </c>
    </row>
    <row r="83" spans="2:21" ht="15" x14ac:dyDescent="0.2">
      <c r="B83" s="369" t="s">
        <v>621</v>
      </c>
      <c r="C83" s="369"/>
      <c r="D83" s="369"/>
      <c r="E83" s="369"/>
      <c r="F83" s="448">
        <f>IF(F74="","",F82/$I$15*$H$15)</f>
        <v>0</v>
      </c>
      <c r="G83" s="448">
        <f t="shared" ref="G83:U83" ca="1" si="42">IF(G74="","",G82/$I$15*$H$15)</f>
        <v>0</v>
      </c>
      <c r="H83" s="448">
        <f t="shared" ca="1" si="42"/>
        <v>0</v>
      </c>
      <c r="I83" s="448">
        <f t="shared" ca="1" si="42"/>
        <v>0</v>
      </c>
      <c r="J83" s="448">
        <f t="shared" ca="1" si="42"/>
        <v>2.5029294192790988E-11</v>
      </c>
      <c r="K83" s="448">
        <f t="shared" ca="1" si="42"/>
        <v>0</v>
      </c>
      <c r="L83" s="448">
        <f t="shared" ca="1" si="42"/>
        <v>0</v>
      </c>
      <c r="M83" s="448">
        <f t="shared" ca="1" si="42"/>
        <v>0</v>
      </c>
      <c r="N83" s="448">
        <f t="shared" ca="1" si="42"/>
        <v>56734.007812261727</v>
      </c>
      <c r="O83" s="448">
        <f t="shared" ca="1" si="42"/>
        <v>143913.83939742731</v>
      </c>
      <c r="P83" s="448">
        <f t="shared" ca="1" si="42"/>
        <v>84580.513714433619</v>
      </c>
      <c r="Q83" s="448" t="str">
        <f t="shared" si="42"/>
        <v/>
      </c>
      <c r="R83" s="448" t="str">
        <f t="shared" si="42"/>
        <v/>
      </c>
      <c r="S83" s="448" t="str">
        <f t="shared" si="42"/>
        <v/>
      </c>
      <c r="T83" s="448" t="str">
        <f t="shared" si="42"/>
        <v/>
      </c>
      <c r="U83" s="448" t="str">
        <f t="shared" si="42"/>
        <v/>
      </c>
    </row>
    <row r="84" spans="2:21" ht="15" x14ac:dyDescent="0.2">
      <c r="B84" s="369" t="str">
        <f>"Total Distributions ("&amp;B72&amp;")"</f>
        <v>Total Distributions (Hurdle 2)</v>
      </c>
      <c r="C84" s="369"/>
      <c r="D84" s="369"/>
      <c r="E84" s="369"/>
      <c r="F84" s="448">
        <f t="shared" ref="F84:U84" si="43">IF(F74="","",F82+F83)</f>
        <v>0</v>
      </c>
      <c r="G84" s="448">
        <f t="shared" ca="1" si="43"/>
        <v>0</v>
      </c>
      <c r="H84" s="448">
        <f t="shared" ca="1" si="43"/>
        <v>0</v>
      </c>
      <c r="I84" s="448">
        <f t="shared" ca="1" si="43"/>
        <v>0</v>
      </c>
      <c r="J84" s="448">
        <f t="shared" ca="1" si="43"/>
        <v>5.8207660913467407E-11</v>
      </c>
      <c r="K84" s="448">
        <f t="shared" ca="1" si="43"/>
        <v>0</v>
      </c>
      <c r="L84" s="448">
        <f t="shared" ca="1" si="43"/>
        <v>0</v>
      </c>
      <c r="M84" s="448">
        <f t="shared" ca="1" si="43"/>
        <v>0</v>
      </c>
      <c r="N84" s="448">
        <f t="shared" ca="1" si="43"/>
        <v>131939.55305177145</v>
      </c>
      <c r="O84" s="448">
        <f t="shared" ca="1" si="43"/>
        <v>334683.34743587743</v>
      </c>
      <c r="P84" s="448">
        <f t="shared" ca="1" si="43"/>
        <v>196698.86910333397</v>
      </c>
      <c r="Q84" s="448" t="str">
        <f t="shared" si="43"/>
        <v/>
      </c>
      <c r="R84" s="448" t="str">
        <f t="shared" si="43"/>
        <v/>
      </c>
      <c r="S84" s="448" t="str">
        <f t="shared" si="43"/>
        <v/>
      </c>
      <c r="T84" s="448" t="str">
        <f t="shared" si="43"/>
        <v/>
      </c>
      <c r="U84" s="448" t="str">
        <f t="shared" si="43"/>
        <v/>
      </c>
    </row>
    <row r="85" spans="2:21" ht="15" x14ac:dyDescent="0.2">
      <c r="B85" s="369" t="s">
        <v>623</v>
      </c>
      <c r="C85" s="369"/>
      <c r="D85" s="369"/>
      <c r="E85" s="369"/>
      <c r="F85" s="448">
        <f t="shared" ref="F85:U85" si="44">IF(F74="","",MAX(F$47-F69-F84,0))</f>
        <v>0</v>
      </c>
      <c r="G85" s="448">
        <f t="shared" ca="1" si="44"/>
        <v>0</v>
      </c>
      <c r="H85" s="448">
        <f t="shared" ca="1" si="44"/>
        <v>0</v>
      </c>
      <c r="I85" s="448">
        <f t="shared" ca="1" si="44"/>
        <v>0</v>
      </c>
      <c r="J85" s="448">
        <f t="shared" ca="1" si="44"/>
        <v>0</v>
      </c>
      <c r="K85" s="448">
        <f t="shared" ca="1" si="44"/>
        <v>0</v>
      </c>
      <c r="L85" s="448">
        <f t="shared" ca="1" si="44"/>
        <v>0</v>
      </c>
      <c r="M85" s="448">
        <f t="shared" ca="1" si="44"/>
        <v>0</v>
      </c>
      <c r="N85" s="448">
        <f t="shared" ca="1" si="44"/>
        <v>0</v>
      </c>
      <c r="O85" s="448">
        <f t="shared" ca="1" si="44"/>
        <v>0</v>
      </c>
      <c r="P85" s="448">
        <f t="shared" ca="1" si="44"/>
        <v>0</v>
      </c>
      <c r="Q85" s="448" t="str">
        <f t="shared" si="44"/>
        <v/>
      </c>
      <c r="R85" s="448" t="str">
        <f t="shared" si="44"/>
        <v/>
      </c>
      <c r="S85" s="448" t="str">
        <f t="shared" si="44"/>
        <v/>
      </c>
      <c r="T85" s="448" t="str">
        <f t="shared" si="44"/>
        <v/>
      </c>
      <c r="U85" s="448" t="str">
        <f t="shared" si="44"/>
        <v/>
      </c>
    </row>
    <row r="86" spans="2:21" ht="5" customHeight="1" x14ac:dyDescent="0.2">
      <c r="B86" s="369"/>
      <c r="C86" s="369"/>
      <c r="D86" s="369"/>
      <c r="E86" s="369"/>
      <c r="F86" s="370"/>
      <c r="G86" s="370"/>
      <c r="H86" s="370"/>
      <c r="I86" s="370"/>
      <c r="J86" s="370"/>
      <c r="K86" s="370"/>
      <c r="L86" s="370"/>
      <c r="M86" s="370"/>
      <c r="N86" s="370"/>
      <c r="O86" s="370"/>
      <c r="P86" s="370"/>
      <c r="Q86" s="370"/>
      <c r="R86" s="370"/>
      <c r="S86" s="370"/>
      <c r="T86" s="370"/>
      <c r="U86" s="370"/>
    </row>
    <row r="87" spans="2:21" ht="16" x14ac:dyDescent="0.2">
      <c r="B87" s="372" t="s">
        <v>578</v>
      </c>
      <c r="C87" s="369"/>
      <c r="D87" s="369"/>
      <c r="E87" s="369"/>
      <c r="F87" s="370"/>
      <c r="G87" s="370"/>
      <c r="H87" s="370"/>
      <c r="I87" s="370"/>
      <c r="J87" s="370"/>
      <c r="K87" s="370"/>
      <c r="L87" s="370"/>
      <c r="M87" s="370"/>
      <c r="N87" s="370"/>
      <c r="O87" s="370"/>
      <c r="P87" s="370"/>
      <c r="Q87" s="370"/>
      <c r="R87" s="370"/>
      <c r="S87" s="370"/>
      <c r="T87" s="370"/>
      <c r="U87" s="370"/>
    </row>
    <row r="88" spans="2:21" ht="15" x14ac:dyDescent="0.2">
      <c r="B88" s="446" t="s">
        <v>610</v>
      </c>
      <c r="C88" s="447">
        <f>E16</f>
        <v>0.99</v>
      </c>
      <c r="D88" s="393"/>
      <c r="E88" s="393"/>
      <c r="F88" s="394"/>
      <c r="G88" s="394"/>
      <c r="H88" s="394"/>
      <c r="I88" s="394"/>
      <c r="J88" s="394"/>
      <c r="K88" s="394"/>
      <c r="L88" s="394"/>
      <c r="M88" s="394"/>
      <c r="N88" s="394"/>
      <c r="O88" s="394"/>
      <c r="P88" s="394"/>
      <c r="Q88" s="394"/>
      <c r="R88" s="394"/>
      <c r="S88" s="394"/>
      <c r="T88" s="394"/>
      <c r="U88" s="394"/>
    </row>
    <row r="89" spans="2:21" ht="15" x14ac:dyDescent="0.2">
      <c r="B89" s="369" t="s">
        <v>611</v>
      </c>
      <c r="C89" s="369"/>
      <c r="D89" s="369"/>
      <c r="E89" s="369"/>
      <c r="F89" s="448">
        <f t="shared" ref="F89:U89" si="45">IF(F65="","",E94)</f>
        <v>0</v>
      </c>
      <c r="G89" s="448">
        <f t="shared" ca="1" si="45"/>
        <v>2532699.5249999999</v>
      </c>
      <c r="H89" s="448">
        <f t="shared" ca="1" si="45"/>
        <v>4912977.5840833327</v>
      </c>
      <c r="I89" s="448">
        <f t="shared" ca="1" si="45"/>
        <v>9537068.2529991642</v>
      </c>
      <c r="J89" s="448">
        <f t="shared" ca="1" si="45"/>
        <v>18677551.717587426</v>
      </c>
      <c r="K89" s="448">
        <f t="shared" ca="1" si="45"/>
        <v>36848909.023198202</v>
      </c>
      <c r="L89" s="448">
        <f t="shared" ca="1" si="45"/>
        <v>71538258.781460956</v>
      </c>
      <c r="M89" s="448">
        <f t="shared" ca="1" si="45"/>
        <v>142108182.24050918</v>
      </c>
      <c r="N89" s="448">
        <f t="shared" ca="1" si="45"/>
        <v>282521593.04768747</v>
      </c>
      <c r="O89" s="448">
        <f t="shared" ca="1" si="45"/>
        <v>561972764.88885522</v>
      </c>
      <c r="P89" s="448">
        <f t="shared" ca="1" si="45"/>
        <v>1118135032.6207833</v>
      </c>
      <c r="Q89" s="448" t="str">
        <f t="shared" si="45"/>
        <v/>
      </c>
      <c r="R89" s="448" t="str">
        <f t="shared" si="45"/>
        <v/>
      </c>
      <c r="S89" s="448" t="str">
        <f t="shared" si="45"/>
        <v/>
      </c>
      <c r="T89" s="448" t="str">
        <f t="shared" si="45"/>
        <v/>
      </c>
      <c r="U89" s="448" t="str">
        <f t="shared" si="45"/>
        <v/>
      </c>
    </row>
    <row r="90" spans="2:21" ht="15" x14ac:dyDescent="0.2">
      <c r="B90" s="369" t="s">
        <v>627</v>
      </c>
      <c r="C90" s="369"/>
      <c r="D90" s="369"/>
      <c r="E90" s="369"/>
      <c r="F90" s="448">
        <f>IF(F89="","",IF($D$4="Equity Multiple",E91*$C88-E91,F89*$C88))</f>
        <v>0</v>
      </c>
      <c r="G90" s="448">
        <f t="shared" ref="G90:U90" ca="1" si="46">IF(G89="","",IF($D$4="Equity Multiple",F91*$C88-F91,G89*$C88))</f>
        <v>2507372.5297499998</v>
      </c>
      <c r="H90" s="448">
        <f t="shared" ca="1" si="46"/>
        <v>4863847.8082424989</v>
      </c>
      <c r="I90" s="448">
        <f t="shared" ca="1" si="46"/>
        <v>9441697.5704691727</v>
      </c>
      <c r="J90" s="448">
        <f t="shared" ca="1" si="46"/>
        <v>18490776.200411551</v>
      </c>
      <c r="K90" s="448">
        <f t="shared" ca="1" si="46"/>
        <v>36480419.932966217</v>
      </c>
      <c r="L90" s="448">
        <f t="shared" ca="1" si="46"/>
        <v>70822876.193646342</v>
      </c>
      <c r="M90" s="448">
        <f t="shared" ca="1" si="46"/>
        <v>140687100.41810408</v>
      </c>
      <c r="N90" s="448">
        <f t="shared" ca="1" si="46"/>
        <v>279696377.11721057</v>
      </c>
      <c r="O90" s="448">
        <f t="shared" ca="1" si="46"/>
        <v>556353037.23996663</v>
      </c>
      <c r="P90" s="448">
        <f t="shared" ca="1" si="46"/>
        <v>1106953682.2945755</v>
      </c>
      <c r="Q90" s="448" t="str">
        <f t="shared" si="46"/>
        <v/>
      </c>
      <c r="R90" s="448" t="str">
        <f t="shared" si="46"/>
        <v/>
      </c>
      <c r="S90" s="448" t="str">
        <f t="shared" si="46"/>
        <v/>
      </c>
      <c r="T90" s="448" t="str">
        <f t="shared" si="46"/>
        <v/>
      </c>
      <c r="U90" s="448" t="str">
        <f t="shared" si="46"/>
        <v/>
      </c>
    </row>
    <row r="91" spans="2:21" ht="15" x14ac:dyDescent="0.2">
      <c r="B91" s="369" t="s">
        <v>614</v>
      </c>
      <c r="C91" s="369"/>
      <c r="D91" s="369"/>
      <c r="E91" s="369"/>
      <c r="F91" s="448">
        <f t="shared" ref="F91:U91" si="47">IF(F89="","",-MIN(0,F$47*Equity_Share_LP))</f>
        <v>2532699.5249999999</v>
      </c>
      <c r="G91" s="448">
        <f t="shared" ca="1" si="47"/>
        <v>0</v>
      </c>
      <c r="H91" s="448">
        <f t="shared" ca="1" si="47"/>
        <v>0</v>
      </c>
      <c r="I91" s="448">
        <f t="shared" ca="1" si="47"/>
        <v>0</v>
      </c>
      <c r="J91" s="448">
        <f t="shared" ca="1" si="47"/>
        <v>0</v>
      </c>
      <c r="K91" s="448">
        <f t="shared" ca="1" si="47"/>
        <v>0</v>
      </c>
      <c r="L91" s="448">
        <f t="shared" ca="1" si="47"/>
        <v>0</v>
      </c>
      <c r="M91" s="448">
        <f t="shared" ca="1" si="47"/>
        <v>0</v>
      </c>
      <c r="N91" s="448">
        <f t="shared" ca="1" si="47"/>
        <v>0</v>
      </c>
      <c r="O91" s="448">
        <f t="shared" ca="1" si="47"/>
        <v>0</v>
      </c>
      <c r="P91" s="448">
        <f t="shared" ca="1" si="47"/>
        <v>0</v>
      </c>
      <c r="Q91" s="448" t="str">
        <f t="shared" si="47"/>
        <v/>
      </c>
      <c r="R91" s="448" t="str">
        <f t="shared" si="47"/>
        <v/>
      </c>
      <c r="S91" s="448" t="str">
        <f t="shared" si="47"/>
        <v/>
      </c>
      <c r="T91" s="448" t="str">
        <f t="shared" si="47"/>
        <v/>
      </c>
      <c r="U91" s="448" t="str">
        <f t="shared" si="47"/>
        <v/>
      </c>
    </row>
    <row r="92" spans="2:21" ht="15" x14ac:dyDescent="0.2">
      <c r="B92" s="369" t="s">
        <v>625</v>
      </c>
      <c r="C92" s="369"/>
      <c r="D92" s="369"/>
      <c r="E92" s="369"/>
      <c r="F92" s="448">
        <f t="shared" ref="F92:U92" si="48">IF(F89="","",F82+F60)</f>
        <v>0</v>
      </c>
      <c r="G92" s="448">
        <f t="shared" ca="1" si="48"/>
        <v>127094.47066666668</v>
      </c>
      <c r="H92" s="448">
        <f t="shared" ca="1" si="48"/>
        <v>239757.13932666669</v>
      </c>
      <c r="I92" s="448">
        <f t="shared" ca="1" si="48"/>
        <v>301214.10588090756</v>
      </c>
      <c r="J92" s="448">
        <f t="shared" ca="1" si="48"/>
        <v>319418.89480077167</v>
      </c>
      <c r="K92" s="448">
        <f t="shared" ca="1" si="48"/>
        <v>1791070.1747034709</v>
      </c>
      <c r="L92" s="448">
        <f t="shared" ca="1" si="48"/>
        <v>252952.73459812731</v>
      </c>
      <c r="M92" s="448">
        <f t="shared" ca="1" si="48"/>
        <v>273689.61092576635</v>
      </c>
      <c r="N92" s="448">
        <f t="shared" ca="1" si="48"/>
        <v>245205.27604278494</v>
      </c>
      <c r="O92" s="448">
        <f t="shared" ca="1" si="48"/>
        <v>190769.50803845012</v>
      </c>
      <c r="P92" s="448">
        <f t="shared" ca="1" si="48"/>
        <v>112118.35538890035</v>
      </c>
      <c r="Q92" s="448" t="str">
        <f t="shared" si="48"/>
        <v/>
      </c>
      <c r="R92" s="448" t="str">
        <f t="shared" si="48"/>
        <v/>
      </c>
      <c r="S92" s="448" t="str">
        <f t="shared" si="48"/>
        <v/>
      </c>
      <c r="T92" s="448" t="str">
        <f t="shared" si="48"/>
        <v/>
      </c>
      <c r="U92" s="448" t="str">
        <f t="shared" si="48"/>
        <v/>
      </c>
    </row>
    <row r="93" spans="2:21" ht="15" x14ac:dyDescent="0.2">
      <c r="B93" s="369" t="str">
        <f>"Distributions to LP "&amp;B87</f>
        <v>Distributions to LP Hurdle 3</v>
      </c>
      <c r="C93" s="369"/>
      <c r="D93" s="369"/>
      <c r="E93" s="369"/>
      <c r="F93" s="448">
        <f t="shared" ref="F93:U93" si="49">IF(F89="","",MIN(F89+F90-F92,F85*$I$16))</f>
        <v>0</v>
      </c>
      <c r="G93" s="448">
        <f t="shared" ca="1" si="49"/>
        <v>0</v>
      </c>
      <c r="H93" s="448">
        <f t="shared" ca="1" si="49"/>
        <v>0</v>
      </c>
      <c r="I93" s="448">
        <f t="shared" ca="1" si="49"/>
        <v>0</v>
      </c>
      <c r="J93" s="448">
        <f t="shared" ca="1" si="49"/>
        <v>0</v>
      </c>
      <c r="K93" s="448">
        <f t="shared" ca="1" si="49"/>
        <v>0</v>
      </c>
      <c r="L93" s="448">
        <f t="shared" ca="1" si="49"/>
        <v>0</v>
      </c>
      <c r="M93" s="448">
        <f t="shared" ca="1" si="49"/>
        <v>0</v>
      </c>
      <c r="N93" s="448">
        <f t="shared" ca="1" si="49"/>
        <v>0</v>
      </c>
      <c r="O93" s="448">
        <f t="shared" ca="1" si="49"/>
        <v>0</v>
      </c>
      <c r="P93" s="448">
        <f t="shared" ca="1" si="49"/>
        <v>0</v>
      </c>
      <c r="Q93" s="448" t="str">
        <f t="shared" si="49"/>
        <v/>
      </c>
      <c r="R93" s="448" t="str">
        <f t="shared" si="49"/>
        <v/>
      </c>
      <c r="S93" s="448" t="str">
        <f t="shared" si="49"/>
        <v/>
      </c>
      <c r="T93" s="448" t="str">
        <f t="shared" si="49"/>
        <v/>
      </c>
      <c r="U93" s="448" t="str">
        <f t="shared" si="49"/>
        <v/>
      </c>
    </row>
    <row r="94" spans="2:21" ht="15" x14ac:dyDescent="0.2">
      <c r="B94" s="369" t="s">
        <v>616</v>
      </c>
      <c r="C94" s="369"/>
      <c r="D94" s="369"/>
      <c r="E94" s="369"/>
      <c r="F94" s="448">
        <f>F89+F91-F93</f>
        <v>2532699.5249999999</v>
      </c>
      <c r="G94" s="448">
        <f t="shared" ref="G94:U94" ca="1" si="50">IF(G89="","",G89+G90+G91-G92-G93)</f>
        <v>4912977.5840833327</v>
      </c>
      <c r="H94" s="448">
        <f t="shared" ca="1" si="50"/>
        <v>9537068.2529991642</v>
      </c>
      <c r="I94" s="448">
        <f t="shared" ca="1" si="50"/>
        <v>18677551.717587426</v>
      </c>
      <c r="J94" s="448">
        <f t="shared" ca="1" si="50"/>
        <v>36848909.023198202</v>
      </c>
      <c r="K94" s="448">
        <f t="shared" ca="1" si="50"/>
        <v>71538258.781460956</v>
      </c>
      <c r="L94" s="448">
        <f t="shared" ca="1" si="50"/>
        <v>142108182.24050918</v>
      </c>
      <c r="M94" s="448">
        <f t="shared" ca="1" si="50"/>
        <v>282521593.04768747</v>
      </c>
      <c r="N94" s="448">
        <f t="shared" ca="1" si="50"/>
        <v>561972764.88885522</v>
      </c>
      <c r="O94" s="448">
        <f t="shared" ca="1" si="50"/>
        <v>1118135032.6207833</v>
      </c>
      <c r="P94" s="448">
        <f t="shared" ca="1" si="50"/>
        <v>2224976596.5599694</v>
      </c>
      <c r="Q94" s="448" t="str">
        <f t="shared" si="50"/>
        <v/>
      </c>
      <c r="R94" s="448" t="str">
        <f t="shared" si="50"/>
        <v/>
      </c>
      <c r="S94" s="448" t="str">
        <f t="shared" si="50"/>
        <v/>
      </c>
      <c r="T94" s="448" t="str">
        <f t="shared" si="50"/>
        <v/>
      </c>
      <c r="U94" s="448" t="str">
        <f t="shared" si="50"/>
        <v/>
      </c>
    </row>
    <row r="95" spans="2:21" ht="15" x14ac:dyDescent="0.2">
      <c r="B95" s="452">
        <f>C88</f>
        <v>0.99</v>
      </c>
      <c r="C95" s="369"/>
      <c r="D95" s="369"/>
      <c r="E95" s="451">
        <f ca="1">IF($D$4="IRR",IRR(F95:U95),SUMIF(F95:U95,"&gt;0")/-SUMIF(F95:U95,"&lt;0"))</f>
        <v>8.7104353086767228E-2</v>
      </c>
      <c r="F95" s="448">
        <f>IF(F89="","",-F91+F93)</f>
        <v>-2532699.5249999999</v>
      </c>
      <c r="G95" s="448">
        <f t="shared" ref="G95:U95" ca="1" si="51">IF(G89="","",-G91+G92+G93)</f>
        <v>127094.47066666668</v>
      </c>
      <c r="H95" s="448">
        <f t="shared" ca="1" si="51"/>
        <v>239757.13932666669</v>
      </c>
      <c r="I95" s="448">
        <f t="shared" ca="1" si="51"/>
        <v>301214.10588090756</v>
      </c>
      <c r="J95" s="448">
        <f t="shared" ca="1" si="51"/>
        <v>319418.89480077167</v>
      </c>
      <c r="K95" s="448">
        <f t="shared" ca="1" si="51"/>
        <v>1791070.1747034709</v>
      </c>
      <c r="L95" s="448">
        <f t="shared" ca="1" si="51"/>
        <v>252952.73459812731</v>
      </c>
      <c r="M95" s="448">
        <f t="shared" ca="1" si="51"/>
        <v>273689.61092576635</v>
      </c>
      <c r="N95" s="448">
        <f t="shared" ca="1" si="51"/>
        <v>245205.27604278494</v>
      </c>
      <c r="O95" s="448">
        <f t="shared" ca="1" si="51"/>
        <v>190769.50803845012</v>
      </c>
      <c r="P95" s="448">
        <f t="shared" ca="1" si="51"/>
        <v>112118.35538890035</v>
      </c>
      <c r="Q95" s="448" t="str">
        <f t="shared" si="51"/>
        <v/>
      </c>
      <c r="R95" s="448" t="str">
        <f t="shared" si="51"/>
        <v/>
      </c>
      <c r="S95" s="448" t="str">
        <f t="shared" si="51"/>
        <v/>
      </c>
      <c r="T95" s="448" t="str">
        <f t="shared" si="51"/>
        <v/>
      </c>
      <c r="U95" s="448" t="str">
        <f t="shared" si="51"/>
        <v/>
      </c>
    </row>
    <row r="96" spans="2:21" ht="5" customHeight="1" x14ac:dyDescent="0.2">
      <c r="B96" s="357" t="s">
        <v>626</v>
      </c>
      <c r="C96" s="357" t="s">
        <v>626</v>
      </c>
      <c r="D96" s="357" t="s">
        <v>626</v>
      </c>
      <c r="E96" s="357" t="s">
        <v>626</v>
      </c>
      <c r="F96" s="453" t="str">
        <f t="shared" ref="F96:U96" si="52">IF(F89="","",".")</f>
        <v>.</v>
      </c>
      <c r="G96" s="453" t="str">
        <f t="shared" ca="1" si="52"/>
        <v>.</v>
      </c>
      <c r="H96" s="453" t="str">
        <f t="shared" ca="1" si="52"/>
        <v>.</v>
      </c>
      <c r="I96" s="453" t="str">
        <f t="shared" ca="1" si="52"/>
        <v>.</v>
      </c>
      <c r="J96" s="453" t="str">
        <f t="shared" ca="1" si="52"/>
        <v>.</v>
      </c>
      <c r="K96" s="453" t="str">
        <f t="shared" ca="1" si="52"/>
        <v>.</v>
      </c>
      <c r="L96" s="453" t="str">
        <f t="shared" ca="1" si="52"/>
        <v>.</v>
      </c>
      <c r="M96" s="453" t="str">
        <f t="shared" ca="1" si="52"/>
        <v>.</v>
      </c>
      <c r="N96" s="453" t="str">
        <f t="shared" ca="1" si="52"/>
        <v>.</v>
      </c>
      <c r="O96" s="453" t="str">
        <f t="shared" ca="1" si="52"/>
        <v>.</v>
      </c>
      <c r="P96" s="453" t="str">
        <f t="shared" ca="1" si="52"/>
        <v>.</v>
      </c>
      <c r="Q96" s="453" t="str">
        <f t="shared" si="52"/>
        <v/>
      </c>
      <c r="R96" s="453" t="str">
        <f t="shared" si="52"/>
        <v/>
      </c>
      <c r="S96" s="453" t="str">
        <f t="shared" si="52"/>
        <v/>
      </c>
      <c r="T96" s="453" t="str">
        <f t="shared" si="52"/>
        <v/>
      </c>
      <c r="U96" s="453" t="str">
        <f t="shared" si="52"/>
        <v/>
      </c>
    </row>
    <row r="97" spans="2:21" ht="15" x14ac:dyDescent="0.2">
      <c r="B97" s="369" t="s">
        <v>617</v>
      </c>
      <c r="C97" s="369"/>
      <c r="D97" s="369"/>
      <c r="E97" s="369"/>
      <c r="F97" s="448">
        <f t="shared" ref="F97:U97" si="53">IF(F89="","",F93)</f>
        <v>0</v>
      </c>
      <c r="G97" s="448">
        <f t="shared" ca="1" si="53"/>
        <v>0</v>
      </c>
      <c r="H97" s="448">
        <f t="shared" ca="1" si="53"/>
        <v>0</v>
      </c>
      <c r="I97" s="448">
        <f t="shared" ca="1" si="53"/>
        <v>0</v>
      </c>
      <c r="J97" s="448">
        <f t="shared" ca="1" si="53"/>
        <v>0</v>
      </c>
      <c r="K97" s="448">
        <f t="shared" ca="1" si="53"/>
        <v>0</v>
      </c>
      <c r="L97" s="448">
        <f t="shared" ca="1" si="53"/>
        <v>0</v>
      </c>
      <c r="M97" s="448">
        <f t="shared" ca="1" si="53"/>
        <v>0</v>
      </c>
      <c r="N97" s="448">
        <f t="shared" ca="1" si="53"/>
        <v>0</v>
      </c>
      <c r="O97" s="448">
        <f t="shared" ca="1" si="53"/>
        <v>0</v>
      </c>
      <c r="P97" s="448">
        <f t="shared" ca="1" si="53"/>
        <v>0</v>
      </c>
      <c r="Q97" s="448" t="str">
        <f t="shared" si="53"/>
        <v/>
      </c>
      <c r="R97" s="448" t="str">
        <f t="shared" si="53"/>
        <v/>
      </c>
      <c r="S97" s="448" t="str">
        <f t="shared" si="53"/>
        <v/>
      </c>
      <c r="T97" s="448" t="str">
        <f t="shared" si="53"/>
        <v/>
      </c>
      <c r="U97" s="448" t="str">
        <f t="shared" si="53"/>
        <v/>
      </c>
    </row>
    <row r="98" spans="2:21" ht="15" x14ac:dyDescent="0.2">
      <c r="B98" s="369" t="s">
        <v>621</v>
      </c>
      <c r="C98" s="369"/>
      <c r="D98" s="369"/>
      <c r="E98" s="369"/>
      <c r="F98" s="448">
        <f>IF(F89="","",F97/$I$16*$H$16)</f>
        <v>0</v>
      </c>
      <c r="G98" s="448">
        <f t="shared" ref="G98:U98" ca="1" si="54">IF(G89="","",G97/$I$16*$H$16)</f>
        <v>0</v>
      </c>
      <c r="H98" s="448">
        <f t="shared" ca="1" si="54"/>
        <v>0</v>
      </c>
      <c r="I98" s="448">
        <f t="shared" ca="1" si="54"/>
        <v>0</v>
      </c>
      <c r="J98" s="448">
        <f t="shared" ca="1" si="54"/>
        <v>0</v>
      </c>
      <c r="K98" s="448">
        <f t="shared" ca="1" si="54"/>
        <v>0</v>
      </c>
      <c r="L98" s="448">
        <f t="shared" ca="1" si="54"/>
        <v>0</v>
      </c>
      <c r="M98" s="448">
        <f t="shared" ca="1" si="54"/>
        <v>0</v>
      </c>
      <c r="N98" s="448">
        <f t="shared" ca="1" si="54"/>
        <v>0</v>
      </c>
      <c r="O98" s="448">
        <f t="shared" ca="1" si="54"/>
        <v>0</v>
      </c>
      <c r="P98" s="448">
        <f t="shared" ca="1" si="54"/>
        <v>0</v>
      </c>
      <c r="Q98" s="448" t="str">
        <f t="shared" si="54"/>
        <v/>
      </c>
      <c r="R98" s="448" t="str">
        <f t="shared" si="54"/>
        <v/>
      </c>
      <c r="S98" s="448" t="str">
        <f t="shared" si="54"/>
        <v/>
      </c>
      <c r="T98" s="448" t="str">
        <f t="shared" si="54"/>
        <v/>
      </c>
      <c r="U98" s="448" t="str">
        <f t="shared" si="54"/>
        <v/>
      </c>
    </row>
    <row r="99" spans="2:21" ht="15" x14ac:dyDescent="0.2">
      <c r="B99" s="369" t="str">
        <f>"Total Distributions ("&amp;B87&amp;")"</f>
        <v>Total Distributions (Hurdle 3)</v>
      </c>
      <c r="C99" s="369"/>
      <c r="D99" s="369"/>
      <c r="E99" s="369"/>
      <c r="F99" s="448">
        <f t="shared" ref="F99:U99" si="55">IF(F89="","",F97+F98)</f>
        <v>0</v>
      </c>
      <c r="G99" s="448">
        <f t="shared" ca="1" si="55"/>
        <v>0</v>
      </c>
      <c r="H99" s="448">
        <f t="shared" ca="1" si="55"/>
        <v>0</v>
      </c>
      <c r="I99" s="448">
        <f t="shared" ca="1" si="55"/>
        <v>0</v>
      </c>
      <c r="J99" s="448">
        <f t="shared" ca="1" si="55"/>
        <v>0</v>
      </c>
      <c r="K99" s="448">
        <f t="shared" ca="1" si="55"/>
        <v>0</v>
      </c>
      <c r="L99" s="448">
        <f t="shared" ca="1" si="55"/>
        <v>0</v>
      </c>
      <c r="M99" s="448">
        <f t="shared" ca="1" si="55"/>
        <v>0</v>
      </c>
      <c r="N99" s="448">
        <f t="shared" ca="1" si="55"/>
        <v>0</v>
      </c>
      <c r="O99" s="448">
        <f t="shared" ca="1" si="55"/>
        <v>0</v>
      </c>
      <c r="P99" s="448">
        <f t="shared" ca="1" si="55"/>
        <v>0</v>
      </c>
      <c r="Q99" s="448" t="str">
        <f t="shared" si="55"/>
        <v/>
      </c>
      <c r="R99" s="448" t="str">
        <f t="shared" si="55"/>
        <v/>
      </c>
      <c r="S99" s="448" t="str">
        <f t="shared" si="55"/>
        <v/>
      </c>
      <c r="T99" s="448" t="str">
        <f t="shared" si="55"/>
        <v/>
      </c>
      <c r="U99" s="448" t="str">
        <f t="shared" si="55"/>
        <v/>
      </c>
    </row>
    <row r="100" spans="2:21" ht="15" x14ac:dyDescent="0.2">
      <c r="B100" s="369" t="s">
        <v>623</v>
      </c>
      <c r="C100" s="369"/>
      <c r="D100" s="369"/>
      <c r="E100" s="369"/>
      <c r="F100" s="448">
        <f t="shared" ref="F100:U100" si="56">IF(F89="","",MAX(F$47-F69-F84-F99,0))</f>
        <v>0</v>
      </c>
      <c r="G100" s="448">
        <f t="shared" ca="1" si="56"/>
        <v>0</v>
      </c>
      <c r="H100" s="448">
        <f t="shared" ca="1" si="56"/>
        <v>0</v>
      </c>
      <c r="I100" s="448">
        <f t="shared" ca="1" si="56"/>
        <v>0</v>
      </c>
      <c r="J100" s="448">
        <f t="shared" ca="1" si="56"/>
        <v>0</v>
      </c>
      <c r="K100" s="448">
        <f t="shared" ca="1" si="56"/>
        <v>0</v>
      </c>
      <c r="L100" s="448">
        <f t="shared" ca="1" si="56"/>
        <v>0</v>
      </c>
      <c r="M100" s="448">
        <f t="shared" ca="1" si="56"/>
        <v>0</v>
      </c>
      <c r="N100" s="448">
        <f t="shared" ca="1" si="56"/>
        <v>0</v>
      </c>
      <c r="O100" s="448">
        <f t="shared" ca="1" si="56"/>
        <v>0</v>
      </c>
      <c r="P100" s="448">
        <f t="shared" ca="1" si="56"/>
        <v>0</v>
      </c>
      <c r="Q100" s="448" t="str">
        <f t="shared" si="56"/>
        <v/>
      </c>
      <c r="R100" s="448" t="str">
        <f t="shared" si="56"/>
        <v/>
      </c>
      <c r="S100" s="448" t="str">
        <f t="shared" si="56"/>
        <v/>
      </c>
      <c r="T100" s="448" t="str">
        <f t="shared" si="56"/>
        <v/>
      </c>
      <c r="U100" s="448" t="str">
        <f t="shared" si="56"/>
        <v/>
      </c>
    </row>
    <row r="101" spans="2:21" ht="5" customHeight="1" x14ac:dyDescent="0.2">
      <c r="B101" s="369"/>
      <c r="C101" s="369"/>
      <c r="D101" s="369"/>
      <c r="E101" s="369"/>
      <c r="F101" s="370"/>
      <c r="G101" s="370"/>
      <c r="H101" s="370"/>
      <c r="I101" s="370"/>
      <c r="J101" s="370"/>
      <c r="K101" s="370"/>
      <c r="L101" s="370"/>
      <c r="M101" s="370"/>
      <c r="N101" s="370"/>
      <c r="O101" s="370"/>
      <c r="P101" s="370"/>
      <c r="Q101" s="370"/>
      <c r="R101" s="370"/>
      <c r="S101" s="370"/>
      <c r="T101" s="370"/>
      <c r="U101" s="370"/>
    </row>
    <row r="102" spans="2:21" ht="16" x14ac:dyDescent="0.2">
      <c r="B102" s="372" t="s">
        <v>579</v>
      </c>
      <c r="C102" s="369"/>
      <c r="D102" s="369"/>
      <c r="E102" s="369"/>
      <c r="F102" s="370"/>
      <c r="G102" s="370"/>
      <c r="H102" s="370"/>
      <c r="I102" s="370"/>
      <c r="J102" s="370"/>
      <c r="K102" s="370"/>
      <c r="L102" s="370"/>
      <c r="M102" s="370"/>
      <c r="N102" s="370"/>
      <c r="O102" s="370"/>
      <c r="P102" s="370"/>
      <c r="Q102" s="370"/>
      <c r="R102" s="370"/>
      <c r="S102" s="370"/>
      <c r="T102" s="370"/>
      <c r="U102" s="370"/>
    </row>
    <row r="103" spans="2:21" ht="15" x14ac:dyDescent="0.2">
      <c r="B103" s="446" t="s">
        <v>628</v>
      </c>
      <c r="C103" s="447">
        <f>C88</f>
        <v>0.99</v>
      </c>
      <c r="D103" s="393"/>
      <c r="E103" s="393"/>
      <c r="F103" s="394"/>
      <c r="G103" s="394"/>
      <c r="H103" s="394"/>
      <c r="I103" s="394"/>
      <c r="J103" s="394"/>
      <c r="K103" s="394"/>
      <c r="L103" s="394"/>
      <c r="M103" s="394"/>
      <c r="N103" s="394"/>
      <c r="O103" s="394"/>
      <c r="P103" s="394"/>
      <c r="Q103" s="394"/>
      <c r="R103" s="394"/>
      <c r="S103" s="394"/>
      <c r="T103" s="394"/>
      <c r="U103" s="394"/>
    </row>
    <row r="104" spans="2:21" ht="15" x14ac:dyDescent="0.2">
      <c r="B104" s="369" t="s">
        <v>617</v>
      </c>
      <c r="C104" s="369"/>
      <c r="D104" s="369"/>
      <c r="E104" s="369"/>
      <c r="F104" s="448">
        <f t="shared" ref="F104:U104" si="57">IF(F89="","",F100*$I$17)</f>
        <v>0</v>
      </c>
      <c r="G104" s="448">
        <f t="shared" ca="1" si="57"/>
        <v>0</v>
      </c>
      <c r="H104" s="448">
        <f t="shared" ca="1" si="57"/>
        <v>0</v>
      </c>
      <c r="I104" s="448">
        <f t="shared" ca="1" si="57"/>
        <v>0</v>
      </c>
      <c r="J104" s="448">
        <f t="shared" ca="1" si="57"/>
        <v>0</v>
      </c>
      <c r="K104" s="448">
        <f t="shared" ca="1" si="57"/>
        <v>0</v>
      </c>
      <c r="L104" s="448">
        <f t="shared" ca="1" si="57"/>
        <v>0</v>
      </c>
      <c r="M104" s="448">
        <f t="shared" ca="1" si="57"/>
        <v>0</v>
      </c>
      <c r="N104" s="448">
        <f t="shared" ca="1" si="57"/>
        <v>0</v>
      </c>
      <c r="O104" s="448">
        <f t="shared" ca="1" si="57"/>
        <v>0</v>
      </c>
      <c r="P104" s="448">
        <f t="shared" ca="1" si="57"/>
        <v>0</v>
      </c>
      <c r="Q104" s="448" t="str">
        <f t="shared" si="57"/>
        <v/>
      </c>
      <c r="R104" s="448" t="str">
        <f t="shared" si="57"/>
        <v/>
      </c>
      <c r="S104" s="448" t="str">
        <f t="shared" si="57"/>
        <v/>
      </c>
      <c r="T104" s="448" t="str">
        <f t="shared" si="57"/>
        <v/>
      </c>
      <c r="U104" s="448" t="str">
        <f t="shared" si="57"/>
        <v/>
      </c>
    </row>
    <row r="105" spans="2:21" ht="15" x14ac:dyDescent="0.2">
      <c r="B105" s="369" t="s">
        <v>621</v>
      </c>
      <c r="C105" s="369"/>
      <c r="D105" s="369"/>
      <c r="E105" s="369"/>
      <c r="F105" s="448">
        <f t="shared" ref="F105:U105" si="58">IF(F104="","",F100-F104)</f>
        <v>0</v>
      </c>
      <c r="G105" s="448">
        <f t="shared" ca="1" si="58"/>
        <v>0</v>
      </c>
      <c r="H105" s="448">
        <f t="shared" ca="1" si="58"/>
        <v>0</v>
      </c>
      <c r="I105" s="448">
        <f t="shared" ca="1" si="58"/>
        <v>0</v>
      </c>
      <c r="J105" s="448">
        <f t="shared" ca="1" si="58"/>
        <v>0</v>
      </c>
      <c r="K105" s="448">
        <f t="shared" ca="1" si="58"/>
        <v>0</v>
      </c>
      <c r="L105" s="448">
        <f t="shared" ca="1" si="58"/>
        <v>0</v>
      </c>
      <c r="M105" s="448">
        <f t="shared" ca="1" si="58"/>
        <v>0</v>
      </c>
      <c r="N105" s="448">
        <f t="shared" ca="1" si="58"/>
        <v>0</v>
      </c>
      <c r="O105" s="448">
        <f t="shared" ca="1" si="58"/>
        <v>0</v>
      </c>
      <c r="P105" s="448">
        <f t="shared" ca="1" si="58"/>
        <v>0</v>
      </c>
      <c r="Q105" s="448" t="str">
        <f t="shared" si="58"/>
        <v/>
      </c>
      <c r="R105" s="448" t="str">
        <f t="shared" si="58"/>
        <v/>
      </c>
      <c r="S105" s="448" t="str">
        <f t="shared" si="58"/>
        <v/>
      </c>
      <c r="T105" s="448" t="str">
        <f t="shared" si="58"/>
        <v/>
      </c>
      <c r="U105" s="448" t="str">
        <f t="shared" si="58"/>
        <v/>
      </c>
    </row>
    <row r="106" spans="2:21" ht="15" x14ac:dyDescent="0.2">
      <c r="B106" s="369" t="str">
        <f>"Total Distributions ("&amp;B102&amp;")"</f>
        <v>Total Distributions (Hurdle 4)</v>
      </c>
      <c r="C106" s="369"/>
      <c r="D106" s="369"/>
      <c r="E106" s="369"/>
      <c r="F106" s="448">
        <f t="shared" ref="F106:U106" si="59">IF(F104="","",F104+F105)</f>
        <v>0</v>
      </c>
      <c r="G106" s="448">
        <f t="shared" ca="1" si="59"/>
        <v>0</v>
      </c>
      <c r="H106" s="448">
        <f t="shared" ca="1" si="59"/>
        <v>0</v>
      </c>
      <c r="I106" s="448">
        <f t="shared" ca="1" si="59"/>
        <v>0</v>
      </c>
      <c r="J106" s="448">
        <f t="shared" ca="1" si="59"/>
        <v>0</v>
      </c>
      <c r="K106" s="448">
        <f t="shared" ca="1" si="59"/>
        <v>0</v>
      </c>
      <c r="L106" s="448">
        <f t="shared" ca="1" si="59"/>
        <v>0</v>
      </c>
      <c r="M106" s="448">
        <f t="shared" ca="1" si="59"/>
        <v>0</v>
      </c>
      <c r="N106" s="448">
        <f t="shared" ca="1" si="59"/>
        <v>0</v>
      </c>
      <c r="O106" s="448">
        <f t="shared" ca="1" si="59"/>
        <v>0</v>
      </c>
      <c r="P106" s="448">
        <f t="shared" ca="1" si="59"/>
        <v>0</v>
      </c>
      <c r="Q106" s="448" t="str">
        <f t="shared" si="59"/>
        <v/>
      </c>
      <c r="R106" s="448" t="str">
        <f t="shared" si="59"/>
        <v/>
      </c>
      <c r="S106" s="448" t="str">
        <f t="shared" si="59"/>
        <v/>
      </c>
      <c r="T106" s="448" t="str">
        <f t="shared" si="59"/>
        <v/>
      </c>
      <c r="U106" s="448" t="str">
        <f t="shared" si="59"/>
        <v/>
      </c>
    </row>
    <row r="107" spans="2:21" ht="15" x14ac:dyDescent="0.2">
      <c r="B107" s="369" t="s">
        <v>623</v>
      </c>
      <c r="C107" s="369"/>
      <c r="D107" s="369"/>
      <c r="E107" s="369"/>
      <c r="F107" s="448">
        <f t="shared" ref="F107:U107" si="60">IF(F104="","",F100-F106)</f>
        <v>0</v>
      </c>
      <c r="G107" s="448">
        <f t="shared" ca="1" si="60"/>
        <v>0</v>
      </c>
      <c r="H107" s="448">
        <f t="shared" ca="1" si="60"/>
        <v>0</v>
      </c>
      <c r="I107" s="448">
        <f t="shared" ca="1" si="60"/>
        <v>0</v>
      </c>
      <c r="J107" s="448">
        <f t="shared" ca="1" si="60"/>
        <v>0</v>
      </c>
      <c r="K107" s="448">
        <f t="shared" ca="1" si="60"/>
        <v>0</v>
      </c>
      <c r="L107" s="448">
        <f t="shared" ca="1" si="60"/>
        <v>0</v>
      </c>
      <c r="M107" s="448">
        <f t="shared" ca="1" si="60"/>
        <v>0</v>
      </c>
      <c r="N107" s="448">
        <f t="shared" ca="1" si="60"/>
        <v>0</v>
      </c>
      <c r="O107" s="448">
        <f t="shared" ca="1" si="60"/>
        <v>0</v>
      </c>
      <c r="P107" s="448">
        <f t="shared" ca="1" si="60"/>
        <v>0</v>
      </c>
      <c r="Q107" s="448" t="str">
        <f t="shared" si="60"/>
        <v/>
      </c>
      <c r="R107" s="448" t="str">
        <f t="shared" si="60"/>
        <v/>
      </c>
      <c r="S107" s="448" t="str">
        <f t="shared" si="60"/>
        <v/>
      </c>
      <c r="T107" s="448" t="str">
        <f t="shared" si="60"/>
        <v/>
      </c>
      <c r="U107" s="448" t="str">
        <f t="shared" si="60"/>
        <v/>
      </c>
    </row>
    <row r="108" spans="2:21" ht="10" customHeight="1" x14ac:dyDescent="0.2"/>
    <row r="109" spans="2:21" ht="15" hidden="1" x14ac:dyDescent="0.2"/>
    <row r="110" spans="2:21" ht="15" hidden="1" x14ac:dyDescent="0.2"/>
    <row r="111" spans="2:21" ht="15" hidden="1" x14ac:dyDescent="0.2"/>
    <row r="112" spans="2:21" ht="15" hidden="1" x14ac:dyDescent="0.2"/>
  </sheetData>
  <sheetProtection selectLockedCells="1"/>
  <mergeCells count="8">
    <mergeCell ref="J16:N16"/>
    <mergeCell ref="J17:N17"/>
    <mergeCell ref="O4:S4"/>
    <mergeCell ref="O5:S5"/>
    <mergeCell ref="F12:G13"/>
    <mergeCell ref="H12:I12"/>
    <mergeCell ref="J14:N14"/>
    <mergeCell ref="J15:N15"/>
  </mergeCells>
  <conditionalFormatting sqref="B59">
    <cfRule type="expression" dxfId="19" priority="15">
      <formula>$C$4="Equity Multiple"</formula>
    </cfRule>
  </conditionalFormatting>
  <conditionalFormatting sqref="B67">
    <cfRule type="expression" dxfId="18" priority="5">
      <formula>$C$4="Equity Multiple"</formula>
    </cfRule>
  </conditionalFormatting>
  <conditionalFormatting sqref="B80">
    <cfRule type="expression" dxfId="17" priority="13">
      <formula>$C$4="Equity Multiple"</formula>
    </cfRule>
  </conditionalFormatting>
  <conditionalFormatting sqref="B95">
    <cfRule type="expression" dxfId="16" priority="12">
      <formula>$C$4="Equity Multiple"</formula>
    </cfRule>
  </conditionalFormatting>
  <conditionalFormatting sqref="C14:C17">
    <cfRule type="expression" dxfId="15" priority="16">
      <formula>$D$4&lt;&gt;"Equity Multiple"</formula>
    </cfRule>
  </conditionalFormatting>
  <conditionalFormatting sqref="C52">
    <cfRule type="expression" dxfId="14" priority="11">
      <formula>$C$4="Equity Multiple"</formula>
    </cfRule>
  </conditionalFormatting>
  <conditionalFormatting sqref="C73">
    <cfRule type="expression" dxfId="13" priority="10">
      <formula>$C$4="Equity Multiple"</formula>
    </cfRule>
  </conditionalFormatting>
  <conditionalFormatting sqref="C88">
    <cfRule type="expression" dxfId="12" priority="9">
      <formula>$C$4="Equity Multiple"</formula>
    </cfRule>
  </conditionalFormatting>
  <conditionalFormatting sqref="C103">
    <cfRule type="expression" dxfId="11" priority="8">
      <formula>$C$4="Equity Multiple"</formula>
    </cfRule>
  </conditionalFormatting>
  <conditionalFormatting sqref="D14:D17">
    <cfRule type="expression" dxfId="10" priority="18">
      <formula>$D$4="Equity Multiple"</formula>
    </cfRule>
  </conditionalFormatting>
  <conditionalFormatting sqref="E5">
    <cfRule type="expression" dxfId="9" priority="2">
      <formula>$H$14&gt;=$C$8</formula>
    </cfRule>
  </conditionalFormatting>
  <conditionalFormatting sqref="E14:E16">
    <cfRule type="expression" dxfId="8" priority="17">
      <formula>$D$4="Equity Multiple"</formula>
    </cfRule>
  </conditionalFormatting>
  <conditionalFormatting sqref="E59 E67 E80 E95">
    <cfRule type="expression" dxfId="7" priority="3">
      <formula>$D$4="Equity Multiple"</formula>
    </cfRule>
  </conditionalFormatting>
  <conditionalFormatting sqref="E59">
    <cfRule type="expression" dxfId="6" priority="14">
      <formula>$C$4="Equity Multiple"</formula>
    </cfRule>
  </conditionalFormatting>
  <conditionalFormatting sqref="E67">
    <cfRule type="expression" dxfId="5" priority="4">
      <formula>$C$4="Equity Multiple"</formula>
    </cfRule>
  </conditionalFormatting>
  <conditionalFormatting sqref="E80">
    <cfRule type="expression" dxfId="4" priority="7">
      <formula>$C$4="Equity Multiple"</formula>
    </cfRule>
  </conditionalFormatting>
  <conditionalFormatting sqref="E95">
    <cfRule type="expression" dxfId="3" priority="6">
      <formula>$C$4="Equity Multiple"</formula>
    </cfRule>
  </conditionalFormatting>
  <conditionalFormatting sqref="F5">
    <cfRule type="cellIs" dxfId="2" priority="1" operator="lessThanOrEqual">
      <formula>$G$4</formula>
    </cfRule>
  </conditionalFormatting>
  <conditionalFormatting sqref="G5 F7">
    <cfRule type="cellIs" dxfId="1" priority="20" operator="equal">
      <formula>$G$4</formula>
    </cfRule>
  </conditionalFormatting>
  <conditionalFormatting sqref="L8">
    <cfRule type="expression" dxfId="0" priority="19">
      <formula>$L$8="OK"</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5"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baseColWidth="10" defaultColWidth="9.1640625" defaultRowHeight="13" x14ac:dyDescent="0.15"/>
  <cols>
    <col min="1" max="1" width="25" style="7" customWidth="1"/>
    <col min="2" max="2" width="18.5" style="7" customWidth="1"/>
    <col min="3" max="3" width="10.1640625" style="7" customWidth="1"/>
    <col min="4" max="4" width="35.5" style="7" bestFit="1" customWidth="1"/>
    <col min="5" max="10" width="12.33203125" style="7" bestFit="1" customWidth="1"/>
    <col min="11" max="16384" width="9.1640625" style="7"/>
  </cols>
  <sheetData>
    <row r="1" spans="1:10" ht="8.5" customHeight="1" x14ac:dyDescent="0.15">
      <c r="A1" s="515"/>
      <c r="B1" s="515"/>
      <c r="C1" s="515"/>
      <c r="D1" s="515"/>
      <c r="E1" s="515"/>
      <c r="F1" s="515"/>
      <c r="G1" s="515"/>
      <c r="H1" s="515"/>
      <c r="I1" s="515"/>
      <c r="J1" s="515"/>
    </row>
    <row r="2" spans="1:10" x14ac:dyDescent="0.15">
      <c r="A2" s="8" t="str">
        <f>Proforma!C1</f>
        <v xml:space="preserve">Eaglewood - 7721 NC-41, Lumberton, NC 28358 </v>
      </c>
      <c r="B2" s="515"/>
      <c r="C2" s="515"/>
      <c r="D2" s="515"/>
      <c r="E2" s="515"/>
      <c r="F2" s="515"/>
      <c r="G2" s="515"/>
      <c r="H2" s="515"/>
      <c r="I2" s="515"/>
      <c r="J2" s="515"/>
    </row>
    <row r="3" spans="1:10" x14ac:dyDescent="0.15">
      <c r="A3" s="42" t="s">
        <v>37</v>
      </c>
      <c r="B3" s="42"/>
      <c r="C3" s="516"/>
      <c r="D3" s="42" t="s">
        <v>38</v>
      </c>
      <c r="E3" s="43" t="s">
        <v>22</v>
      </c>
      <c r="F3" s="43" t="s">
        <v>23</v>
      </c>
      <c r="G3" s="43" t="s">
        <v>24</v>
      </c>
      <c r="H3" s="43" t="s">
        <v>25</v>
      </c>
      <c r="I3" s="43" t="s">
        <v>39</v>
      </c>
      <c r="J3" s="43" t="s">
        <v>40</v>
      </c>
    </row>
    <row r="4" spans="1:10" x14ac:dyDescent="0.15">
      <c r="A4" s="45" t="s">
        <v>41</v>
      </c>
      <c r="B4" s="46" t="s">
        <v>42</v>
      </c>
      <c r="C4" s="516"/>
      <c r="D4" s="29" t="s">
        <v>43</v>
      </c>
      <c r="E4" s="517">
        <f>Proforma!F53*12</f>
        <v>439714</v>
      </c>
      <c r="F4" s="517">
        <f>Proforma!G53*12</f>
        <v>545243.88</v>
      </c>
      <c r="G4" s="517">
        <f>Proforma!H53*12</f>
        <v>650778.35759999999</v>
      </c>
      <c r="H4" s="517">
        <f>Proforma!I53*12</f>
        <v>675696.72475200007</v>
      </c>
      <c r="I4" s="517">
        <f>Proforma!J53*12</f>
        <v>701607.04324704001</v>
      </c>
      <c r="J4" s="517">
        <f>Proforma!K53*12</f>
        <v>728548.89547198091</v>
      </c>
    </row>
    <row r="5" spans="1:10" x14ac:dyDescent="0.15">
      <c r="A5" s="29" t="s">
        <v>37</v>
      </c>
      <c r="B5" s="47">
        <f>Proforma!D4</f>
        <v>4750000</v>
      </c>
      <c r="C5" s="48"/>
      <c r="D5" s="29" t="s">
        <v>44</v>
      </c>
      <c r="E5" s="518">
        <f ca="1">Proforma!F80*12</f>
        <v>240720.15999999997</v>
      </c>
      <c r="F5" s="518">
        <f ca="1">Proforma!G80*12</f>
        <v>248316.75719999999</v>
      </c>
      <c r="G5" s="518">
        <f ca="1">Proforma!H80*12</f>
        <v>258014.57234400004</v>
      </c>
      <c r="H5" s="518">
        <f ca="1">Proforma!I80*12</f>
        <v>263770.00379088003</v>
      </c>
      <c r="I5" s="518">
        <f ca="1">Proforma!J80*12</f>
        <v>269665.22306669771</v>
      </c>
      <c r="J5" s="518">
        <f ca="1">Proforma!K80*12</f>
        <v>275704.01309603156</v>
      </c>
    </row>
    <row r="6" spans="1:10" ht="14" thickBot="1" x14ac:dyDescent="0.2">
      <c r="A6" s="519" t="s">
        <v>45</v>
      </c>
      <c r="B6" s="520">
        <f>Proforma!D5</f>
        <v>559999.5</v>
      </c>
      <c r="C6" s="521"/>
      <c r="D6" s="577" t="s">
        <v>46</v>
      </c>
      <c r="E6" s="578">
        <f t="shared" ref="E6:J6" ca="1" si="0">E4-E5</f>
        <v>198993.84000000003</v>
      </c>
      <c r="F6" s="578">
        <f t="shared" ca="1" si="0"/>
        <v>296927.12280000001</v>
      </c>
      <c r="G6" s="578">
        <f t="shared" ca="1" si="0"/>
        <v>392763.78525599994</v>
      </c>
      <c r="H6" s="578">
        <f t="shared" ca="1" si="0"/>
        <v>411926.72096112004</v>
      </c>
      <c r="I6" s="578">
        <f t="shared" ca="1" si="0"/>
        <v>431941.8201803423</v>
      </c>
      <c r="J6" s="578">
        <f t="shared" ca="1" si="0"/>
        <v>452844.88237594935</v>
      </c>
    </row>
    <row r="7" spans="1:10" ht="14" thickTop="1" x14ac:dyDescent="0.15">
      <c r="A7" s="49" t="s">
        <v>47</v>
      </c>
      <c r="B7" s="708">
        <f>SUM(B5:B6)</f>
        <v>5309999.5</v>
      </c>
      <c r="C7" s="522"/>
      <c r="D7" s="1" t="s">
        <v>48</v>
      </c>
      <c r="E7" s="38">
        <f t="shared" ref="E7:J7" ca="1" si="1">E6/E4</f>
        <v>0.45255288664904919</v>
      </c>
      <c r="F7" s="38">
        <f t="shared" ca="1" si="1"/>
        <v>0.544576718220111</v>
      </c>
      <c r="G7" s="38">
        <f t="shared" ca="1" si="1"/>
        <v>0.6035292671754946</v>
      </c>
      <c r="H7" s="38">
        <f t="shared" ca="1" si="1"/>
        <v>0.60963255536321992</v>
      </c>
      <c r="I7" s="38">
        <f t="shared" ca="1" si="1"/>
        <v>0.61564635694264691</v>
      </c>
      <c r="J7" s="38">
        <f t="shared" ca="1" si="1"/>
        <v>0.62157102315360691</v>
      </c>
    </row>
    <row r="8" spans="1:10" x14ac:dyDescent="0.15">
      <c r="A8" s="52" t="s">
        <v>49</v>
      </c>
      <c r="B8" s="53">
        <f ca="1">Proforma!D8</f>
        <v>3.7475302963776179E-2</v>
      </c>
      <c r="C8" s="515"/>
      <c r="D8" s="515"/>
      <c r="E8" s="515"/>
      <c r="F8" s="515"/>
      <c r="G8" s="515"/>
      <c r="H8" s="515"/>
      <c r="I8" s="515"/>
      <c r="J8" s="515"/>
    </row>
    <row r="9" spans="1:10" x14ac:dyDescent="0.15">
      <c r="A9" s="515"/>
      <c r="B9" s="515"/>
      <c r="C9" s="515"/>
      <c r="D9" s="54" t="s">
        <v>50</v>
      </c>
      <c r="E9" s="19">
        <f>-Proforma!F94</f>
        <v>-188830.19166666668</v>
      </c>
      <c r="F9" s="19">
        <f>-Proforma!G94</f>
        <v>-188830.19166666668</v>
      </c>
      <c r="G9" s="19">
        <f>-Proforma!H94</f>
        <v>-219975.31038136044</v>
      </c>
      <c r="H9" s="19">
        <f>-Proforma!I94</f>
        <v>-219975.31038136044</v>
      </c>
      <c r="I9" s="19">
        <f>-Proforma!J94</f>
        <v>-219975.31038136044</v>
      </c>
      <c r="J9" s="19">
        <f ca="1">-Proforma!K94</f>
        <v>-330857.85095686791</v>
      </c>
    </row>
    <row r="10" spans="1:10" x14ac:dyDescent="0.15">
      <c r="A10" s="29" t="s">
        <v>51</v>
      </c>
      <c r="B10" s="517">
        <f>B5-B11</f>
        <v>1860000</v>
      </c>
      <c r="C10" s="55">
        <f>B11/B12</f>
        <v>0.60842105263157897</v>
      </c>
      <c r="D10" s="515"/>
      <c r="E10" s="515"/>
      <c r="F10" s="515"/>
      <c r="G10" s="515"/>
      <c r="H10" s="515"/>
      <c r="I10" s="515"/>
      <c r="J10" s="515"/>
    </row>
    <row r="11" spans="1:10" x14ac:dyDescent="0.15">
      <c r="A11" s="29" t="s">
        <v>52</v>
      </c>
      <c r="B11" s="47">
        <f>Proforma!F92</f>
        <v>2890000</v>
      </c>
      <c r="C11" s="515"/>
      <c r="D11" s="519" t="s">
        <v>53</v>
      </c>
      <c r="E11" s="517">
        <f t="shared" ref="E11:J11" ca="1" si="2">E6+E9</f>
        <v>10163.648333333345</v>
      </c>
      <c r="F11" s="517">
        <f t="shared" ca="1" si="2"/>
        <v>108096.93113333333</v>
      </c>
      <c r="G11" s="517">
        <f t="shared" ca="1" si="2"/>
        <v>172788.47487463951</v>
      </c>
      <c r="H11" s="517">
        <f t="shared" ca="1" si="2"/>
        <v>191951.4105797596</v>
      </c>
      <c r="I11" s="517">
        <f t="shared" ca="1" si="2"/>
        <v>211966.50979898186</v>
      </c>
      <c r="J11" s="517">
        <f t="shared" ca="1" si="2"/>
        <v>121987.03141908144</v>
      </c>
    </row>
    <row r="12" spans="1:10" ht="14" thickBot="1" x14ac:dyDescent="0.2">
      <c r="A12" s="49" t="s">
        <v>42</v>
      </c>
      <c r="B12" s="579">
        <f>SUM(B10:B11)</f>
        <v>4750000</v>
      </c>
      <c r="C12" s="522"/>
      <c r="D12" s="519" t="s">
        <v>54</v>
      </c>
      <c r="E12" s="12">
        <f>Proforma!F105</f>
        <v>0</v>
      </c>
      <c r="F12" s="12">
        <f>Proforma!G105</f>
        <v>0</v>
      </c>
      <c r="G12" s="12">
        <f>Proforma!H105</f>
        <v>0</v>
      </c>
      <c r="H12" s="12">
        <f>Proforma!I105</f>
        <v>0</v>
      </c>
      <c r="I12" s="12">
        <f>Proforma!J105</f>
        <v>0</v>
      </c>
      <c r="J12" s="12">
        <f>Proforma!K105</f>
        <v>0</v>
      </c>
    </row>
    <row r="13" spans="1:10" ht="14" thickTop="1" x14ac:dyDescent="0.15">
      <c r="A13" s="515"/>
      <c r="B13" s="515"/>
      <c r="C13" s="522"/>
      <c r="D13" s="519" t="s">
        <v>55</v>
      </c>
      <c r="E13" s="12">
        <f>Proforma!F113</f>
        <v>0</v>
      </c>
      <c r="F13" s="12">
        <f>Proforma!G113</f>
        <v>0</v>
      </c>
      <c r="G13" s="12">
        <f>Proforma!H113</f>
        <v>0</v>
      </c>
      <c r="H13" s="12">
        <f>Proforma!I113</f>
        <v>0</v>
      </c>
      <c r="I13" s="12">
        <f ca="1">Proforma!J113</f>
        <v>1529091.511204672</v>
      </c>
      <c r="J13" s="12">
        <f>Proforma!K113</f>
        <v>0</v>
      </c>
    </row>
    <row r="14" spans="1:10" ht="14" thickBot="1" x14ac:dyDescent="0.2">
      <c r="A14" s="519" t="s">
        <v>45</v>
      </c>
      <c r="B14" s="520">
        <f>B6</f>
        <v>559999.5</v>
      </c>
      <c r="C14" s="522"/>
      <c r="D14" s="580" t="s">
        <v>56</v>
      </c>
      <c r="E14" s="581">
        <f ca="1">SUM(E11:E13)</f>
        <v>10163.648333333345</v>
      </c>
      <c r="F14" s="581">
        <f t="shared" ref="F14:I14" ca="1" si="3">SUM(F11:F13)</f>
        <v>108096.93113333333</v>
      </c>
      <c r="G14" s="581">
        <f t="shared" ca="1" si="3"/>
        <v>172788.47487463951</v>
      </c>
      <c r="H14" s="581">
        <f t="shared" ca="1" si="3"/>
        <v>191951.4105797596</v>
      </c>
      <c r="I14" s="581">
        <f t="shared" ca="1" si="3"/>
        <v>1741058.021003654</v>
      </c>
      <c r="J14" s="581">
        <f t="shared" ref="J14" ca="1" si="4">SUM(J11:J13)</f>
        <v>121987.03141908144</v>
      </c>
    </row>
    <row r="15" spans="1:10" ht="15" thickTop="1" thickBot="1" x14ac:dyDescent="0.2">
      <c r="A15" s="49" t="s">
        <v>57</v>
      </c>
      <c r="B15" s="579">
        <f>B10+B14</f>
        <v>2419999.5</v>
      </c>
      <c r="C15" s="522"/>
      <c r="D15" s="515"/>
      <c r="E15" s="515"/>
      <c r="F15" s="515"/>
      <c r="G15" s="515"/>
      <c r="H15" s="515"/>
      <c r="I15" s="515"/>
      <c r="J15" s="515"/>
    </row>
    <row r="16" spans="1:10" ht="14" thickTop="1" x14ac:dyDescent="0.15">
      <c r="A16" s="44"/>
      <c r="B16" s="44"/>
      <c r="C16" s="522"/>
      <c r="D16" s="22" t="s">
        <v>58</v>
      </c>
      <c r="E16" s="58">
        <f ca="1">Proforma!F130</f>
        <v>162983.64833333335</v>
      </c>
      <c r="F16" s="58">
        <f ca="1">Proforma!G130</f>
        <v>281575.93113333336</v>
      </c>
      <c r="G16" s="58">
        <f ca="1">Proforma!H130</f>
        <v>346267.47487463953</v>
      </c>
      <c r="H16" s="58">
        <f ca="1">Proforma!I130</f>
        <v>365430.41057975963</v>
      </c>
      <c r="I16" s="58">
        <f ca="1">Proforma!J130</f>
        <v>1856804.4807398203</v>
      </c>
      <c r="J16" s="58">
        <f ca="1">Proforma!K130</f>
        <v>147733.01570954069</v>
      </c>
    </row>
    <row r="17" spans="1:10" x14ac:dyDescent="0.15">
      <c r="A17" s="515" t="s">
        <v>59</v>
      </c>
      <c r="B17" s="518">
        <f>Proforma!D15</f>
        <v>100</v>
      </c>
      <c r="C17" s="522"/>
      <c r="D17" s="56" t="s">
        <v>60</v>
      </c>
      <c r="E17" s="57">
        <f ca="1">E16/$B$15</f>
        <v>6.7348628928780088E-2</v>
      </c>
      <c r="F17" s="57">
        <f t="shared" ref="F17:I17" ca="1" si="5">F16/$B$15</f>
        <v>0.11635371459098788</v>
      </c>
      <c r="G17" s="57">
        <f t="shared" ca="1" si="5"/>
        <v>0.14308576298244671</v>
      </c>
      <c r="H17" s="57">
        <f t="shared" ca="1" si="5"/>
        <v>0.15100433309170502</v>
      </c>
      <c r="I17" s="57">
        <f t="shared" ca="1" si="5"/>
        <v>0.76727473734594587</v>
      </c>
      <c r="J17" s="57">
        <f t="shared" ref="J17" ca="1" si="6">J16/$B$15</f>
        <v>6.1046713319379067E-2</v>
      </c>
    </row>
    <row r="18" spans="1:10" x14ac:dyDescent="0.15">
      <c r="A18" s="515" t="s">
        <v>61</v>
      </c>
      <c r="B18" s="523">
        <f>B5/B17</f>
        <v>47500</v>
      </c>
      <c r="C18" s="522"/>
      <c r="D18" s="515"/>
      <c r="E18" s="515"/>
      <c r="F18" s="515"/>
      <c r="G18" s="515"/>
      <c r="H18" s="515"/>
      <c r="I18" s="515"/>
      <c r="J18" s="515"/>
    </row>
    <row r="19" spans="1:10" x14ac:dyDescent="0.15">
      <c r="A19" s="515"/>
      <c r="B19" s="515"/>
      <c r="C19" s="522"/>
      <c r="D19" s="515"/>
      <c r="E19" s="515"/>
      <c r="F19" s="515"/>
      <c r="G19" s="515"/>
      <c r="H19" s="515"/>
      <c r="I19" s="515"/>
      <c r="J19" s="515"/>
    </row>
    <row r="20" spans="1:10" x14ac:dyDescent="0.15">
      <c r="A20" s="42" t="s">
        <v>62</v>
      </c>
      <c r="B20" s="42"/>
      <c r="C20" s="522"/>
      <c r="D20" s="515"/>
      <c r="E20" s="515"/>
      <c r="F20" s="515"/>
      <c r="G20" s="515"/>
      <c r="H20" s="515"/>
      <c r="I20" s="515"/>
      <c r="J20" s="515"/>
    </row>
    <row r="21" spans="1:10" x14ac:dyDescent="0.15">
      <c r="A21" s="44" t="s">
        <v>63</v>
      </c>
      <c r="B21" s="50">
        <f ca="1">Proforma!D134</f>
        <v>0.15227236329139227</v>
      </c>
      <c r="C21" s="522"/>
      <c r="D21" s="515"/>
      <c r="E21" s="515"/>
      <c r="F21" s="515"/>
      <c r="G21" s="515"/>
      <c r="H21" s="515"/>
      <c r="I21" s="515"/>
      <c r="J21" s="515"/>
    </row>
    <row r="22" spans="1:10" x14ac:dyDescent="0.15">
      <c r="A22" s="44" t="s">
        <v>64</v>
      </c>
      <c r="B22" s="51">
        <f ca="1">SUM(Proforma!F130:J130)/-Proforma!E130</f>
        <v>1.2450671769398656</v>
      </c>
      <c r="C22" s="522"/>
      <c r="D22" s="515"/>
      <c r="E22" s="515"/>
      <c r="F22" s="515"/>
      <c r="G22" s="515"/>
      <c r="H22" s="515"/>
      <c r="I22" s="515"/>
      <c r="J22" s="515"/>
    </row>
    <row r="23" spans="1:10" x14ac:dyDescent="0.15">
      <c r="A23" s="515" t="s">
        <v>65</v>
      </c>
      <c r="B23" s="517">
        <f ca="1">SUM(E16:I16)</f>
        <v>3013061.9456608864</v>
      </c>
      <c r="C23" s="522"/>
      <c r="D23" s="515"/>
      <c r="E23" s="515"/>
      <c r="F23" s="515"/>
      <c r="G23" s="515"/>
      <c r="H23" s="515"/>
      <c r="I23" s="515"/>
      <c r="J23" s="515"/>
    </row>
    <row r="24" spans="1:10" x14ac:dyDescent="0.15">
      <c r="A24" s="515"/>
      <c r="B24" s="515"/>
      <c r="C24" s="516"/>
      <c r="D24" s="515"/>
      <c r="E24" s="515"/>
      <c r="F24" s="515"/>
      <c r="G24" s="515"/>
      <c r="H24" s="515"/>
      <c r="I24" s="515"/>
      <c r="J24" s="515"/>
    </row>
    <row r="25" spans="1:10" x14ac:dyDescent="0.15">
      <c r="A25" s="515"/>
      <c r="B25" s="515"/>
      <c r="C25" s="522"/>
      <c r="D25" s="515"/>
      <c r="E25" s="515"/>
      <c r="F25" s="515"/>
      <c r="G25" s="515"/>
      <c r="H25" s="515"/>
      <c r="I25" s="515"/>
      <c r="J25" s="515"/>
    </row>
    <row r="26" spans="1:10" x14ac:dyDescent="0.15">
      <c r="A26" s="515"/>
      <c r="B26" s="515"/>
      <c r="C26" s="522"/>
      <c r="D26" s="515"/>
      <c r="E26" s="515"/>
      <c r="F26" s="515"/>
      <c r="G26" s="515"/>
      <c r="H26" s="515"/>
      <c r="I26" s="515"/>
      <c r="J26" s="515"/>
    </row>
    <row r="27" spans="1:10" x14ac:dyDescent="0.15">
      <c r="A27" s="515"/>
      <c r="B27" s="515"/>
      <c r="C27" s="522"/>
      <c r="D27" s="515"/>
      <c r="E27" s="515"/>
      <c r="F27" s="515"/>
      <c r="G27" s="515"/>
      <c r="H27" s="515"/>
      <c r="I27" s="515"/>
      <c r="J27" s="515"/>
    </row>
  </sheetData>
  <sheetProtection algorithmName="SHA-512" hashValue="hk5qSiqj1EhCW6UekODhLPw9SbgHfI1pOL3MZaUFVlUo6OJIDH2f6iU8azXcSJU8s38vicY5nmtCJRr9XLipDA==" saltValue="TO8fg78Y6FlKF/XabUpsXw==" spinCount="100000" sheet="1" objects="1" scenarios="1"/>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workbookViewId="0">
      <selection activeCell="S38" sqref="S38"/>
    </sheetView>
  </sheetViews>
  <sheetFormatPr baseColWidth="10" defaultColWidth="8.83203125" defaultRowHeight="13" x14ac:dyDescent="0.15"/>
  <cols>
    <col min="1" max="16384" width="8.83203125" style="75"/>
  </cols>
  <sheetData>
    <row r="1" spans="1:1" s="77" customFormat="1" ht="23" customHeight="1" x14ac:dyDescent="0.15">
      <c r="A1" s="76" t="str">
        <f>Proforma!C1</f>
        <v xml:space="preserve">Eaglewood - 7721 NC-41, Lumberton, NC 28358 </v>
      </c>
    </row>
  </sheetData>
  <sheetProtection algorithmName="SHA-512" hashValue="rC7JkI++ipO0C4nQqyxFbgfC6lID+VnKsYCp8QuImUBejt1W3xzVYzvMrkUq6/D1zDvgv9yrN3y0GaOMToFiuQ==" saltValue="drBN9ilW6rA7tNjRSGR+r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pageSetUpPr fitToPage="1"/>
  </sheetPr>
  <dimension ref="A1:M192"/>
  <sheetViews>
    <sheetView topLeftCell="A47" workbookViewId="0">
      <selection activeCell="E75" sqref="E75"/>
    </sheetView>
  </sheetViews>
  <sheetFormatPr baseColWidth="10" defaultColWidth="8.83203125" defaultRowHeight="13" x14ac:dyDescent="0.15"/>
  <cols>
    <col min="1" max="1" width="28.5" customWidth="1"/>
    <col min="2" max="2" width="15.33203125" customWidth="1"/>
    <col min="3" max="3" width="15.6640625" bestFit="1" customWidth="1"/>
    <col min="4" max="4" width="15.1640625" customWidth="1"/>
    <col min="5" max="5" width="11.5" customWidth="1"/>
    <col min="6" max="6" width="19.5" customWidth="1"/>
    <col min="7" max="7" width="9.5" customWidth="1"/>
    <col min="8" max="8" width="11.5" customWidth="1"/>
    <col min="9" max="9" width="9.5" bestFit="1" customWidth="1"/>
    <col min="10" max="10" width="16.83203125" customWidth="1"/>
    <col min="11" max="11" width="7.1640625" customWidth="1"/>
    <col min="12" max="12" width="12.33203125" customWidth="1"/>
    <col min="13" max="13" width="19.33203125" customWidth="1"/>
  </cols>
  <sheetData>
    <row r="1" spans="1:13" x14ac:dyDescent="0.15">
      <c r="A1" s="709" t="s">
        <v>66</v>
      </c>
      <c r="B1" s="710"/>
      <c r="C1" s="711"/>
      <c r="D1" s="294"/>
      <c r="F1" s="709" t="s">
        <v>67</v>
      </c>
      <c r="G1" s="709"/>
      <c r="H1" s="709"/>
      <c r="I1" s="709"/>
      <c r="J1" s="709"/>
      <c r="K1" s="709"/>
      <c r="L1" s="709"/>
      <c r="M1" s="709"/>
    </row>
    <row r="2" spans="1:13" ht="12.75" customHeight="1" x14ac:dyDescent="0.2">
      <c r="A2" s="712" t="s">
        <v>68</v>
      </c>
      <c r="B2" s="713"/>
      <c r="C2" s="714"/>
      <c r="D2" s="294"/>
      <c r="E2" s="555"/>
      <c r="F2" s="696"/>
      <c r="G2" s="505"/>
      <c r="H2" s="505"/>
      <c r="I2" s="505"/>
      <c r="J2" s="505"/>
      <c r="K2" s="505"/>
      <c r="L2" s="505"/>
      <c r="M2" s="505"/>
    </row>
    <row r="3" spans="1:13" ht="12.75" customHeight="1" x14ac:dyDescent="0.2">
      <c r="A3" s="715" t="s">
        <v>69</v>
      </c>
      <c r="B3" s="716"/>
      <c r="C3" s="717">
        <v>1995</v>
      </c>
      <c r="D3" s="556"/>
      <c r="E3" s="555"/>
      <c r="F3" s="696"/>
      <c r="G3" s="505"/>
      <c r="H3" s="490"/>
      <c r="I3" s="505"/>
      <c r="J3" s="492"/>
      <c r="K3" s="489"/>
      <c r="L3" s="490"/>
      <c r="M3" s="505"/>
    </row>
    <row r="4" spans="1:13" ht="12.75" customHeight="1" x14ac:dyDescent="0.2">
      <c r="A4" s="511" t="s">
        <v>70</v>
      </c>
      <c r="B4" s="505"/>
      <c r="C4" s="557">
        <f>0.005*InitialLoan</f>
        <v>14450</v>
      </c>
      <c r="D4" s="556"/>
      <c r="E4" s="555"/>
      <c r="F4" s="696"/>
      <c r="G4" s="505"/>
      <c r="H4" s="486"/>
      <c r="I4" s="505"/>
      <c r="J4" s="491"/>
      <c r="K4" s="489"/>
      <c r="L4" s="486"/>
      <c r="M4" s="505"/>
    </row>
    <row r="5" spans="1:13" ht="12.75" customHeight="1" x14ac:dyDescent="0.2">
      <c r="A5" s="124" t="s">
        <v>71</v>
      </c>
      <c r="C5" s="263">
        <v>6000</v>
      </c>
      <c r="D5" s="556"/>
      <c r="E5" s="555"/>
      <c r="F5" s="696"/>
      <c r="G5" s="505"/>
      <c r="H5" s="486"/>
      <c r="I5" s="505"/>
      <c r="J5" s="491"/>
      <c r="K5" s="489"/>
      <c r="L5" s="486"/>
      <c r="M5" s="505"/>
    </row>
    <row r="6" spans="1:13" ht="12.75" customHeight="1" x14ac:dyDescent="0.2">
      <c r="A6" s="511" t="s">
        <v>72</v>
      </c>
      <c r="C6" s="262">
        <v>2500</v>
      </c>
      <c r="D6" s="556"/>
      <c r="E6" s="555"/>
      <c r="F6" s="696"/>
      <c r="G6" s="505"/>
      <c r="H6" s="486"/>
      <c r="I6" s="505"/>
      <c r="J6" s="491"/>
      <c r="K6" s="489"/>
      <c r="L6" s="486"/>
      <c r="M6" s="505"/>
    </row>
    <row r="7" spans="1:13" ht="15" x14ac:dyDescent="0.2">
      <c r="A7" s="511" t="s">
        <v>73</v>
      </c>
      <c r="C7" s="262"/>
      <c r="D7" s="556"/>
      <c r="E7" s="555"/>
      <c r="F7" s="700"/>
      <c r="G7" s="505"/>
      <c r="H7" s="487"/>
      <c r="I7" s="505"/>
      <c r="J7" s="491"/>
      <c r="K7" s="489"/>
      <c r="L7" s="487"/>
      <c r="M7" s="505"/>
    </row>
    <row r="8" spans="1:13" ht="16" x14ac:dyDescent="0.2">
      <c r="A8" s="124" t="s">
        <v>74</v>
      </c>
      <c r="C8" s="295">
        <f>0.03*Purchase_Price</f>
        <v>142500</v>
      </c>
      <c r="D8" s="556"/>
      <c r="F8" s="696"/>
      <c r="G8" s="698"/>
      <c r="H8" s="488"/>
      <c r="I8" s="505"/>
      <c r="J8" s="491"/>
      <c r="K8" s="489"/>
      <c r="L8" s="488"/>
      <c r="M8" s="505"/>
    </row>
    <row r="9" spans="1:13" ht="16" x14ac:dyDescent="0.2">
      <c r="A9" s="124" t="s">
        <v>75</v>
      </c>
      <c r="C9" s="295">
        <f>750+3+3850+1000+6+26+5718.5+1600+26+500</f>
        <v>13479.5</v>
      </c>
      <c r="F9" s="696"/>
      <c r="G9" s="698"/>
      <c r="H9" s="490"/>
      <c r="I9" s="505"/>
      <c r="J9" s="491"/>
      <c r="K9" s="489"/>
      <c r="L9" s="490"/>
      <c r="M9" s="505"/>
    </row>
    <row r="10" spans="1:13" ht="16" x14ac:dyDescent="0.2">
      <c r="A10" s="607" t="s">
        <v>76</v>
      </c>
      <c r="B10" s="607"/>
      <c r="C10" s="608">
        <f>SUM(C3:C9)</f>
        <v>180924.5</v>
      </c>
      <c r="F10" s="696"/>
      <c r="G10" s="698"/>
      <c r="H10" s="490"/>
      <c r="I10" s="505"/>
      <c r="J10" s="492"/>
      <c r="K10" s="489"/>
      <c r="L10" s="490"/>
      <c r="M10" s="505"/>
    </row>
    <row r="11" spans="1:13" ht="16" x14ac:dyDescent="0.2">
      <c r="A11" s="121"/>
      <c r="C11" s="296"/>
      <c r="F11" s="696"/>
      <c r="G11" s="698"/>
      <c r="H11" s="486"/>
      <c r="I11" s="505"/>
      <c r="J11" s="491"/>
      <c r="K11" s="489"/>
      <c r="L11" s="486"/>
      <c r="M11" s="505"/>
    </row>
    <row r="12" spans="1:13" ht="16" x14ac:dyDescent="0.2">
      <c r="A12" s="298" t="s">
        <v>77</v>
      </c>
      <c r="B12" s="297"/>
      <c r="C12" s="299"/>
      <c r="F12" s="701"/>
      <c r="G12" s="698"/>
      <c r="H12" s="486"/>
      <c r="I12" s="505"/>
      <c r="J12" s="491"/>
      <c r="K12" s="489"/>
      <c r="L12" s="486"/>
      <c r="M12" s="505"/>
    </row>
    <row r="13" spans="1:13" ht="16" x14ac:dyDescent="0.2">
      <c r="A13" s="558" t="s">
        <v>78</v>
      </c>
      <c r="C13" s="295">
        <v>0</v>
      </c>
      <c r="E13" s="535"/>
      <c r="F13" s="696"/>
      <c r="G13" s="698"/>
      <c r="H13" s="486"/>
      <c r="I13" s="505"/>
      <c r="J13" s="491"/>
      <c r="K13" s="489"/>
      <c r="L13" s="486"/>
      <c r="M13" s="505"/>
    </row>
    <row r="14" spans="1:13" ht="16" x14ac:dyDescent="0.2">
      <c r="A14" s="558" t="s">
        <v>79</v>
      </c>
      <c r="C14" s="295">
        <v>0</v>
      </c>
      <c r="E14" s="535"/>
      <c r="F14" s="701"/>
      <c r="G14" s="698"/>
      <c r="H14" s="486"/>
      <c r="I14" s="505"/>
      <c r="J14" s="491"/>
      <c r="K14" s="489"/>
      <c r="L14" s="486"/>
      <c r="M14" s="505"/>
    </row>
    <row r="15" spans="1:13" ht="16" x14ac:dyDescent="0.2">
      <c r="A15" s="558" t="s">
        <v>80</v>
      </c>
      <c r="C15" s="295">
        <v>0</v>
      </c>
      <c r="E15" s="241"/>
      <c r="F15" s="696"/>
      <c r="G15" s="698"/>
      <c r="H15" s="487"/>
      <c r="I15" s="505"/>
      <c r="J15" s="491"/>
      <c r="K15" s="489"/>
      <c r="L15" s="487"/>
      <c r="M15" s="505"/>
    </row>
    <row r="16" spans="1:13" ht="16" x14ac:dyDescent="0.2">
      <c r="A16" s="558" t="s">
        <v>81</v>
      </c>
      <c r="C16" s="295">
        <v>0</v>
      </c>
      <c r="F16" s="696"/>
      <c r="G16" s="698"/>
      <c r="H16" s="488"/>
      <c r="I16" s="505"/>
      <c r="J16" s="704"/>
      <c r="K16" s="489"/>
      <c r="L16" s="488"/>
      <c r="M16" s="505"/>
    </row>
    <row r="17" spans="1:13" ht="17" thickBot="1" x14ac:dyDescent="0.2">
      <c r="A17" s="558" t="s">
        <v>82</v>
      </c>
      <c r="C17" s="295">
        <v>0</v>
      </c>
      <c r="F17" s="696"/>
      <c r="G17" s="536"/>
      <c r="H17" s="505"/>
      <c r="I17" s="505"/>
      <c r="J17" s="505"/>
      <c r="K17" s="505"/>
      <c r="L17" s="505"/>
      <c r="M17" s="505"/>
    </row>
    <row r="18" spans="1:13" ht="16" x14ac:dyDescent="0.15">
      <c r="A18" s="511" t="s">
        <v>83</v>
      </c>
      <c r="C18" s="295">
        <v>0</v>
      </c>
      <c r="D18" s="575" t="s">
        <v>84</v>
      </c>
      <c r="E18" s="576" t="s">
        <v>85</v>
      </c>
      <c r="F18" s="696"/>
      <c r="G18" s="536"/>
      <c r="H18" s="505"/>
      <c r="I18" s="505"/>
      <c r="J18" s="505"/>
      <c r="K18" s="505"/>
      <c r="L18" s="505"/>
      <c r="M18" s="505"/>
    </row>
    <row r="19" spans="1:13" ht="17" thickBot="1" x14ac:dyDescent="0.2">
      <c r="A19" s="511" t="s">
        <v>86</v>
      </c>
      <c r="C19" s="295">
        <v>0</v>
      </c>
      <c r="D19" s="609">
        <v>0</v>
      </c>
      <c r="E19" s="610">
        <v>300</v>
      </c>
      <c r="F19" s="696"/>
      <c r="G19" s="536"/>
      <c r="H19" s="505"/>
      <c r="I19" s="505"/>
      <c r="J19" s="505"/>
      <c r="K19" s="505"/>
      <c r="L19" s="505"/>
      <c r="M19" s="505"/>
    </row>
    <row r="20" spans="1:13" ht="16" x14ac:dyDescent="0.15">
      <c r="A20" s="511" t="s">
        <v>87</v>
      </c>
      <c r="C20" s="574">
        <v>0</v>
      </c>
      <c r="D20" s="575" t="s">
        <v>88</v>
      </c>
      <c r="E20" s="576" t="s">
        <v>89</v>
      </c>
      <c r="F20" s="696"/>
      <c r="G20" s="536"/>
      <c r="H20" s="505"/>
      <c r="I20" s="505"/>
      <c r="J20" s="505"/>
      <c r="K20" s="505"/>
      <c r="L20" s="505"/>
      <c r="M20" s="505"/>
    </row>
    <row r="21" spans="1:13" ht="16" x14ac:dyDescent="0.15">
      <c r="A21" s="511" t="s">
        <v>90</v>
      </c>
      <c r="C21" s="574">
        <f>D21*E21</f>
        <v>0</v>
      </c>
      <c r="D21" s="609">
        <v>0</v>
      </c>
      <c r="E21" s="610">
        <v>3000</v>
      </c>
      <c r="F21" s="696"/>
      <c r="G21" s="536"/>
      <c r="H21" s="505"/>
      <c r="I21" s="505"/>
      <c r="J21" s="505"/>
      <c r="K21" s="505"/>
      <c r="L21" s="505"/>
      <c r="M21" s="505"/>
    </row>
    <row r="22" spans="1:13" ht="16" x14ac:dyDescent="0.15">
      <c r="A22" s="511" t="s">
        <v>91</v>
      </c>
      <c r="C22" s="574">
        <f t="shared" ref="C22:C24" si="0">D22*E22</f>
        <v>0</v>
      </c>
      <c r="D22" s="609">
        <v>0</v>
      </c>
      <c r="E22" s="610">
        <v>6000</v>
      </c>
      <c r="F22" s="696"/>
      <c r="G22" s="536"/>
      <c r="H22" s="505"/>
      <c r="I22" s="505"/>
      <c r="J22" s="505"/>
      <c r="K22" s="505"/>
      <c r="L22" s="505"/>
      <c r="M22" s="505"/>
    </row>
    <row r="23" spans="1:13" ht="16" x14ac:dyDescent="0.15">
      <c r="A23" s="511" t="s">
        <v>92</v>
      </c>
      <c r="C23" s="574">
        <f t="shared" si="0"/>
        <v>0</v>
      </c>
      <c r="D23" s="609">
        <f>D22</f>
        <v>0</v>
      </c>
      <c r="E23" s="610">
        <v>17500</v>
      </c>
      <c r="F23" s="696"/>
      <c r="G23" s="536"/>
      <c r="H23" s="505"/>
      <c r="I23" s="505"/>
      <c r="J23" s="505"/>
      <c r="K23" s="505"/>
      <c r="L23" s="505"/>
      <c r="M23" s="505"/>
    </row>
    <row r="24" spans="1:13" ht="17" thickBot="1" x14ac:dyDescent="0.2">
      <c r="A24" s="511" t="s">
        <v>93</v>
      </c>
      <c r="C24" s="574">
        <f t="shared" si="0"/>
        <v>260000</v>
      </c>
      <c r="D24" s="611">
        <v>26</v>
      </c>
      <c r="E24" s="612">
        <v>10000</v>
      </c>
      <c r="F24" s="696"/>
      <c r="G24" s="536"/>
      <c r="H24" s="505"/>
      <c r="I24" s="505"/>
      <c r="J24" s="505"/>
      <c r="K24" s="505"/>
      <c r="L24" s="505"/>
      <c r="M24" s="505"/>
    </row>
    <row r="25" spans="1:13" ht="16" x14ac:dyDescent="0.15">
      <c r="A25" s="511" t="s">
        <v>94</v>
      </c>
      <c r="C25" s="295">
        <v>0</v>
      </c>
      <c r="F25" s="697"/>
      <c r="G25" s="536"/>
      <c r="H25" s="505"/>
      <c r="I25" s="505"/>
      <c r="J25" s="505"/>
      <c r="K25" s="505"/>
      <c r="L25" s="505"/>
      <c r="M25" s="505"/>
    </row>
    <row r="26" spans="1:13" x14ac:dyDescent="0.15">
      <c r="A26" s="511" t="s">
        <v>95</v>
      </c>
      <c r="C26" s="295">
        <v>0</v>
      </c>
      <c r="F26" s="505"/>
      <c r="G26" s="505"/>
      <c r="H26" s="505"/>
      <c r="I26" s="505"/>
      <c r="J26" s="505"/>
      <c r="K26" s="505"/>
      <c r="L26" s="505"/>
      <c r="M26" s="505"/>
    </row>
    <row r="27" spans="1:13" x14ac:dyDescent="0.15">
      <c r="A27" s="511" t="s">
        <v>96</v>
      </c>
      <c r="C27" s="295">
        <f>100000+16860+2215</f>
        <v>119075</v>
      </c>
      <c r="F27" s="505"/>
      <c r="G27" s="505"/>
      <c r="H27" s="505"/>
      <c r="I27" s="505"/>
      <c r="J27" s="505"/>
      <c r="K27" s="505"/>
      <c r="L27" s="505"/>
      <c r="M27" s="505"/>
    </row>
    <row r="28" spans="1:13" x14ac:dyDescent="0.15">
      <c r="A28" s="613" t="s">
        <v>97</v>
      </c>
      <c r="B28" s="607"/>
      <c r="C28" s="608">
        <f>SUM(C13:C27)</f>
        <v>379075</v>
      </c>
    </row>
    <row r="29" spans="1:13" x14ac:dyDescent="0.15">
      <c r="A29" s="127"/>
      <c r="B29" s="69"/>
      <c r="C29" s="264"/>
      <c r="G29" s="241"/>
    </row>
    <row r="30" spans="1:13" x14ac:dyDescent="0.15">
      <c r="A30" s="127"/>
      <c r="B30" s="250" t="s">
        <v>98</v>
      </c>
      <c r="C30" s="301">
        <f>+C28+C10</f>
        <v>559999.5</v>
      </c>
      <c r="F30" s="241"/>
    </row>
    <row r="32" spans="1:13" x14ac:dyDescent="0.15">
      <c r="E32" s="242"/>
    </row>
    <row r="33" spans="1:11" x14ac:dyDescent="0.15">
      <c r="A33" s="614" t="s">
        <v>99</v>
      </c>
      <c r="B33" s="615"/>
      <c r="C33" s="615"/>
      <c r="D33" s="616"/>
      <c r="E33" s="242"/>
      <c r="F33" s="756" t="s">
        <v>100</v>
      </c>
      <c r="G33" s="757"/>
      <c r="H33" s="757"/>
      <c r="I33" s="757"/>
      <c r="J33" s="757"/>
      <c r="K33" s="758"/>
    </row>
    <row r="34" spans="1:11" ht="14" thickBot="1" x14ac:dyDescent="0.2">
      <c r="A34" s="124"/>
      <c r="B34" s="617" t="s">
        <v>101</v>
      </c>
      <c r="C34" s="64" t="s">
        <v>102</v>
      </c>
      <c r="D34" s="226" t="s">
        <v>103</v>
      </c>
      <c r="E34" s="242"/>
      <c r="F34" s="124"/>
      <c r="G34" s="549" t="s">
        <v>104</v>
      </c>
      <c r="H34" s="549" t="s">
        <v>105</v>
      </c>
      <c r="I34" s="559" t="s">
        <v>106</v>
      </c>
      <c r="J34" s="549" t="s">
        <v>107</v>
      </c>
      <c r="K34" s="560" t="s">
        <v>108</v>
      </c>
    </row>
    <row r="35" spans="1:11" x14ac:dyDescent="0.15">
      <c r="A35" s="623" t="s">
        <v>109</v>
      </c>
      <c r="B35" s="624"/>
      <c r="C35" s="625"/>
      <c r="D35" s="626">
        <f>Proforma!D4</f>
        <v>4750000</v>
      </c>
      <c r="E35" s="242"/>
      <c r="F35" s="307" t="s">
        <v>110</v>
      </c>
      <c r="J35" s="302"/>
      <c r="K35" s="303"/>
    </row>
    <row r="36" spans="1:11" x14ac:dyDescent="0.15">
      <c r="A36" s="11" t="s">
        <v>111</v>
      </c>
      <c r="B36" s="227">
        <v>1.0999999999999999E-2</v>
      </c>
      <c r="C36" s="228">
        <f t="shared" ref="C36:C49" si="1">B36*$C$35</f>
        <v>0</v>
      </c>
      <c r="D36" s="228">
        <f t="shared" ref="D36:D49" si="2">B36*$D$35</f>
        <v>52250</v>
      </c>
      <c r="E36" s="242"/>
      <c r="F36" s="511" t="s">
        <v>112</v>
      </c>
      <c r="G36" s="331"/>
      <c r="H36" s="332"/>
      <c r="I36" s="304">
        <f>(H36*G36)*52/12</f>
        <v>0</v>
      </c>
      <c r="J36" s="302"/>
      <c r="K36" s="303"/>
    </row>
    <row r="37" spans="1:11" x14ac:dyDescent="0.15">
      <c r="A37" s="508"/>
      <c r="B37" s="227"/>
      <c r="C37" s="228">
        <f t="shared" si="1"/>
        <v>0</v>
      </c>
      <c r="D37" s="228">
        <f t="shared" si="2"/>
        <v>0</v>
      </c>
      <c r="E37" s="242"/>
      <c r="F37" s="511" t="s">
        <v>113</v>
      </c>
      <c r="G37" s="331"/>
      <c r="H37" s="332"/>
      <c r="I37" s="304">
        <f t="shared" ref="I37:I38" si="3">(H37*G37)*52/12</f>
        <v>0</v>
      </c>
      <c r="J37" s="302"/>
      <c r="K37" s="303"/>
    </row>
    <row r="38" spans="1:11" x14ac:dyDescent="0.15">
      <c r="A38" s="508"/>
      <c r="B38" s="227"/>
      <c r="C38" s="228">
        <f t="shared" si="1"/>
        <v>0</v>
      </c>
      <c r="D38" s="228">
        <f t="shared" si="2"/>
        <v>0</v>
      </c>
      <c r="E38" s="242"/>
      <c r="F38" s="511" t="s">
        <v>114</v>
      </c>
      <c r="G38" s="331"/>
      <c r="H38" s="332"/>
      <c r="I38" s="304">
        <f t="shared" si="3"/>
        <v>0</v>
      </c>
      <c r="J38" s="302"/>
      <c r="K38" s="303"/>
    </row>
    <row r="39" spans="1:11" x14ac:dyDescent="0.15">
      <c r="A39" s="508"/>
      <c r="B39" s="227"/>
      <c r="C39" s="228">
        <f t="shared" si="1"/>
        <v>0</v>
      </c>
      <c r="D39" s="228">
        <f t="shared" si="2"/>
        <v>0</v>
      </c>
      <c r="E39" s="242"/>
      <c r="F39" s="718" t="s">
        <v>115</v>
      </c>
      <c r="G39" s="719">
        <f>SUM(G36:G38)</f>
        <v>0</v>
      </c>
      <c r="H39" s="720" t="str">
        <f>IF(ISERROR((SUMPRODUCT(G36:G38,H36:H38)/G39)),"",(SUMPRODUCT(G36:G38,H36:H38)/G39))</f>
        <v/>
      </c>
      <c r="I39" s="721">
        <f>SUM(I36:I38)</f>
        <v>0</v>
      </c>
      <c r="J39" s="719">
        <f>IF(G39&gt;0,COUNT(G36:G38),0)</f>
        <v>0</v>
      </c>
      <c r="K39" s="722">
        <f>G39/40</f>
        <v>0</v>
      </c>
    </row>
    <row r="40" spans="1:11" x14ac:dyDescent="0.15">
      <c r="A40" s="508"/>
      <c r="B40" s="227"/>
      <c r="C40" s="228">
        <f t="shared" si="1"/>
        <v>0</v>
      </c>
      <c r="D40" s="228">
        <f t="shared" si="2"/>
        <v>0</v>
      </c>
      <c r="E40" s="242"/>
      <c r="F40" s="124"/>
      <c r="H40" s="251"/>
      <c r="I40" s="304"/>
      <c r="K40" s="303"/>
    </row>
    <row r="41" spans="1:11" x14ac:dyDescent="0.15">
      <c r="A41" s="508"/>
      <c r="B41" s="227"/>
      <c r="C41" s="228">
        <f t="shared" si="1"/>
        <v>0</v>
      </c>
      <c r="D41" s="228">
        <f t="shared" si="2"/>
        <v>0</v>
      </c>
      <c r="E41" s="242"/>
      <c r="F41" s="307" t="s">
        <v>116</v>
      </c>
      <c r="H41" s="251"/>
      <c r="I41" s="304"/>
      <c r="K41" s="303"/>
    </row>
    <row r="42" spans="1:11" x14ac:dyDescent="0.15">
      <c r="A42" s="508"/>
      <c r="B42" s="227"/>
      <c r="C42" s="228">
        <f t="shared" si="1"/>
        <v>0</v>
      </c>
      <c r="D42" s="228">
        <f t="shared" si="2"/>
        <v>0</v>
      </c>
      <c r="E42" s="242"/>
      <c r="F42" s="511" t="s">
        <v>117</v>
      </c>
      <c r="G42" s="331"/>
      <c r="H42" s="332"/>
      <c r="I42" s="304">
        <f>(H42*G42)*52/12</f>
        <v>0</v>
      </c>
      <c r="J42" s="302"/>
      <c r="K42" s="303"/>
    </row>
    <row r="43" spans="1:11" x14ac:dyDescent="0.15">
      <c r="A43" s="508"/>
      <c r="B43" s="227"/>
      <c r="C43" s="228">
        <f t="shared" si="1"/>
        <v>0</v>
      </c>
      <c r="D43" s="228">
        <f t="shared" si="2"/>
        <v>0</v>
      </c>
      <c r="E43" s="242"/>
      <c r="F43" s="511" t="s">
        <v>118</v>
      </c>
      <c r="G43" s="331"/>
      <c r="H43" s="332"/>
      <c r="I43" s="304">
        <f t="shared" ref="I43:I44" si="4">(H43*G43)*52/12</f>
        <v>0</v>
      </c>
      <c r="J43" s="302"/>
      <c r="K43" s="303"/>
    </row>
    <row r="44" spans="1:11" x14ac:dyDescent="0.15">
      <c r="A44" s="508"/>
      <c r="B44" s="227"/>
      <c r="C44" s="228">
        <f t="shared" si="1"/>
        <v>0</v>
      </c>
      <c r="D44" s="228">
        <f t="shared" si="2"/>
        <v>0</v>
      </c>
      <c r="E44" s="242"/>
      <c r="F44" s="511" t="s">
        <v>114</v>
      </c>
      <c r="G44" s="331"/>
      <c r="H44" s="332"/>
      <c r="I44" s="304">
        <f t="shared" si="4"/>
        <v>0</v>
      </c>
      <c r="J44" s="302"/>
      <c r="K44" s="303"/>
    </row>
    <row r="45" spans="1:11" x14ac:dyDescent="0.15">
      <c r="A45" s="508"/>
      <c r="B45" s="227"/>
      <c r="C45" s="228">
        <f t="shared" si="1"/>
        <v>0</v>
      </c>
      <c r="D45" s="228">
        <f t="shared" si="2"/>
        <v>0</v>
      </c>
      <c r="E45" s="242"/>
      <c r="F45" s="718" t="s">
        <v>115</v>
      </c>
      <c r="G45" s="719">
        <f>SUM(G42:G44)</f>
        <v>0</v>
      </c>
      <c r="H45" s="720" t="str">
        <f>IF(ISERROR((SUMPRODUCT(G42:G44,H42:H44)/G45)),"",(SUMPRODUCT(G42:G44,H42:H44)/G45))</f>
        <v/>
      </c>
      <c r="I45" s="721">
        <f>SUM(I42:I44)</f>
        <v>0</v>
      </c>
      <c r="J45" s="719">
        <f>IF(G45&gt;0,COUNT(G42:G44),0)</f>
        <v>0</v>
      </c>
      <c r="K45" s="723">
        <f>G45/40</f>
        <v>0</v>
      </c>
    </row>
    <row r="46" spans="1:11" x14ac:dyDescent="0.15">
      <c r="A46" s="508"/>
      <c r="B46" s="227"/>
      <c r="C46" s="228">
        <f t="shared" si="1"/>
        <v>0</v>
      </c>
      <c r="D46" s="228">
        <f t="shared" si="2"/>
        <v>0</v>
      </c>
      <c r="E46" s="242"/>
      <c r="F46" s="124"/>
      <c r="H46" s="251"/>
      <c r="I46" s="304"/>
      <c r="K46" s="303"/>
    </row>
    <row r="47" spans="1:11" x14ac:dyDescent="0.15">
      <c r="A47" s="508"/>
      <c r="B47" s="227"/>
      <c r="C47" s="228">
        <f t="shared" si="1"/>
        <v>0</v>
      </c>
      <c r="D47" s="228">
        <f t="shared" si="2"/>
        <v>0</v>
      </c>
      <c r="E47" s="243"/>
      <c r="F47" s="307" t="s">
        <v>119</v>
      </c>
      <c r="G47" s="302"/>
      <c r="H47" s="561"/>
      <c r="I47" s="304"/>
      <c r="J47" s="302"/>
      <c r="K47" s="303"/>
    </row>
    <row r="48" spans="1:11" x14ac:dyDescent="0.15">
      <c r="A48" s="508"/>
      <c r="B48" s="227"/>
      <c r="C48" s="228">
        <f t="shared" si="1"/>
        <v>0</v>
      </c>
      <c r="D48" s="228">
        <f t="shared" si="2"/>
        <v>0</v>
      </c>
      <c r="E48" s="243"/>
      <c r="F48" s="511" t="s">
        <v>120</v>
      </c>
      <c r="G48" s="331"/>
      <c r="H48" s="332"/>
      <c r="I48" s="304">
        <f t="shared" ref="I48:I50" si="5">(H48*G48)*52/12</f>
        <v>0</v>
      </c>
      <c r="K48" s="126"/>
    </row>
    <row r="49" spans="1:11" x14ac:dyDescent="0.15">
      <c r="A49" s="508"/>
      <c r="B49" s="227"/>
      <c r="C49" s="228">
        <f t="shared" si="1"/>
        <v>0</v>
      </c>
      <c r="D49" s="228">
        <f t="shared" si="2"/>
        <v>0</v>
      </c>
      <c r="F49" s="511" t="s">
        <v>121</v>
      </c>
      <c r="G49" s="331"/>
      <c r="H49" s="332"/>
      <c r="I49" s="304">
        <f t="shared" si="5"/>
        <v>0</v>
      </c>
      <c r="J49" s="302"/>
      <c r="K49" s="303"/>
    </row>
    <row r="50" spans="1:11" x14ac:dyDescent="0.15">
      <c r="A50" s="627" t="s">
        <v>122</v>
      </c>
      <c r="B50" s="628">
        <f>SUM(B36:B49)</f>
        <v>1.0999999999999999E-2</v>
      </c>
      <c r="C50" s="629">
        <f>SUM(C36:C49)</f>
        <v>0</v>
      </c>
      <c r="D50" s="629">
        <f>SUM(D36:D49)</f>
        <v>52250</v>
      </c>
      <c r="F50" s="511" t="s">
        <v>123</v>
      </c>
      <c r="G50" s="331"/>
      <c r="H50" s="332"/>
      <c r="I50" s="304">
        <f t="shared" si="5"/>
        <v>0</v>
      </c>
      <c r="J50" s="302"/>
      <c r="K50" s="303"/>
    </row>
    <row r="51" spans="1:11" x14ac:dyDescent="0.15">
      <c r="A51" s="300" t="s">
        <v>124</v>
      </c>
      <c r="B51" s="227"/>
      <c r="C51" s="258"/>
      <c r="D51" s="258"/>
      <c r="E51" s="244"/>
      <c r="F51" s="718" t="s">
        <v>125</v>
      </c>
      <c r="G51" s="719">
        <f>SUM(G47:G50)</f>
        <v>0</v>
      </c>
      <c r="H51" s="720" t="str">
        <f>IF(ISERROR((SUMPRODUCT(G47:G50,H47:H50)/G51)),"",(SUMPRODUCT(G47:G50,H47:H50)/G51))</f>
        <v/>
      </c>
      <c r="I51" s="721">
        <f>SUM(I47:I50)</f>
        <v>0</v>
      </c>
      <c r="J51" s="719">
        <f>IF(G51&gt;0,COUNT(G48:G50),0)</f>
        <v>0</v>
      </c>
      <c r="K51" s="723">
        <f>G51/40</f>
        <v>0</v>
      </c>
    </row>
    <row r="52" spans="1:11" x14ac:dyDescent="0.15">
      <c r="A52" s="508"/>
      <c r="B52" s="227"/>
      <c r="C52" s="228"/>
      <c r="D52" s="228">
        <f>C52</f>
        <v>0</v>
      </c>
      <c r="F52" s="511"/>
      <c r="I52" s="304"/>
      <c r="K52" s="303"/>
    </row>
    <row r="53" spans="1:11" x14ac:dyDescent="0.15">
      <c r="A53" s="562"/>
      <c r="B53" s="229"/>
      <c r="C53" s="230"/>
      <c r="D53" s="230">
        <f>C53</f>
        <v>0</v>
      </c>
      <c r="E53" s="245"/>
      <c r="F53" s="630" t="s">
        <v>126</v>
      </c>
      <c r="G53" s="631">
        <f>G51+G45+G39</f>
        <v>0</v>
      </c>
      <c r="H53" s="632" t="str">
        <f>IF(ISERROR(((I53/G53)*12/52)),"",((I53/G53)*12/52))</f>
        <v/>
      </c>
      <c r="I53" s="633">
        <f>IF(Proforma!N4="BVG Defaults",'IE Data Entry'!J30/12,I51+I45+I39)</f>
        <v>0</v>
      </c>
      <c r="J53" s="634">
        <f>J51+J45+J39</f>
        <v>0</v>
      </c>
      <c r="K53" s="635">
        <f>K51+K45+K39</f>
        <v>0</v>
      </c>
    </row>
    <row r="54" spans="1:11" x14ac:dyDescent="0.15">
      <c r="A54" s="636" t="s">
        <v>42</v>
      </c>
      <c r="B54" s="637"/>
      <c r="C54" s="638">
        <f>SUM(C50:C53)</f>
        <v>0</v>
      </c>
      <c r="D54" s="638">
        <f>SUM(D50:D53)</f>
        <v>52250</v>
      </c>
      <c r="E54" s="245"/>
    </row>
    <row r="55" spans="1:11" x14ac:dyDescent="0.15">
      <c r="A55" s="238"/>
      <c r="B55" s="259"/>
      <c r="C55" s="260" t="e">
        <f>C54/C35</f>
        <v>#DIV/0!</v>
      </c>
      <c r="D55" s="261">
        <f>D54/D35</f>
        <v>1.0999999999999999E-2</v>
      </c>
    </row>
    <row r="56" spans="1:11" x14ac:dyDescent="0.15">
      <c r="A56" s="125"/>
      <c r="C56" s="228"/>
      <c r="D56" s="126"/>
      <c r="E56" s="246"/>
    </row>
    <row r="57" spans="1:11" x14ac:dyDescent="0.15">
      <c r="A57" s="125"/>
      <c r="B57" s="505" t="s">
        <v>127</v>
      </c>
      <c r="C57" s="132">
        <f>D54-C54</f>
        <v>52250</v>
      </c>
      <c r="D57" s="126" t="s">
        <v>128</v>
      </c>
      <c r="E57" s="246"/>
    </row>
    <row r="58" spans="1:11" x14ac:dyDescent="0.15">
      <c r="A58" s="125"/>
      <c r="C58" s="132">
        <f>C57*D58</f>
        <v>49637.5</v>
      </c>
      <c r="D58" s="231">
        <v>0.95</v>
      </c>
      <c r="E58" s="247"/>
    </row>
    <row r="59" spans="1:11" x14ac:dyDescent="0.15">
      <c r="A59" s="125"/>
      <c r="C59" s="258">
        <f>C58/NoOfSpaces/12</f>
        <v>41.364583333333336</v>
      </c>
      <c r="D59" s="126" t="s">
        <v>129</v>
      </c>
    </row>
    <row r="60" spans="1:11" x14ac:dyDescent="0.15">
      <c r="A60" s="124"/>
      <c r="C60" s="227"/>
      <c r="D60" s="126">
        <f>C57/NoOfSpaces/12</f>
        <v>43.541666666666664</v>
      </c>
      <c r="E60" s="248"/>
    </row>
    <row r="61" spans="1:11" x14ac:dyDescent="0.15">
      <c r="A61" s="232"/>
      <c r="B61" s="233"/>
      <c r="C61" s="230"/>
      <c r="D61" s="234"/>
    </row>
    <row r="62" spans="1:11" x14ac:dyDescent="0.15">
      <c r="C62" s="128"/>
    </row>
    <row r="63" spans="1:11" x14ac:dyDescent="0.15">
      <c r="A63" s="709" t="s">
        <v>130</v>
      </c>
      <c r="B63" s="710"/>
      <c r="C63" s="724" t="s">
        <v>37</v>
      </c>
      <c r="D63" s="725">
        <f>Proforma!D4</f>
        <v>4750000</v>
      </c>
      <c r="E63" s="225"/>
    </row>
    <row r="64" spans="1:11" x14ac:dyDescent="0.15">
      <c r="A64" s="726"/>
      <c r="B64" s="727"/>
      <c r="C64" s="728"/>
      <c r="D64" s="729"/>
      <c r="E64" s="225"/>
    </row>
    <row r="65" spans="1:5" x14ac:dyDescent="0.15">
      <c r="A65" s="639" t="s">
        <v>131</v>
      </c>
      <c r="B65" s="640" t="s">
        <v>132</v>
      </c>
      <c r="C65" s="640"/>
      <c r="D65" s="641" t="s">
        <v>101</v>
      </c>
      <c r="E65" s="225"/>
    </row>
    <row r="66" spans="1:5" x14ac:dyDescent="0.15">
      <c r="A66" s="715"/>
      <c r="B66" s="716"/>
      <c r="C66" s="716"/>
      <c r="D66" s="730"/>
      <c r="E66" s="241"/>
    </row>
    <row r="67" spans="1:5" x14ac:dyDescent="0.15">
      <c r="A67" s="120" t="s">
        <v>133</v>
      </c>
      <c r="B67" s="525"/>
      <c r="D67" s="235">
        <f>D63*0.2</f>
        <v>950000</v>
      </c>
    </row>
    <row r="68" spans="1:5" x14ac:dyDescent="0.15">
      <c r="A68" s="122"/>
      <c r="B68" s="236"/>
      <c r="C68" s="69"/>
      <c r="D68" s="237"/>
      <c r="E68" s="12"/>
    </row>
    <row r="69" spans="1:5" x14ac:dyDescent="0.15">
      <c r="A69" s="731" t="s">
        <v>134</v>
      </c>
      <c r="B69" s="732" t="s">
        <v>135</v>
      </c>
      <c r="C69" s="716"/>
      <c r="D69" s="730"/>
      <c r="E69" s="12"/>
    </row>
    <row r="70" spans="1:5" x14ac:dyDescent="0.15">
      <c r="A70" s="238" t="s">
        <v>136</v>
      </c>
      <c r="D70" s="256"/>
      <c r="E70" s="12"/>
    </row>
    <row r="71" spans="1:5" x14ac:dyDescent="0.15">
      <c r="A71" s="238" t="s">
        <v>137</v>
      </c>
      <c r="C71" s="506"/>
      <c r="D71" s="256">
        <v>0</v>
      </c>
      <c r="E71" s="225"/>
    </row>
    <row r="72" spans="1:5" x14ac:dyDescent="0.15">
      <c r="A72" s="238" t="s">
        <v>138</v>
      </c>
      <c r="C72" s="506"/>
      <c r="D72" s="256">
        <v>0</v>
      </c>
      <c r="E72" s="225"/>
    </row>
    <row r="73" spans="1:5" x14ac:dyDescent="0.15">
      <c r="A73" s="122"/>
      <c r="B73" s="69"/>
      <c r="C73" s="563" t="s">
        <v>139</v>
      </c>
      <c r="D73" s="131">
        <f>SUM(D70:D72)</f>
        <v>0</v>
      </c>
      <c r="E73" s="241"/>
    </row>
    <row r="74" spans="1:5" x14ac:dyDescent="0.15">
      <c r="A74" s="731" t="s">
        <v>140</v>
      </c>
      <c r="B74" s="732" t="s">
        <v>141</v>
      </c>
      <c r="C74" s="732" t="s">
        <v>142</v>
      </c>
      <c r="D74" s="730"/>
    </row>
    <row r="75" spans="1:5" x14ac:dyDescent="0.15">
      <c r="A75" s="238" t="s">
        <v>143</v>
      </c>
      <c r="B75" s="331">
        <v>73</v>
      </c>
      <c r="C75" s="252">
        <v>15000</v>
      </c>
      <c r="D75" s="239">
        <f>B75*C75</f>
        <v>1095000</v>
      </c>
      <c r="E75" s="508" t="s">
        <v>638</v>
      </c>
    </row>
    <row r="76" spans="1:5" x14ac:dyDescent="0.15">
      <c r="A76" s="238"/>
      <c r="B76" s="70"/>
      <c r="D76" s="239">
        <f>B76*C76</f>
        <v>0</v>
      </c>
      <c r="E76" s="241"/>
    </row>
    <row r="77" spans="1:5" x14ac:dyDescent="0.15">
      <c r="A77" s="238"/>
      <c r="B77" s="70"/>
      <c r="D77" s="239">
        <f>B77*C77</f>
        <v>0</v>
      </c>
      <c r="E77" s="225"/>
    </row>
    <row r="78" spans="1:5" x14ac:dyDescent="0.15">
      <c r="A78" s="124"/>
      <c r="C78" s="506"/>
      <c r="D78" s="130"/>
      <c r="E78" s="249"/>
    </row>
    <row r="79" spans="1:5" x14ac:dyDescent="0.15">
      <c r="A79" s="127"/>
      <c r="B79" s="69"/>
      <c r="C79" s="506" t="s">
        <v>144</v>
      </c>
      <c r="D79" s="130">
        <f>SUM(D75:D77)</f>
        <v>1095000</v>
      </c>
      <c r="E79" s="505"/>
    </row>
    <row r="80" spans="1:5" x14ac:dyDescent="0.15">
      <c r="A80" s="731" t="s">
        <v>145</v>
      </c>
      <c r="B80" s="732" t="s">
        <v>146</v>
      </c>
      <c r="C80" s="716"/>
      <c r="D80" s="733">
        <f>D63-D67-D73-D79</f>
        <v>2705000</v>
      </c>
      <c r="E80" s="225"/>
    </row>
    <row r="81" spans="1:4" x14ac:dyDescent="0.15">
      <c r="A81" s="127"/>
      <c r="B81" s="69"/>
      <c r="C81" s="69"/>
      <c r="D81" s="237"/>
    </row>
    <row r="82" spans="1:4" x14ac:dyDescent="0.15">
      <c r="A82" s="124"/>
    </row>
    <row r="83" spans="1:4" x14ac:dyDescent="0.15">
      <c r="A83" s="731" t="s">
        <v>147</v>
      </c>
      <c r="B83" s="716"/>
      <c r="C83" s="734"/>
      <c r="D83" s="735">
        <f>D80</f>
        <v>2705000</v>
      </c>
    </row>
    <row r="84" spans="1:4" x14ac:dyDescent="0.15">
      <c r="A84" s="247" t="s">
        <v>148</v>
      </c>
      <c r="B84" s="11"/>
      <c r="D84" s="129">
        <f ca="1">Proforma!F85</f>
        <v>198993.84000000003</v>
      </c>
    </row>
    <row r="85" spans="1:4" x14ac:dyDescent="0.15">
      <c r="A85" s="250" t="s">
        <v>149</v>
      </c>
      <c r="B85" s="123"/>
      <c r="C85" s="69"/>
      <c r="D85" s="240">
        <f ca="1">D84-D83</f>
        <v>-2506006.16</v>
      </c>
    </row>
    <row r="86" spans="1:4" x14ac:dyDescent="0.15">
      <c r="D86" s="505"/>
    </row>
    <row r="87" spans="1:4" x14ac:dyDescent="0.15">
      <c r="C87" s="506"/>
      <c r="D87" s="257"/>
    </row>
    <row r="192" ht="12.75" customHeight="1" x14ac:dyDescent="0.15"/>
  </sheetData>
  <sheetProtection algorithmName="SHA-512" hashValue="CfyCcVIBDLIzsgpaJ3s7/5x289oO2/eeoe8pHsym+IrGqsJg+0VUlH6a0HEV1ZkkclbB9yDf+47DPfwpB0RBwg==" saltValue="LD+w2jWrs05eaD4wbJfp5Q==" spinCount="100000" sheet="1" objects="1" scenarios="1"/>
  <mergeCells count="1">
    <mergeCell ref="F33:K33"/>
  </mergeCells>
  <phoneticPr fontId="0" type="noConversion"/>
  <pageMargins left="0.75" right="0.75" top="1" bottom="1" header="0.5" footer="0.5"/>
  <pageSetup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72"/>
  <sheetViews>
    <sheetView topLeftCell="B1" zoomScaleNormal="100" workbookViewId="0">
      <selection activeCell="C1" sqref="C1"/>
    </sheetView>
  </sheetViews>
  <sheetFormatPr baseColWidth="10" defaultColWidth="12.33203125" defaultRowHeight="13" x14ac:dyDescent="0.15"/>
  <cols>
    <col min="1" max="1" width="15.83203125" style="10" hidden="1" customWidth="1"/>
    <col min="2" max="2" width="9.33203125" style="454" customWidth="1"/>
    <col min="3" max="3" width="54.33203125" style="10" bestFit="1" customWidth="1"/>
    <col min="4" max="4" width="14.5" style="9" customWidth="1"/>
    <col min="5" max="5" width="16.5" style="10" bestFit="1" customWidth="1"/>
    <col min="6" max="6" width="12.33203125" style="10" customWidth="1"/>
    <col min="7" max="7" width="15.33203125" style="10" customWidth="1"/>
    <col min="8" max="8" width="12.33203125" style="10" customWidth="1"/>
    <col min="9" max="9" width="14" style="10" customWidth="1"/>
    <col min="10" max="10" width="14.83203125" style="10" customWidth="1"/>
    <col min="11" max="12" width="14.5" style="10" customWidth="1"/>
    <col min="13" max="13" width="13.83203125" style="10" customWidth="1"/>
    <col min="14" max="14" width="15.1640625" style="10" customWidth="1"/>
    <col min="15" max="17" width="13.33203125" style="10" customWidth="1"/>
    <col min="18" max="18" width="12.33203125" style="10" customWidth="1"/>
    <col min="19" max="23" width="12.83203125" style="10" customWidth="1"/>
    <col min="24" max="24" width="14" style="10" customWidth="1"/>
    <col min="25" max="35" width="12.83203125" style="10" customWidth="1"/>
    <col min="36" max="36" width="16.1640625" style="10" bestFit="1" customWidth="1"/>
    <col min="37" max="16384" width="12.33203125" style="10"/>
  </cols>
  <sheetData>
    <row r="1" spans="3:25" ht="15" x14ac:dyDescent="0.2">
      <c r="C1" s="11" t="s">
        <v>150</v>
      </c>
      <c r="D1" s="759" t="str">
        <f>HYPERLINK("http://maps.google.com/maps?q="&amp;T1,"View on Google Map")</f>
        <v>View on Google Map</v>
      </c>
      <c r="E1" s="759"/>
      <c r="F1" s="505"/>
      <c r="G1" s="505"/>
      <c r="H1" s="673" t="s">
        <v>151</v>
      </c>
      <c r="I1" s="674"/>
      <c r="J1" s="673" t="s">
        <v>152</v>
      </c>
      <c r="K1" s="675"/>
      <c r="L1" s="505"/>
      <c r="M1" s="505"/>
      <c r="N1" s="505"/>
      <c r="O1" s="505"/>
      <c r="P1" s="505"/>
      <c r="Q1" s="505"/>
      <c r="R1" s="505"/>
      <c r="S1" s="505"/>
      <c r="T1" s="335" t="str">
        <f>RIGHT(C1,LEN(C1)-SEARCH("-",C1))</f>
        <v xml:space="preserve"> 7721 NC-41, Lumberton, NC 28358 </v>
      </c>
      <c r="U1" s="335" t="str">
        <f>LEFT(C1,FIND("-",C1)-1)</f>
        <v xml:space="preserve">Eaglewood </v>
      </c>
      <c r="V1" s="336" t="s">
        <v>153</v>
      </c>
      <c r="W1" s="335"/>
      <c r="X1" s="335"/>
      <c r="Y1" s="505"/>
    </row>
    <row r="2" spans="3:25" x14ac:dyDescent="0.15">
      <c r="C2" s="505"/>
      <c r="D2" s="17"/>
      <c r="E2" s="505"/>
      <c r="F2" s="505"/>
      <c r="G2" s="505"/>
      <c r="H2" s="505"/>
      <c r="I2" s="505"/>
      <c r="J2" s="505"/>
      <c r="K2" s="505"/>
      <c r="L2" s="505"/>
      <c r="M2" s="505"/>
      <c r="N2" s="505"/>
      <c r="O2" s="505"/>
      <c r="P2" s="505"/>
      <c r="Q2" s="505"/>
      <c r="R2" s="505"/>
      <c r="S2" s="505"/>
      <c r="T2" s="335"/>
      <c r="U2" s="335"/>
      <c r="V2" s="335"/>
      <c r="W2" s="335"/>
      <c r="X2" s="335"/>
      <c r="Y2" s="505"/>
    </row>
    <row r="3" spans="3:25" x14ac:dyDescent="0.15">
      <c r="C3" s="6" t="s">
        <v>154</v>
      </c>
      <c r="D3" s="6"/>
      <c r="E3" s="30" t="s">
        <v>155</v>
      </c>
      <c r="F3" s="505"/>
      <c r="G3" s="505"/>
      <c r="H3" s="6" t="s">
        <v>156</v>
      </c>
      <c r="I3" s="6"/>
      <c r="J3" s="6"/>
      <c r="K3" s="6"/>
      <c r="L3" s="6"/>
      <c r="M3" s="6"/>
      <c r="N3" s="6"/>
      <c r="O3" s="212"/>
      <c r="P3" s="11"/>
      <c r="Q3" s="505"/>
      <c r="R3" s="505"/>
      <c r="S3" s="505"/>
      <c r="T3" s="335"/>
      <c r="U3" s="335"/>
      <c r="V3" s="335"/>
      <c r="W3" s="335"/>
      <c r="X3" s="335"/>
      <c r="Y3" s="505"/>
    </row>
    <row r="4" spans="3:25" x14ac:dyDescent="0.15">
      <c r="C4" s="519" t="s">
        <v>37</v>
      </c>
      <c r="D4" s="144">
        <v>4750000</v>
      </c>
      <c r="E4" s="524">
        <f>D4/$D$15</f>
        <v>47500</v>
      </c>
      <c r="F4" s="699"/>
      <c r="G4" s="505"/>
      <c r="H4" s="505" t="s">
        <v>157</v>
      </c>
      <c r="I4" s="525"/>
      <c r="J4" s="143">
        <v>0.02</v>
      </c>
      <c r="K4" s="505"/>
      <c r="L4" s="525" t="s">
        <v>158</v>
      </c>
      <c r="M4" s="505"/>
      <c r="N4" s="469">
        <v>2024</v>
      </c>
      <c r="O4" s="212"/>
      <c r="P4" s="505"/>
      <c r="Q4" s="505"/>
      <c r="R4" s="505"/>
      <c r="S4" s="505"/>
      <c r="T4" s="335">
        <v>0</v>
      </c>
      <c r="U4" s="337">
        <v>2017</v>
      </c>
      <c r="V4" s="335">
        <v>0</v>
      </c>
      <c r="W4" s="335">
        <v>1</v>
      </c>
      <c r="X4" s="335">
        <v>2</v>
      </c>
      <c r="Y4" s="505">
        <v>4</v>
      </c>
    </row>
    <row r="5" spans="3:25" x14ac:dyDescent="0.15">
      <c r="C5" s="508" t="s">
        <v>159</v>
      </c>
      <c r="D5" s="18">
        <f>+Notes!C30</f>
        <v>559999.5</v>
      </c>
      <c r="E5" s="526">
        <f t="shared" ref="E5:E6" si="0">D5/$D$15</f>
        <v>5599.9949999999999</v>
      </c>
      <c r="F5" s="505"/>
      <c r="G5" s="505"/>
      <c r="H5" s="505" t="s">
        <v>160</v>
      </c>
      <c r="I5" s="525"/>
      <c r="J5" s="143">
        <v>0.05</v>
      </c>
      <c r="K5" s="505"/>
      <c r="L5" s="505" t="s">
        <v>161</v>
      </c>
      <c r="M5" s="505"/>
      <c r="N5" s="331" t="s">
        <v>162</v>
      </c>
      <c r="O5" s="505"/>
      <c r="P5" s="505"/>
      <c r="Q5" s="505"/>
      <c r="R5" s="505"/>
      <c r="S5" s="505"/>
      <c r="T5" s="335">
        <v>1</v>
      </c>
      <c r="U5" s="337" t="s">
        <v>163</v>
      </c>
      <c r="V5" s="335"/>
      <c r="W5" s="335"/>
      <c r="X5" s="335"/>
      <c r="Y5" s="505"/>
    </row>
    <row r="6" spans="3:25" ht="14" thickBot="1" x14ac:dyDescent="0.2">
      <c r="C6" s="577" t="s">
        <v>164</v>
      </c>
      <c r="D6" s="582">
        <f>SUM(D4:D5)</f>
        <v>5309999.5</v>
      </c>
      <c r="E6" s="583">
        <f t="shared" si="0"/>
        <v>53099.995000000003</v>
      </c>
      <c r="F6" s="505"/>
      <c r="G6" s="527"/>
      <c r="H6" s="505" t="s">
        <v>165</v>
      </c>
      <c r="I6" s="525"/>
      <c r="J6" s="145">
        <v>2000</v>
      </c>
      <c r="K6" s="505"/>
      <c r="L6" s="505" t="s">
        <v>166</v>
      </c>
      <c r="M6" s="506"/>
      <c r="N6" s="507">
        <v>0</v>
      </c>
      <c r="O6" s="505"/>
      <c r="P6" s="505"/>
      <c r="Q6" s="505"/>
      <c r="R6" s="505"/>
      <c r="S6" s="505"/>
      <c r="T6" s="335">
        <v>2</v>
      </c>
      <c r="U6" s="337" t="s">
        <v>167</v>
      </c>
      <c r="V6" s="335"/>
      <c r="W6" s="335"/>
      <c r="X6" s="335"/>
      <c r="Y6" s="505"/>
    </row>
    <row r="7" spans="3:25" ht="14" thickTop="1" x14ac:dyDescent="0.15">
      <c r="C7" s="515" t="s">
        <v>168</v>
      </c>
      <c r="D7" s="27">
        <f ca="1">E165</f>
        <v>3.7475302963776179E-2</v>
      </c>
      <c r="E7" s="19"/>
      <c r="F7" s="505"/>
      <c r="G7" s="505"/>
      <c r="H7" s="505" t="s">
        <v>169</v>
      </c>
      <c r="I7" s="505"/>
      <c r="J7" s="224">
        <v>15</v>
      </c>
      <c r="K7" s="505"/>
      <c r="L7" s="505" t="s">
        <v>170</v>
      </c>
      <c r="M7" s="505"/>
      <c r="N7" s="507">
        <v>0</v>
      </c>
      <c r="O7" s="505"/>
      <c r="P7" s="505"/>
      <c r="Q7" s="505"/>
      <c r="R7" s="505"/>
      <c r="S7" s="505"/>
      <c r="T7" s="335">
        <v>4</v>
      </c>
      <c r="U7" s="337" t="s">
        <v>171</v>
      </c>
      <c r="V7" s="335"/>
      <c r="W7" s="335"/>
      <c r="X7" s="335"/>
      <c r="Y7" s="505"/>
    </row>
    <row r="8" spans="3:25" x14ac:dyDescent="0.15">
      <c r="C8" s="505" t="s">
        <v>172</v>
      </c>
      <c r="D8" s="27">
        <f ca="1">F85/(D4+D5)</f>
        <v>3.7475302963776179E-2</v>
      </c>
      <c r="E8" s="505"/>
      <c r="F8" s="505"/>
      <c r="G8" s="505"/>
      <c r="H8" s="505" t="s">
        <v>173</v>
      </c>
      <c r="I8" s="505"/>
      <c r="J8" s="145">
        <v>250</v>
      </c>
      <c r="K8" s="528" t="s">
        <v>174</v>
      </c>
      <c r="L8" s="505" t="s">
        <v>175</v>
      </c>
      <c r="M8" s="505"/>
      <c r="N8" s="507">
        <v>0</v>
      </c>
      <c r="O8" s="505"/>
      <c r="P8" s="505"/>
      <c r="Q8" s="505"/>
      <c r="R8" s="505"/>
      <c r="S8" s="505"/>
      <c r="T8" s="505"/>
      <c r="U8" s="505"/>
      <c r="V8" s="505"/>
      <c r="W8" s="505"/>
      <c r="X8" s="505"/>
      <c r="Y8" s="505"/>
    </row>
    <row r="9" spans="3:25" x14ac:dyDescent="0.15">
      <c r="C9" s="505" t="s">
        <v>176</v>
      </c>
      <c r="D9" s="27">
        <f>E102</f>
        <v>6.5000000000000002E-2</v>
      </c>
      <c r="E9" s="505"/>
      <c r="F9" s="505"/>
      <c r="G9" s="505"/>
      <c r="H9" s="505" t="s">
        <v>177</v>
      </c>
      <c r="I9" s="505"/>
      <c r="J9" s="145">
        <v>70</v>
      </c>
      <c r="K9" s="505"/>
      <c r="L9" s="505" t="s">
        <v>178</v>
      </c>
      <c r="M9" s="505"/>
      <c r="N9" s="507">
        <v>0</v>
      </c>
      <c r="O9" s="505"/>
      <c r="P9" s="505"/>
      <c r="Q9" s="505"/>
      <c r="R9" s="505"/>
      <c r="S9" s="505"/>
      <c r="T9" s="505"/>
      <c r="U9" s="505"/>
      <c r="V9" s="505"/>
      <c r="W9" s="505"/>
      <c r="X9" s="505"/>
      <c r="Y9" s="505"/>
    </row>
    <row r="10" spans="3:25" x14ac:dyDescent="0.15">
      <c r="C10" s="505" t="s">
        <v>179</v>
      </c>
      <c r="D10" s="501">
        <f>+E4/F29/100</f>
        <v>0.84070796460176989</v>
      </c>
      <c r="E10" s="505"/>
      <c r="F10" s="505"/>
      <c r="G10" s="505"/>
      <c r="H10" s="505"/>
      <c r="I10" s="505"/>
      <c r="J10" s="505"/>
      <c r="K10" s="505"/>
      <c r="L10" s="505"/>
      <c r="M10" s="505"/>
      <c r="N10" s="505"/>
      <c r="O10" s="505"/>
      <c r="P10" s="505"/>
      <c r="Q10" s="505"/>
      <c r="R10" s="505"/>
      <c r="S10" s="505"/>
      <c r="T10" s="505"/>
      <c r="U10" s="505"/>
      <c r="V10" s="505"/>
      <c r="W10" s="505"/>
      <c r="X10" s="505"/>
      <c r="Y10" s="505"/>
    </row>
    <row r="11" spans="3:25" x14ac:dyDescent="0.15">
      <c r="C11" s="61" t="s">
        <v>59</v>
      </c>
      <c r="D11" s="62" t="s">
        <v>42</v>
      </c>
      <c r="E11" s="62" t="s">
        <v>180</v>
      </c>
      <c r="F11" s="62" t="s">
        <v>181</v>
      </c>
      <c r="G11" s="62" t="s">
        <v>182</v>
      </c>
      <c r="H11" s="505"/>
      <c r="I11" s="62" t="s">
        <v>183</v>
      </c>
      <c r="J11" s="62" t="s">
        <v>184</v>
      </c>
      <c r="K11" s="62" t="s">
        <v>185</v>
      </c>
      <c r="L11" s="62" t="s">
        <v>186</v>
      </c>
      <c r="M11" s="62" t="s">
        <v>187</v>
      </c>
      <c r="N11" s="505"/>
      <c r="O11" s="505"/>
      <c r="P11" s="505"/>
      <c r="Q11" s="505"/>
      <c r="R11" s="505"/>
      <c r="S11" s="505"/>
      <c r="T11" s="505"/>
      <c r="U11" s="505"/>
      <c r="V11" s="505"/>
      <c r="W11" s="505"/>
      <c r="X11" s="505"/>
      <c r="Y11" s="505"/>
    </row>
    <row r="12" spans="3:25" x14ac:dyDescent="0.15">
      <c r="C12" s="519" t="s">
        <v>188</v>
      </c>
      <c r="D12" s="331">
        <v>100</v>
      </c>
      <c r="E12" s="331">
        <v>61</v>
      </c>
      <c r="F12" s="529">
        <f>D12-E12</f>
        <v>39</v>
      </c>
      <c r="G12" s="530">
        <f>F12/D12</f>
        <v>0.39</v>
      </c>
      <c r="H12" s="505"/>
      <c r="I12" s="505" t="s">
        <v>189</v>
      </c>
      <c r="J12" s="505" t="s">
        <v>190</v>
      </c>
      <c r="K12" s="529"/>
      <c r="L12" s="529"/>
      <c r="M12" s="505"/>
      <c r="N12" s="505"/>
      <c r="O12" s="505"/>
      <c r="P12" s="505"/>
      <c r="Q12" s="505"/>
      <c r="R12" s="505"/>
      <c r="S12" s="505"/>
      <c r="T12" s="505"/>
      <c r="U12" s="505"/>
      <c r="V12" s="505"/>
      <c r="W12" s="505"/>
      <c r="X12" s="505"/>
      <c r="Y12" s="505"/>
    </row>
    <row r="13" spans="3:25" x14ac:dyDescent="0.15">
      <c r="C13" s="519" t="s">
        <v>191</v>
      </c>
      <c r="D13" s="331">
        <v>0</v>
      </c>
      <c r="E13" s="331">
        <v>0</v>
      </c>
      <c r="F13" s="529">
        <f>D13-E13</f>
        <v>0</v>
      </c>
      <c r="G13" s="530" t="str">
        <f>IF(ISERROR((F13/D13)),"-",(F13/D13))</f>
        <v>-</v>
      </c>
      <c r="H13" s="505"/>
      <c r="I13" s="505" t="s">
        <v>192</v>
      </c>
      <c r="J13" s="505" t="s">
        <v>193</v>
      </c>
      <c r="K13" s="505"/>
      <c r="L13" s="505"/>
      <c r="M13" s="505"/>
      <c r="N13" s="505">
        <f>185/342</f>
        <v>0.54093567251461994</v>
      </c>
      <c r="O13" s="505"/>
      <c r="P13" s="505"/>
      <c r="Q13" s="505"/>
      <c r="R13" s="505"/>
      <c r="S13" s="505"/>
      <c r="T13" s="505"/>
      <c r="U13" s="505"/>
      <c r="V13" s="505"/>
      <c r="W13" s="505"/>
      <c r="X13" s="505"/>
      <c r="Y13" s="505"/>
    </row>
    <row r="14" spans="3:25" x14ac:dyDescent="0.15">
      <c r="C14" s="519" t="s">
        <v>114</v>
      </c>
      <c r="D14" s="331">
        <v>0</v>
      </c>
      <c r="E14" s="331">
        <v>0</v>
      </c>
      <c r="F14" s="529">
        <f>D14-E14</f>
        <v>0</v>
      </c>
      <c r="G14" s="530" t="str">
        <f>IF(ISERROR((F14/D14)),"-",(F14/D14))</f>
        <v>-</v>
      </c>
      <c r="H14" s="505"/>
      <c r="I14" s="505"/>
      <c r="J14" s="505"/>
      <c r="K14" s="505"/>
      <c r="L14" s="505"/>
      <c r="M14" s="505"/>
      <c r="N14" s="505"/>
      <c r="O14" s="505"/>
      <c r="P14" s="505"/>
      <c r="Q14" s="505"/>
      <c r="R14" s="505"/>
      <c r="S14" s="505"/>
      <c r="T14" s="505"/>
      <c r="U14" s="505"/>
      <c r="V14" s="505"/>
      <c r="W14" s="505"/>
      <c r="X14" s="505"/>
      <c r="Y14" s="505"/>
    </row>
    <row r="15" spans="3:25" x14ac:dyDescent="0.15">
      <c r="C15" s="61" t="s">
        <v>42</v>
      </c>
      <c r="D15" s="62">
        <f>SUM(D12:D14)</f>
        <v>100</v>
      </c>
      <c r="E15" s="62">
        <f>SUM(E12:E14)</f>
        <v>61</v>
      </c>
      <c r="F15" s="531">
        <f t="shared" ref="F15" si="1">D15-E15</f>
        <v>39</v>
      </c>
      <c r="G15" s="68">
        <f>F15/D15</f>
        <v>0.39</v>
      </c>
      <c r="H15" s="505"/>
      <c r="I15" s="505"/>
      <c r="J15" s="505"/>
      <c r="K15" s="505"/>
      <c r="L15" s="505"/>
      <c r="M15" s="505"/>
      <c r="N15" s="505"/>
      <c r="O15" s="505"/>
      <c r="P15" s="505"/>
      <c r="Q15" s="505"/>
      <c r="R15" s="505"/>
      <c r="S15" s="505"/>
      <c r="T15" s="505"/>
      <c r="U15" s="505"/>
      <c r="V15" s="505"/>
      <c r="W15" s="505"/>
      <c r="X15" s="505"/>
      <c r="Y15" s="505"/>
    </row>
    <row r="16" spans="3:25" x14ac:dyDescent="0.15">
      <c r="C16" s="519"/>
      <c r="D16" s="63"/>
      <c r="E16" s="63"/>
      <c r="F16" s="529"/>
      <c r="G16" s="505"/>
      <c r="H16" s="505"/>
      <c r="I16" s="505"/>
      <c r="J16" s="505"/>
      <c r="K16" s="505">
        <f>26+111+185</f>
        <v>322</v>
      </c>
      <c r="L16" s="505">
        <f>K16/342</f>
        <v>0.94152046783625731</v>
      </c>
      <c r="M16" s="505"/>
      <c r="N16" s="505"/>
      <c r="O16" s="505"/>
      <c r="P16" s="505"/>
      <c r="Q16" s="505"/>
      <c r="R16" s="505"/>
      <c r="S16" s="505"/>
      <c r="T16" s="505"/>
      <c r="U16" s="505"/>
      <c r="V16" s="505"/>
      <c r="W16" s="505"/>
      <c r="X16" s="505"/>
      <c r="Y16" s="505"/>
    </row>
    <row r="17" spans="1:36" ht="14" thickBot="1" x14ac:dyDescent="0.2">
      <c r="A17" s="505"/>
      <c r="C17" s="519" t="s">
        <v>194</v>
      </c>
      <c r="D17" s="331">
        <f>47+26</f>
        <v>73</v>
      </c>
      <c r="E17" s="331">
        <v>45</v>
      </c>
      <c r="F17" s="529">
        <f>D17-E17</f>
        <v>28</v>
      </c>
      <c r="G17" s="584">
        <v>0</v>
      </c>
      <c r="H17" s="585" t="s">
        <v>195</v>
      </c>
      <c r="I17" s="586"/>
      <c r="J17" s="505"/>
      <c r="K17" s="505"/>
      <c r="L17" s="505"/>
      <c r="M17" s="764" t="s">
        <v>196</v>
      </c>
      <c r="N17" s="764"/>
      <c r="O17" s="764"/>
      <c r="P17" s="764"/>
      <c r="Q17" s="505"/>
      <c r="R17" s="764" t="s">
        <v>197</v>
      </c>
      <c r="S17" s="764"/>
      <c r="T17" s="764"/>
      <c r="U17" s="764"/>
      <c r="V17" s="505"/>
      <c r="W17" s="505"/>
      <c r="X17" s="505"/>
      <c r="Y17" s="505"/>
      <c r="Z17" s="505"/>
      <c r="AA17" s="505"/>
      <c r="AB17" s="505"/>
      <c r="AC17" s="505"/>
      <c r="AD17" s="505"/>
      <c r="AE17" s="505"/>
      <c r="AF17" s="505"/>
      <c r="AG17" s="505"/>
      <c r="AH17" s="505"/>
      <c r="AI17" s="505"/>
      <c r="AJ17" s="505"/>
    </row>
    <row r="18" spans="1:36" ht="14" thickBot="1" x14ac:dyDescent="0.2">
      <c r="A18" s="505"/>
      <c r="C18" s="519"/>
      <c r="D18" s="63"/>
      <c r="E18" s="63"/>
      <c r="F18" s="63"/>
      <c r="G18" s="505"/>
      <c r="H18" s="505"/>
      <c r="I18" s="505"/>
      <c r="J18" s="505"/>
      <c r="K18" s="505"/>
      <c r="L18" s="505"/>
      <c r="M18" s="667" t="s">
        <v>198</v>
      </c>
      <c r="N18" s="505"/>
      <c r="O18" s="148" t="s">
        <v>199</v>
      </c>
      <c r="P18" s="148" t="s">
        <v>200</v>
      </c>
      <c r="Q18" s="505"/>
      <c r="R18" s="505" t="s">
        <v>201</v>
      </c>
      <c r="S18" s="308">
        <v>35000</v>
      </c>
      <c r="T18" s="505" t="s">
        <v>202</v>
      </c>
      <c r="U18" s="670">
        <v>15</v>
      </c>
      <c r="V18" s="505"/>
      <c r="W18" s="505"/>
      <c r="X18" s="505"/>
      <c r="Y18" s="505"/>
      <c r="Z18" s="505"/>
      <c r="AA18" s="505"/>
      <c r="AB18" s="505"/>
      <c r="AC18" s="505"/>
      <c r="AD18" s="505"/>
      <c r="AE18" s="505"/>
      <c r="AF18" s="505"/>
      <c r="AG18" s="505"/>
      <c r="AH18" s="505"/>
      <c r="AI18" s="505"/>
      <c r="AJ18" s="505"/>
    </row>
    <row r="19" spans="1:36" ht="14" thickBot="1" x14ac:dyDescent="0.2">
      <c r="A19" s="505"/>
      <c r="C19" s="467" t="s">
        <v>203</v>
      </c>
      <c r="D19" s="470"/>
      <c r="E19" s="471" t="s">
        <v>204</v>
      </c>
      <c r="F19" s="471" t="s">
        <v>205</v>
      </c>
      <c r="G19" s="472" t="s">
        <v>206</v>
      </c>
      <c r="H19" s="505"/>
      <c r="I19" s="40" t="s">
        <v>207</v>
      </c>
      <c r="J19" s="40"/>
      <c r="K19" s="40"/>
      <c r="L19" s="505"/>
      <c r="M19" s="669">
        <v>433</v>
      </c>
      <c r="N19" s="529" t="s">
        <v>208</v>
      </c>
      <c r="O19" s="665">
        <f>M19*E17*12</f>
        <v>233820</v>
      </c>
      <c r="P19" s="665">
        <f>M19</f>
        <v>433</v>
      </c>
      <c r="Q19" s="505"/>
      <c r="R19" s="505" t="s">
        <v>209</v>
      </c>
      <c r="S19" s="671">
        <v>1</v>
      </c>
      <c r="T19" s="505" t="s">
        <v>210</v>
      </c>
      <c r="U19" s="670">
        <f>U18*12</f>
        <v>180</v>
      </c>
      <c r="V19" s="505"/>
      <c r="W19" s="505"/>
      <c r="X19" s="505"/>
      <c r="Y19" s="505"/>
      <c r="Z19" s="505"/>
      <c r="AA19" s="505"/>
      <c r="AB19" s="505"/>
      <c r="AC19" s="505"/>
      <c r="AD19" s="505"/>
      <c r="AE19" s="505"/>
      <c r="AF19" s="505"/>
      <c r="AG19" s="505"/>
      <c r="AH19" s="505"/>
      <c r="AI19" s="505"/>
      <c r="AJ19" s="505"/>
    </row>
    <row r="20" spans="1:36" ht="14" thickBot="1" x14ac:dyDescent="0.2">
      <c r="A20" s="505"/>
      <c r="C20" s="532" t="str">
        <f ca="1">"30 Year Lev IRR -   "&amp;TEXT(D117,"0.0%")</f>
        <v>30 Year Lev IRR -   18.9%</v>
      </c>
      <c r="D20" s="473" t="s">
        <v>211</v>
      </c>
      <c r="E20" s="474">
        <f t="shared" ref="E20:G25" ca="1" si="2">D169</f>
        <v>0.11654357054132602</v>
      </c>
      <c r="F20" s="474">
        <f t="shared" ca="1" si="2"/>
        <v>0.12745803815215484</v>
      </c>
      <c r="G20" s="475">
        <f t="shared" ca="1" si="2"/>
        <v>0.1335808850101865</v>
      </c>
      <c r="H20" s="505"/>
      <c r="I20" s="525" t="s">
        <v>212</v>
      </c>
      <c r="J20" s="533"/>
      <c r="K20" s="143">
        <v>0.5</v>
      </c>
      <c r="L20" s="505"/>
      <c r="M20" s="505"/>
      <c r="N20" s="529" t="s">
        <v>213</v>
      </c>
      <c r="O20" s="527">
        <f>P20*E17*12</f>
        <v>40500</v>
      </c>
      <c r="P20" s="308">
        <v>75</v>
      </c>
      <c r="Q20" s="505"/>
      <c r="R20" s="505" t="s">
        <v>214</v>
      </c>
      <c r="S20" s="308">
        <f>S18*S19</f>
        <v>35000</v>
      </c>
      <c r="T20" s="529" t="s">
        <v>215</v>
      </c>
      <c r="U20" s="341">
        <v>8.5000000000000006E-2</v>
      </c>
      <c r="V20" s="505"/>
      <c r="W20" s="505"/>
      <c r="X20" s="505"/>
      <c r="Y20" s="505"/>
      <c r="Z20" s="505"/>
      <c r="AA20" s="505"/>
      <c r="AB20" s="505"/>
      <c r="AC20" s="505"/>
      <c r="AD20" s="505"/>
      <c r="AE20" s="505"/>
      <c r="AF20" s="505"/>
      <c r="AG20" s="505"/>
      <c r="AH20" s="505"/>
      <c r="AI20" s="505"/>
      <c r="AJ20" s="505"/>
    </row>
    <row r="21" spans="1:36" ht="14" thickBot="1" x14ac:dyDescent="0.2">
      <c r="A21" s="505"/>
      <c r="C21" s="532" t="str">
        <f ca="1">"30 Year Investor IRR -   "&amp;TEXT(D134,"0.0%")</f>
        <v>30 Year Investor IRR -   15.2%</v>
      </c>
      <c r="D21" s="473" t="s">
        <v>216</v>
      </c>
      <c r="E21" s="474">
        <f t="shared" ca="1" si="2"/>
        <v>0.17272170503291817</v>
      </c>
      <c r="F21" s="474">
        <f t="shared" ca="1" si="2"/>
        <v>0.18964339177038103</v>
      </c>
      <c r="G21" s="475">
        <f t="shared" ca="1" si="2"/>
        <v>0.20952945366216902</v>
      </c>
      <c r="H21" s="505"/>
      <c r="I21" s="525" t="s">
        <v>217</v>
      </c>
      <c r="J21" s="533"/>
      <c r="K21" s="534">
        <f>1-K20</f>
        <v>0.5</v>
      </c>
      <c r="L21" s="535"/>
      <c r="M21" s="666" t="s">
        <v>218</v>
      </c>
      <c r="N21" s="529" t="s">
        <v>116</v>
      </c>
      <c r="O21" s="527">
        <f>P21*E17*12</f>
        <v>40500</v>
      </c>
      <c r="P21" s="308">
        <v>75</v>
      </c>
      <c r="Q21" s="505"/>
      <c r="R21" s="505"/>
      <c r="S21" s="505"/>
      <c r="T21" s="505"/>
      <c r="U21" s="505"/>
      <c r="V21" s="505"/>
      <c r="W21" s="505"/>
      <c r="X21" s="505"/>
      <c r="Y21" s="505"/>
      <c r="Z21" s="505"/>
      <c r="AA21" s="505"/>
      <c r="AB21" s="505"/>
      <c r="AC21" s="505"/>
      <c r="AD21" s="505"/>
      <c r="AE21" s="505"/>
      <c r="AF21" s="505"/>
      <c r="AG21" s="505"/>
      <c r="AH21" s="505"/>
      <c r="AI21" s="505"/>
      <c r="AJ21" s="505"/>
    </row>
    <row r="22" spans="1:36" ht="14" thickBot="1" x14ac:dyDescent="0.2">
      <c r="A22" s="505"/>
      <c r="C22" s="532"/>
      <c r="D22" s="473" t="s">
        <v>219</v>
      </c>
      <c r="E22" s="474">
        <f t="shared" ca="1" si="2"/>
        <v>0.11492499360877817</v>
      </c>
      <c r="F22" s="474">
        <f t="shared" ca="1" si="2"/>
        <v>0.12930252627909411</v>
      </c>
      <c r="G22" s="475">
        <f t="shared" ca="1" si="2"/>
        <v>0.15667048128000749</v>
      </c>
      <c r="H22" s="505"/>
      <c r="I22" s="525" t="s">
        <v>220</v>
      </c>
      <c r="J22" s="533"/>
      <c r="K22" s="143">
        <v>0.05</v>
      </c>
      <c r="L22" s="505"/>
      <c r="M22" s="668">
        <f>SUM(O20:O21)/O19</f>
        <v>0.3464203233256351</v>
      </c>
      <c r="N22" s="529" t="s">
        <v>221</v>
      </c>
      <c r="O22" s="536">
        <f>P22*E17*12</f>
        <v>0</v>
      </c>
      <c r="P22" s="308">
        <v>0</v>
      </c>
      <c r="Q22" s="505"/>
      <c r="R22" s="765" t="s">
        <v>222</v>
      </c>
      <c r="S22" s="765"/>
      <c r="T22" s="672">
        <f>-PMT(U20/12,U19,S20)</f>
        <v>344.65884527395764</v>
      </c>
      <c r="U22" s="505"/>
      <c r="V22" s="505"/>
      <c r="W22" s="505"/>
      <c r="X22" s="505"/>
      <c r="Y22" s="505"/>
      <c r="Z22" s="505"/>
      <c r="AA22" s="505"/>
      <c r="AB22" s="505"/>
      <c r="AC22" s="505"/>
      <c r="AD22" s="505"/>
      <c r="AE22" s="505"/>
      <c r="AF22" s="505"/>
      <c r="AG22" s="505"/>
      <c r="AH22" s="505"/>
      <c r="AI22" s="505"/>
      <c r="AJ22" s="505"/>
    </row>
    <row r="23" spans="1:36" ht="14" thickBot="1" x14ac:dyDescent="0.2">
      <c r="A23" s="505"/>
      <c r="C23" s="532" t="str">
        <f ca="1">"Year 5 Return On Cost -   "&amp;TEXT(J87,"0.0%")</f>
        <v>Year 5 Return On Cost -   8.1%</v>
      </c>
      <c r="D23" s="473" t="s">
        <v>223</v>
      </c>
      <c r="E23" s="476" t="str">
        <f t="shared" ca="1" si="2"/>
        <v>1.4x</v>
      </c>
      <c r="F23" s="476" t="str">
        <f t="shared" ca="1" si="2"/>
        <v>1.7x</v>
      </c>
      <c r="G23" s="477" t="str">
        <f t="shared" ca="1" si="2"/>
        <v>2.4x</v>
      </c>
      <c r="H23" s="505"/>
      <c r="I23" s="525" t="s">
        <v>224</v>
      </c>
      <c r="J23" s="533"/>
      <c r="K23" s="143">
        <v>0.05</v>
      </c>
      <c r="L23" s="505"/>
      <c r="M23"/>
      <c r="N23" s="529" t="s">
        <v>225</v>
      </c>
      <c r="O23" s="587">
        <f>O19-SUM(O20:O22)</f>
        <v>152820</v>
      </c>
      <c r="P23" s="587">
        <f>P19-SUM(P20:P22)</f>
        <v>283</v>
      </c>
      <c r="Q23" s="505"/>
      <c r="R23" s="505"/>
      <c r="S23" s="505"/>
      <c r="T23" s="505"/>
      <c r="U23" s="505"/>
      <c r="V23" s="505"/>
      <c r="W23" s="505"/>
      <c r="X23" s="505"/>
      <c r="Y23" s="505"/>
      <c r="Z23" s="505"/>
      <c r="AA23" s="505"/>
      <c r="AB23" s="505"/>
      <c r="AC23" s="505"/>
      <c r="AD23" s="505"/>
      <c r="AE23" s="505"/>
      <c r="AF23" s="505"/>
      <c r="AG23" s="505"/>
      <c r="AH23" s="505"/>
      <c r="AI23" s="505"/>
      <c r="AJ23" s="505"/>
    </row>
    <row r="24" spans="1:36" ht="14" thickBot="1" x14ac:dyDescent="0.2">
      <c r="A24" s="505"/>
      <c r="C24" s="532" t="str">
        <f ca="1">"Pct Equity Returned Over 5 Years "&amp;TEXT(J134,"0.0%")</f>
        <v>Pct Equity Returned Over 5 Years Cumm.= 124.5%</v>
      </c>
      <c r="D24" s="473" t="s">
        <v>226</v>
      </c>
      <c r="E24" s="478">
        <f t="shared" ca="1" si="2"/>
        <v>3282000</v>
      </c>
      <c r="F24" s="478">
        <f t="shared" ca="1" si="2"/>
        <v>4076000</v>
      </c>
      <c r="G24" s="479">
        <f t="shared" ca="1" si="2"/>
        <v>5912000</v>
      </c>
      <c r="H24" s="505"/>
      <c r="I24" s="505"/>
      <c r="J24" s="505"/>
      <c r="K24" s="505"/>
      <c r="L24" s="505"/>
      <c r="M24" s="667" t="s">
        <v>227</v>
      </c>
      <c r="N24" s="505"/>
      <c r="O24" s="512" t="s">
        <v>228</v>
      </c>
      <c r="P24" s="512" t="s">
        <v>229</v>
      </c>
      <c r="Q24" s="505"/>
      <c r="R24" s="505"/>
      <c r="S24" s="505"/>
      <c r="T24" s="505"/>
      <c r="U24" s="505"/>
      <c r="V24" s="505"/>
      <c r="W24" s="505"/>
      <c r="X24" s="505"/>
      <c r="Y24" s="505"/>
      <c r="Z24" s="505"/>
      <c r="AA24" s="505"/>
      <c r="AB24" s="505"/>
      <c r="AC24" s="505"/>
      <c r="AD24" s="505"/>
      <c r="AE24" s="505"/>
      <c r="AF24" s="505"/>
      <c r="AG24" s="505"/>
      <c r="AH24" s="505"/>
      <c r="AI24" s="505"/>
      <c r="AJ24" s="505"/>
    </row>
    <row r="25" spans="1:36" x14ac:dyDescent="0.15">
      <c r="A25" s="505"/>
      <c r="C25" s="532" t="str">
        <f ca="1">"Year 1 Leveraged Cash-On-Cash -   "&amp;TEXT(F116,"0.0%")</f>
        <v>Year 1 Leveraged Cash-On-Cash -   6.7%</v>
      </c>
      <c r="D25" s="473" t="s">
        <v>230</v>
      </c>
      <c r="E25" s="478">
        <f t="shared" ca="1" si="2"/>
        <v>511000</v>
      </c>
      <c r="F25" s="478">
        <f t="shared" ca="1" si="2"/>
        <v>1121000</v>
      </c>
      <c r="G25" s="479">
        <f t="shared" ca="1" si="2"/>
        <v>2957000</v>
      </c>
      <c r="H25" s="502" t="s">
        <v>231</v>
      </c>
      <c r="I25" s="503" t="s">
        <v>232</v>
      </c>
      <c r="J25" s="529"/>
      <c r="K25" s="505"/>
      <c r="L25" s="505"/>
      <c r="M25" s="537">
        <v>0.12</v>
      </c>
      <c r="N25" s="505"/>
      <c r="O25" s="654">
        <f>(O19+SUM(O20:O21)/M25)</f>
        <v>908820</v>
      </c>
      <c r="P25" s="654">
        <f>O25/E17</f>
        <v>20196</v>
      </c>
      <c r="Q25" s="505"/>
      <c r="R25" s="505"/>
      <c r="S25" s="505"/>
      <c r="T25" s="505"/>
      <c r="U25" s="505"/>
      <c r="V25" s="505"/>
      <c r="W25" s="505"/>
      <c r="X25" s="505"/>
      <c r="Y25" s="505"/>
      <c r="Z25" s="505"/>
      <c r="AA25" s="505"/>
      <c r="AB25" s="505"/>
      <c r="AC25" s="505"/>
      <c r="AD25" s="505"/>
      <c r="AE25" s="505"/>
      <c r="AF25" s="505"/>
      <c r="AG25" s="505"/>
      <c r="AH25" s="505"/>
      <c r="AI25" s="505"/>
      <c r="AJ25" s="505"/>
    </row>
    <row r="26" spans="1:36" x14ac:dyDescent="0.15">
      <c r="A26" s="505"/>
      <c r="C26" s="538"/>
      <c r="D26" s="473" t="s">
        <v>233</v>
      </c>
      <c r="E26" s="478" t="str">
        <f ca="1">+H103</f>
        <v>$/Sp=$60,400</v>
      </c>
      <c r="F26" s="480" t="str">
        <f ca="1">+J103</f>
        <v>$/Sp=$66,500</v>
      </c>
      <c r="G26" s="481" t="str">
        <f ca="1">+O103</f>
        <v>$/Sp=$84,000</v>
      </c>
      <c r="H26" s="478">
        <f ca="1">ROUND(O102,-3)</f>
        <v>8402000</v>
      </c>
      <c r="I26" s="479">
        <f ca="1">ROUND(H26/NoOfSpaces,-2)</f>
        <v>84000</v>
      </c>
      <c r="J26" s="529"/>
      <c r="K26" s="505"/>
      <c r="L26" s="505"/>
      <c r="M26" s="505"/>
      <c r="N26" s="505"/>
      <c r="O26" s="505"/>
      <c r="P26" s="505"/>
      <c r="Q26" s="505"/>
      <c r="R26" s="505"/>
      <c r="S26" s="505"/>
      <c r="T26" s="505"/>
      <c r="U26" s="505"/>
      <c r="V26" s="505"/>
      <c r="W26" s="505"/>
      <c r="X26" s="505"/>
      <c r="Y26" s="505"/>
      <c r="Z26" s="505"/>
      <c r="AA26" s="505"/>
      <c r="AB26" s="505"/>
      <c r="AC26" s="505"/>
      <c r="AD26" s="505"/>
      <c r="AE26" s="505"/>
      <c r="AF26" s="505"/>
      <c r="AG26" s="505"/>
      <c r="AH26" s="505"/>
      <c r="AI26" s="505"/>
      <c r="AJ26" s="505"/>
    </row>
    <row r="27" spans="1:36" x14ac:dyDescent="0.15">
      <c r="A27" s="529" t="s">
        <v>234</v>
      </c>
      <c r="B27" s="468" t="s">
        <v>235</v>
      </c>
      <c r="C27" s="20" t="s">
        <v>236</v>
      </c>
      <c r="D27" s="21" t="s">
        <v>237</v>
      </c>
      <c r="E27" s="736" t="s">
        <v>238</v>
      </c>
      <c r="F27" s="24">
        <v>1</v>
      </c>
      <c r="G27" s="24">
        <f>F27+1</f>
        <v>2</v>
      </c>
      <c r="H27" s="24">
        <f t="shared" ref="H27:AH27" si="3">G27+1</f>
        <v>3</v>
      </c>
      <c r="I27" s="24">
        <f t="shared" si="3"/>
        <v>4</v>
      </c>
      <c r="J27" s="24">
        <f t="shared" si="3"/>
        <v>5</v>
      </c>
      <c r="K27" s="24">
        <f t="shared" si="3"/>
        <v>6</v>
      </c>
      <c r="L27" s="24">
        <f t="shared" si="3"/>
        <v>7</v>
      </c>
      <c r="M27" s="24">
        <f t="shared" si="3"/>
        <v>8</v>
      </c>
      <c r="N27" s="24">
        <f t="shared" si="3"/>
        <v>9</v>
      </c>
      <c r="O27" s="24">
        <f t="shared" si="3"/>
        <v>10</v>
      </c>
      <c r="P27" s="24">
        <f t="shared" si="3"/>
        <v>11</v>
      </c>
      <c r="Q27" s="24">
        <f t="shared" si="3"/>
        <v>12</v>
      </c>
      <c r="R27" s="24">
        <f t="shared" si="3"/>
        <v>13</v>
      </c>
      <c r="S27" s="24">
        <f t="shared" si="3"/>
        <v>14</v>
      </c>
      <c r="T27" s="24">
        <f t="shared" si="3"/>
        <v>15</v>
      </c>
      <c r="U27" s="24">
        <f t="shared" si="3"/>
        <v>16</v>
      </c>
      <c r="V27" s="24">
        <f t="shared" si="3"/>
        <v>17</v>
      </c>
      <c r="W27" s="24">
        <f t="shared" si="3"/>
        <v>18</v>
      </c>
      <c r="X27" s="24">
        <f t="shared" si="3"/>
        <v>19</v>
      </c>
      <c r="Y27" s="24">
        <f t="shared" si="3"/>
        <v>20</v>
      </c>
      <c r="Z27" s="24">
        <f t="shared" si="3"/>
        <v>21</v>
      </c>
      <c r="AA27" s="24">
        <f t="shared" si="3"/>
        <v>22</v>
      </c>
      <c r="AB27" s="24">
        <f t="shared" si="3"/>
        <v>23</v>
      </c>
      <c r="AC27" s="24">
        <f t="shared" si="3"/>
        <v>24</v>
      </c>
      <c r="AD27" s="24">
        <f t="shared" si="3"/>
        <v>25</v>
      </c>
      <c r="AE27" s="24">
        <f t="shared" si="3"/>
        <v>26</v>
      </c>
      <c r="AF27" s="24">
        <f t="shared" si="3"/>
        <v>27</v>
      </c>
      <c r="AG27" s="24">
        <f t="shared" si="3"/>
        <v>28</v>
      </c>
      <c r="AH27" s="24">
        <f t="shared" si="3"/>
        <v>29</v>
      </c>
      <c r="AI27" s="24">
        <f t="shared" ref="AI27" si="4">AH27+1</f>
        <v>30</v>
      </c>
      <c r="AJ27" s="24">
        <f t="shared" ref="AJ27" si="5">AI27+1</f>
        <v>31</v>
      </c>
    </row>
    <row r="28" spans="1:36" x14ac:dyDescent="0.15">
      <c r="A28" s="505"/>
      <c r="C28" s="11" t="s">
        <v>239</v>
      </c>
      <c r="D28" s="133"/>
      <c r="E28" s="539"/>
      <c r="F28" s="265"/>
      <c r="G28" s="266" t="str">
        <f>"YOY = "&amp;TEXT(((G29-F29)/F29),"0.0%")</f>
        <v>YOY = 0.0%</v>
      </c>
      <c r="H28" s="266" t="str">
        <f>"YOY = "&amp;TEXT(((H29-G29)/G29),"0.0%")</f>
        <v>YOY = 0.0%</v>
      </c>
      <c r="I28" s="266" t="str">
        <f t="shared" ref="I28:AH28" si="6">"YOY = "&amp;TEXT(((I29-H29)/H29),"0.0%")</f>
        <v>YOY = 4.0%</v>
      </c>
      <c r="J28" s="266" t="str">
        <f t="shared" si="6"/>
        <v>YOY = 4.0%</v>
      </c>
      <c r="K28" s="213" t="str">
        <f t="shared" si="6"/>
        <v>YOY = 4.0%</v>
      </c>
      <c r="L28" s="213" t="str">
        <f t="shared" si="6"/>
        <v>YOY = 4.0%</v>
      </c>
      <c r="M28" s="213" t="str">
        <f t="shared" si="6"/>
        <v>YOY = 4.0%</v>
      </c>
      <c r="N28" s="213" t="str">
        <f t="shared" si="6"/>
        <v>YOY = 4.0%</v>
      </c>
      <c r="O28" s="213" t="str">
        <f t="shared" si="6"/>
        <v>YOY = 4.0%</v>
      </c>
      <c r="P28" s="213" t="str">
        <f t="shared" si="6"/>
        <v>YOY = 4.0%</v>
      </c>
      <c r="Q28" s="213" t="str">
        <f t="shared" si="6"/>
        <v>YOY = 4.0%</v>
      </c>
      <c r="R28" s="213" t="str">
        <f t="shared" si="6"/>
        <v>YOY = 4.0%</v>
      </c>
      <c r="S28" s="213" t="str">
        <f t="shared" si="6"/>
        <v>YOY = 4.0%</v>
      </c>
      <c r="T28" s="213" t="str">
        <f t="shared" si="6"/>
        <v>YOY = 4.0%</v>
      </c>
      <c r="U28" s="213" t="str">
        <f t="shared" si="6"/>
        <v>YOY = 4.0%</v>
      </c>
      <c r="V28" s="213" t="str">
        <f t="shared" si="6"/>
        <v>YOY = 4.0%</v>
      </c>
      <c r="W28" s="213" t="str">
        <f t="shared" si="6"/>
        <v>YOY = 4.0%</v>
      </c>
      <c r="X28" s="213" t="str">
        <f t="shared" si="6"/>
        <v>YOY = 4.0%</v>
      </c>
      <c r="Y28" s="213" t="str">
        <f t="shared" si="6"/>
        <v>YOY = 4.0%</v>
      </c>
      <c r="Z28" s="213" t="str">
        <f t="shared" si="6"/>
        <v>YOY = 4.0%</v>
      </c>
      <c r="AA28" s="213" t="str">
        <f t="shared" si="6"/>
        <v>YOY = 4.0%</v>
      </c>
      <c r="AB28" s="213" t="str">
        <f t="shared" si="6"/>
        <v>YOY = 4.0%</v>
      </c>
      <c r="AC28" s="213" t="str">
        <f t="shared" si="6"/>
        <v>YOY = 4.0%</v>
      </c>
      <c r="AD28" s="213" t="str">
        <f t="shared" si="6"/>
        <v>YOY = 4.0%</v>
      </c>
      <c r="AE28" s="213" t="str">
        <f t="shared" si="6"/>
        <v>YOY = 4.0%</v>
      </c>
      <c r="AF28" s="213" t="str">
        <f t="shared" si="6"/>
        <v>YOY = 4.0%</v>
      </c>
      <c r="AG28" s="213" t="str">
        <f t="shared" si="6"/>
        <v>YOY = 4.0%</v>
      </c>
      <c r="AH28" s="213" t="str">
        <f t="shared" si="6"/>
        <v>YOY = 4.0%</v>
      </c>
      <c r="AI28" s="213" t="str">
        <f t="shared" ref="AI28" si="7">"YOY = "&amp;TEXT(((AI29-AH29)/AH29),"0.0%")</f>
        <v>YOY = 4.0%</v>
      </c>
      <c r="AJ28" s="213" t="str">
        <f t="shared" ref="AJ28" si="8">"YOY = "&amp;TEXT(((AJ29-AI29)/AI29),"0.0%")</f>
        <v>YOY = 4.0%</v>
      </c>
    </row>
    <row r="29" spans="1:36" x14ac:dyDescent="0.15">
      <c r="A29" s="505"/>
      <c r="C29" s="508" t="str">
        <f>C12</f>
        <v xml:space="preserve">MH </v>
      </c>
      <c r="D29" s="134">
        <v>585</v>
      </c>
      <c r="E29" s="267">
        <v>0.04</v>
      </c>
      <c r="F29" s="265">
        <v>565</v>
      </c>
      <c r="G29" s="265">
        <f>F29</f>
        <v>565</v>
      </c>
      <c r="H29" s="265">
        <f>G29</f>
        <v>565</v>
      </c>
      <c r="I29" s="265">
        <f t="shared" ref="I29" si="9">H29*(1+$E$29)</f>
        <v>587.6</v>
      </c>
      <c r="J29" s="265">
        <f t="shared" ref="J29" si="10">I29*(1+$E$29)</f>
        <v>611.10400000000004</v>
      </c>
      <c r="K29" s="265">
        <f t="shared" ref="K29" si="11">J29*(1+$E$29)</f>
        <v>635.54816000000005</v>
      </c>
      <c r="L29" s="265">
        <f t="shared" ref="L29:AH29" si="12">K29*(1+$E$29)</f>
        <v>660.97008640000013</v>
      </c>
      <c r="M29" s="265">
        <f t="shared" si="12"/>
        <v>687.4088898560002</v>
      </c>
      <c r="N29" s="265">
        <f t="shared" si="12"/>
        <v>714.90524545024027</v>
      </c>
      <c r="O29" s="265">
        <f t="shared" si="12"/>
        <v>743.50145526824986</v>
      </c>
      <c r="P29" s="265">
        <f t="shared" si="12"/>
        <v>773.24151347897987</v>
      </c>
      <c r="Q29" s="265">
        <f t="shared" si="12"/>
        <v>804.17117401813914</v>
      </c>
      <c r="R29" s="265">
        <f t="shared" si="12"/>
        <v>836.33802097886473</v>
      </c>
      <c r="S29" s="265">
        <f t="shared" si="12"/>
        <v>869.79154181801937</v>
      </c>
      <c r="T29" s="265">
        <f t="shared" si="12"/>
        <v>904.58320349074017</v>
      </c>
      <c r="U29" s="265">
        <f t="shared" si="12"/>
        <v>940.76653163036985</v>
      </c>
      <c r="V29" s="265">
        <f t="shared" si="12"/>
        <v>978.39719289558468</v>
      </c>
      <c r="W29" s="265">
        <f t="shared" si="12"/>
        <v>1017.5330806114081</v>
      </c>
      <c r="X29" s="265">
        <f t="shared" si="12"/>
        <v>1058.2344038358644</v>
      </c>
      <c r="Y29" s="265">
        <f t="shared" si="12"/>
        <v>1100.5637799892991</v>
      </c>
      <c r="Z29" s="265">
        <f t="shared" si="12"/>
        <v>1144.5863311888711</v>
      </c>
      <c r="AA29" s="265">
        <f t="shared" si="12"/>
        <v>1190.369784436426</v>
      </c>
      <c r="AB29" s="265">
        <f t="shared" si="12"/>
        <v>1237.9845758138831</v>
      </c>
      <c r="AC29" s="265">
        <f t="shared" si="12"/>
        <v>1287.5039588464385</v>
      </c>
      <c r="AD29" s="265">
        <f t="shared" si="12"/>
        <v>1339.0041172002962</v>
      </c>
      <c r="AE29" s="265">
        <f t="shared" si="12"/>
        <v>1392.564281888308</v>
      </c>
      <c r="AF29" s="265">
        <f t="shared" si="12"/>
        <v>1448.2668531638403</v>
      </c>
      <c r="AG29" s="265">
        <f t="shared" si="12"/>
        <v>1506.197527290394</v>
      </c>
      <c r="AH29" s="265">
        <f t="shared" si="12"/>
        <v>1566.4454283820098</v>
      </c>
      <c r="AI29" s="265">
        <f t="shared" ref="AI29" si="13">AH29*(1+$E$29)</f>
        <v>1629.1032455172904</v>
      </c>
      <c r="AJ29" s="265">
        <f t="shared" ref="AJ29" si="14">AI29*(1+$E$29)</f>
        <v>1694.267375337982</v>
      </c>
    </row>
    <row r="30" spans="1:36" x14ac:dyDescent="0.15">
      <c r="A30" s="505"/>
      <c r="C30" s="508" t="str">
        <f>C13</f>
        <v>RV</v>
      </c>
      <c r="D30" s="134">
        <v>0</v>
      </c>
      <c r="E30" s="267">
        <v>0.04</v>
      </c>
      <c r="F30" s="265">
        <f>D30</f>
        <v>0</v>
      </c>
      <c r="G30" s="265">
        <f t="shared" ref="G30" si="15">F30*(1+$E$30)</f>
        <v>0</v>
      </c>
      <c r="H30" s="265">
        <f t="shared" ref="H30" si="16">G30*(1+$E$30)</f>
        <v>0</v>
      </c>
      <c r="I30" s="265">
        <f t="shared" ref="I30" si="17">H30*(1+$E$30)</f>
        <v>0</v>
      </c>
      <c r="J30" s="265">
        <f t="shared" ref="J30" si="18">I30*(1+$E$30)</f>
        <v>0</v>
      </c>
      <c r="K30" s="265">
        <f t="shared" ref="K30:AH30" si="19">J30*(1+$E$30)</f>
        <v>0</v>
      </c>
      <c r="L30" s="265">
        <f t="shared" si="19"/>
        <v>0</v>
      </c>
      <c r="M30" s="265">
        <f t="shared" si="19"/>
        <v>0</v>
      </c>
      <c r="N30" s="265">
        <f t="shared" si="19"/>
        <v>0</v>
      </c>
      <c r="O30" s="265">
        <f t="shared" si="19"/>
        <v>0</v>
      </c>
      <c r="P30" s="265">
        <f t="shared" si="19"/>
        <v>0</v>
      </c>
      <c r="Q30" s="265">
        <f t="shared" si="19"/>
        <v>0</v>
      </c>
      <c r="R30" s="265">
        <f t="shared" si="19"/>
        <v>0</v>
      </c>
      <c r="S30" s="265">
        <f t="shared" si="19"/>
        <v>0</v>
      </c>
      <c r="T30" s="265">
        <f t="shared" si="19"/>
        <v>0</v>
      </c>
      <c r="U30" s="265">
        <f t="shared" si="19"/>
        <v>0</v>
      </c>
      <c r="V30" s="265">
        <f t="shared" si="19"/>
        <v>0</v>
      </c>
      <c r="W30" s="265">
        <f t="shared" si="19"/>
        <v>0</v>
      </c>
      <c r="X30" s="265">
        <f t="shared" si="19"/>
        <v>0</v>
      </c>
      <c r="Y30" s="265">
        <f t="shared" si="19"/>
        <v>0</v>
      </c>
      <c r="Z30" s="265">
        <f t="shared" si="19"/>
        <v>0</v>
      </c>
      <c r="AA30" s="265">
        <f t="shared" si="19"/>
        <v>0</v>
      </c>
      <c r="AB30" s="265">
        <f t="shared" si="19"/>
        <v>0</v>
      </c>
      <c r="AC30" s="265">
        <f t="shared" si="19"/>
        <v>0</v>
      </c>
      <c r="AD30" s="265">
        <f t="shared" si="19"/>
        <v>0</v>
      </c>
      <c r="AE30" s="265">
        <f t="shared" si="19"/>
        <v>0</v>
      </c>
      <c r="AF30" s="265">
        <f t="shared" si="19"/>
        <v>0</v>
      </c>
      <c r="AG30" s="265">
        <f t="shared" si="19"/>
        <v>0</v>
      </c>
      <c r="AH30" s="265">
        <f t="shared" si="19"/>
        <v>0</v>
      </c>
      <c r="AI30" s="265">
        <f t="shared" ref="AI30" si="20">AH30*(1+$E$30)</f>
        <v>0</v>
      </c>
      <c r="AJ30" s="265">
        <f t="shared" ref="AJ30" si="21">AI30*(1+$E$30)</f>
        <v>0</v>
      </c>
    </row>
    <row r="31" spans="1:36" x14ac:dyDescent="0.15">
      <c r="A31" s="505"/>
      <c r="C31" s="508" t="str">
        <f>C14</f>
        <v>Other</v>
      </c>
      <c r="D31" s="134">
        <v>0</v>
      </c>
      <c r="E31" s="267">
        <v>0.04</v>
      </c>
      <c r="F31" s="265">
        <f>D31</f>
        <v>0</v>
      </c>
      <c r="G31" s="265">
        <f t="shared" ref="G31" si="22">F31*(1+$E$31)</f>
        <v>0</v>
      </c>
      <c r="H31" s="265">
        <f t="shared" ref="H31" si="23">G31*(1+$E$31)</f>
        <v>0</v>
      </c>
      <c r="I31" s="265">
        <f t="shared" ref="I31" si="24">H31*(1+$E$31)</f>
        <v>0</v>
      </c>
      <c r="J31" s="265">
        <f t="shared" ref="J31" si="25">I31*(1+$E$31)</f>
        <v>0</v>
      </c>
      <c r="K31" s="265">
        <f t="shared" ref="K31:AH31" si="26">J31*(1+$E$31)</f>
        <v>0</v>
      </c>
      <c r="L31" s="265">
        <f t="shared" si="26"/>
        <v>0</v>
      </c>
      <c r="M31" s="265">
        <f t="shared" si="26"/>
        <v>0</v>
      </c>
      <c r="N31" s="265">
        <f t="shared" si="26"/>
        <v>0</v>
      </c>
      <c r="O31" s="265">
        <f t="shared" si="26"/>
        <v>0</v>
      </c>
      <c r="P31" s="265">
        <f t="shared" si="26"/>
        <v>0</v>
      </c>
      <c r="Q31" s="265">
        <f t="shared" si="26"/>
        <v>0</v>
      </c>
      <c r="R31" s="265">
        <f t="shared" si="26"/>
        <v>0</v>
      </c>
      <c r="S31" s="265">
        <f t="shared" si="26"/>
        <v>0</v>
      </c>
      <c r="T31" s="265">
        <f t="shared" si="26"/>
        <v>0</v>
      </c>
      <c r="U31" s="265">
        <f t="shared" si="26"/>
        <v>0</v>
      </c>
      <c r="V31" s="265">
        <f t="shared" si="26"/>
        <v>0</v>
      </c>
      <c r="W31" s="265">
        <f t="shared" si="26"/>
        <v>0</v>
      </c>
      <c r="X31" s="265">
        <f t="shared" si="26"/>
        <v>0</v>
      </c>
      <c r="Y31" s="265">
        <f t="shared" si="26"/>
        <v>0</v>
      </c>
      <c r="Z31" s="265">
        <f t="shared" si="26"/>
        <v>0</v>
      </c>
      <c r="AA31" s="265">
        <f t="shared" si="26"/>
        <v>0</v>
      </c>
      <c r="AB31" s="265">
        <f t="shared" si="26"/>
        <v>0</v>
      </c>
      <c r="AC31" s="265">
        <f t="shared" si="26"/>
        <v>0</v>
      </c>
      <c r="AD31" s="265">
        <f t="shared" si="26"/>
        <v>0</v>
      </c>
      <c r="AE31" s="265">
        <f t="shared" si="26"/>
        <v>0</v>
      </c>
      <c r="AF31" s="265">
        <f t="shared" si="26"/>
        <v>0</v>
      </c>
      <c r="AG31" s="265">
        <f t="shared" si="26"/>
        <v>0</v>
      </c>
      <c r="AH31" s="265">
        <f t="shared" si="26"/>
        <v>0</v>
      </c>
      <c r="AI31" s="265">
        <f t="shared" ref="AI31" si="27">AH31*(1+$E$31)</f>
        <v>0</v>
      </c>
      <c r="AJ31" s="265">
        <f t="shared" ref="AJ31" si="28">AI31*(1+$E$31)</f>
        <v>0</v>
      </c>
    </row>
    <row r="32" spans="1:36" x14ac:dyDescent="0.15">
      <c r="A32" s="505"/>
      <c r="C32" s="505"/>
      <c r="D32" s="133"/>
      <c r="E32" s="539"/>
      <c r="F32" s="737"/>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row>
    <row r="33" spans="1:36" ht="16" x14ac:dyDescent="0.3">
      <c r="A33" s="505"/>
      <c r="C33" s="11" t="s">
        <v>240</v>
      </c>
      <c r="D33" s="135"/>
      <c r="E33" s="319" t="s">
        <v>241</v>
      </c>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row>
    <row r="34" spans="1:36" x14ac:dyDescent="0.15">
      <c r="A34" s="505"/>
      <c r="B34" s="455">
        <f>(F34*12)</f>
        <v>678000</v>
      </c>
      <c r="C34" s="508" t="str">
        <f>C29</f>
        <v xml:space="preserve">MH </v>
      </c>
      <c r="D34" s="133">
        <f>D29*D12*12</f>
        <v>702000</v>
      </c>
      <c r="E34" s="320">
        <f>D12</f>
        <v>100</v>
      </c>
      <c r="F34" s="265">
        <f>F29*$E$34</f>
        <v>56500</v>
      </c>
      <c r="G34" s="265">
        <f t="shared" ref="G34:AH34" si="29">G29*$E34</f>
        <v>56500</v>
      </c>
      <c r="H34" s="265">
        <f t="shared" si="29"/>
        <v>56500</v>
      </c>
      <c r="I34" s="265">
        <f t="shared" si="29"/>
        <v>58760</v>
      </c>
      <c r="J34" s="265">
        <f t="shared" si="29"/>
        <v>61110.400000000001</v>
      </c>
      <c r="K34" s="265">
        <f t="shared" si="29"/>
        <v>63554.816000000006</v>
      </c>
      <c r="L34" s="265">
        <f t="shared" si="29"/>
        <v>66097.008640000015</v>
      </c>
      <c r="M34" s="265">
        <f t="shared" si="29"/>
        <v>68740.888985600017</v>
      </c>
      <c r="N34" s="265">
        <f t="shared" si="29"/>
        <v>71490.524545024033</v>
      </c>
      <c r="O34" s="265">
        <f t="shared" si="29"/>
        <v>74350.145526824985</v>
      </c>
      <c r="P34" s="265">
        <f t="shared" si="29"/>
        <v>77324.15134789799</v>
      </c>
      <c r="Q34" s="265">
        <f t="shared" si="29"/>
        <v>80417.117401813914</v>
      </c>
      <c r="R34" s="265">
        <f t="shared" si="29"/>
        <v>83633.802097886481</v>
      </c>
      <c r="S34" s="265">
        <f t="shared" si="29"/>
        <v>86979.154181801932</v>
      </c>
      <c r="T34" s="265">
        <f t="shared" si="29"/>
        <v>90458.320349074012</v>
      </c>
      <c r="U34" s="265">
        <f t="shared" si="29"/>
        <v>94076.653163036986</v>
      </c>
      <c r="V34" s="265">
        <f t="shared" si="29"/>
        <v>97839.719289558474</v>
      </c>
      <c r="W34" s="265">
        <f t="shared" si="29"/>
        <v>101753.30806114081</v>
      </c>
      <c r="X34" s="265">
        <f t="shared" si="29"/>
        <v>105823.44038358645</v>
      </c>
      <c r="Y34" s="265">
        <f t="shared" si="29"/>
        <v>110056.37799892991</v>
      </c>
      <c r="Z34" s="265">
        <f t="shared" si="29"/>
        <v>114458.63311888711</v>
      </c>
      <c r="AA34" s="265">
        <f t="shared" si="29"/>
        <v>119036.9784436426</v>
      </c>
      <c r="AB34" s="265">
        <f t="shared" si="29"/>
        <v>123798.45758138831</v>
      </c>
      <c r="AC34" s="265">
        <f t="shared" si="29"/>
        <v>128750.39588464385</v>
      </c>
      <c r="AD34" s="265">
        <f t="shared" si="29"/>
        <v>133900.4117200296</v>
      </c>
      <c r="AE34" s="265">
        <f t="shared" si="29"/>
        <v>139256.42818883079</v>
      </c>
      <c r="AF34" s="265">
        <f t="shared" si="29"/>
        <v>144826.68531638404</v>
      </c>
      <c r="AG34" s="265">
        <f t="shared" si="29"/>
        <v>150619.75272903941</v>
      </c>
      <c r="AH34" s="265">
        <f t="shared" si="29"/>
        <v>156644.54283820098</v>
      </c>
      <c r="AI34" s="265">
        <f t="shared" ref="AI34:AJ34" si="30">AI29*$E34</f>
        <v>162910.32455172905</v>
      </c>
      <c r="AJ34" s="265">
        <f t="shared" si="30"/>
        <v>169426.73753379821</v>
      </c>
    </row>
    <row r="35" spans="1:36" x14ac:dyDescent="0.15">
      <c r="A35" s="505"/>
      <c r="B35" s="455">
        <f>(F35*12)</f>
        <v>0</v>
      </c>
      <c r="C35" s="508" t="str">
        <f>C30</f>
        <v>RV</v>
      </c>
      <c r="D35" s="133">
        <f>D30*D13*12</f>
        <v>0</v>
      </c>
      <c r="E35" s="320">
        <f>D13</f>
        <v>0</v>
      </c>
      <c r="F35" s="265">
        <f t="shared" ref="F35:AH35" si="31">F30*$E$35</f>
        <v>0</v>
      </c>
      <c r="G35" s="265">
        <f t="shared" si="31"/>
        <v>0</v>
      </c>
      <c r="H35" s="265">
        <f t="shared" si="31"/>
        <v>0</v>
      </c>
      <c r="I35" s="265">
        <f t="shared" si="31"/>
        <v>0</v>
      </c>
      <c r="J35" s="265">
        <f t="shared" si="31"/>
        <v>0</v>
      </c>
      <c r="K35" s="265">
        <f t="shared" si="31"/>
        <v>0</v>
      </c>
      <c r="L35" s="265">
        <f t="shared" si="31"/>
        <v>0</v>
      </c>
      <c r="M35" s="265">
        <f t="shared" si="31"/>
        <v>0</v>
      </c>
      <c r="N35" s="265">
        <f t="shared" si="31"/>
        <v>0</v>
      </c>
      <c r="O35" s="265">
        <f t="shared" si="31"/>
        <v>0</v>
      </c>
      <c r="P35" s="265">
        <f t="shared" si="31"/>
        <v>0</v>
      </c>
      <c r="Q35" s="265">
        <f t="shared" si="31"/>
        <v>0</v>
      </c>
      <c r="R35" s="265">
        <f t="shared" si="31"/>
        <v>0</v>
      </c>
      <c r="S35" s="265">
        <f t="shared" si="31"/>
        <v>0</v>
      </c>
      <c r="T35" s="265">
        <f t="shared" si="31"/>
        <v>0</v>
      </c>
      <c r="U35" s="265">
        <f t="shared" si="31"/>
        <v>0</v>
      </c>
      <c r="V35" s="265">
        <f t="shared" si="31"/>
        <v>0</v>
      </c>
      <c r="W35" s="265">
        <f t="shared" si="31"/>
        <v>0</v>
      </c>
      <c r="X35" s="265">
        <f t="shared" si="31"/>
        <v>0</v>
      </c>
      <c r="Y35" s="265">
        <f t="shared" si="31"/>
        <v>0</v>
      </c>
      <c r="Z35" s="265">
        <f t="shared" si="31"/>
        <v>0</v>
      </c>
      <c r="AA35" s="265">
        <f t="shared" si="31"/>
        <v>0</v>
      </c>
      <c r="AB35" s="265">
        <f t="shared" si="31"/>
        <v>0</v>
      </c>
      <c r="AC35" s="265">
        <f t="shared" si="31"/>
        <v>0</v>
      </c>
      <c r="AD35" s="265">
        <f t="shared" si="31"/>
        <v>0</v>
      </c>
      <c r="AE35" s="265">
        <f t="shared" si="31"/>
        <v>0</v>
      </c>
      <c r="AF35" s="265">
        <f t="shared" si="31"/>
        <v>0</v>
      </c>
      <c r="AG35" s="265">
        <f t="shared" si="31"/>
        <v>0</v>
      </c>
      <c r="AH35" s="265">
        <f t="shared" si="31"/>
        <v>0</v>
      </c>
      <c r="AI35" s="265">
        <f t="shared" ref="AI35:AJ35" si="32">AI30*$E$35</f>
        <v>0</v>
      </c>
      <c r="AJ35" s="265">
        <f t="shared" si="32"/>
        <v>0</v>
      </c>
    </row>
    <row r="36" spans="1:36" x14ac:dyDescent="0.15">
      <c r="A36" s="505"/>
      <c r="B36" s="455">
        <f>(F36*12)</f>
        <v>0</v>
      </c>
      <c r="C36" s="508" t="str">
        <f>C31</f>
        <v>Other</v>
      </c>
      <c r="D36" s="133">
        <f>D31*D14*12</f>
        <v>0</v>
      </c>
      <c r="E36" s="320">
        <f>D14</f>
        <v>0</v>
      </c>
      <c r="F36" s="321">
        <f t="shared" ref="F36:AH36" si="33">F31*$E$36</f>
        <v>0</v>
      </c>
      <c r="G36" s="321">
        <f t="shared" si="33"/>
        <v>0</v>
      </c>
      <c r="H36" s="321">
        <f t="shared" si="33"/>
        <v>0</v>
      </c>
      <c r="I36" s="265">
        <f t="shared" si="33"/>
        <v>0</v>
      </c>
      <c r="J36" s="265">
        <f t="shared" si="33"/>
        <v>0</v>
      </c>
      <c r="K36" s="265">
        <f t="shared" si="33"/>
        <v>0</v>
      </c>
      <c r="L36" s="265">
        <f t="shared" si="33"/>
        <v>0</v>
      </c>
      <c r="M36" s="265">
        <f t="shared" si="33"/>
        <v>0</v>
      </c>
      <c r="N36" s="265">
        <f t="shared" si="33"/>
        <v>0</v>
      </c>
      <c r="O36" s="265">
        <f t="shared" si="33"/>
        <v>0</v>
      </c>
      <c r="P36" s="265">
        <f t="shared" si="33"/>
        <v>0</v>
      </c>
      <c r="Q36" s="265">
        <f t="shared" si="33"/>
        <v>0</v>
      </c>
      <c r="R36" s="265">
        <f t="shared" si="33"/>
        <v>0</v>
      </c>
      <c r="S36" s="265">
        <f t="shared" si="33"/>
        <v>0</v>
      </c>
      <c r="T36" s="265">
        <f t="shared" si="33"/>
        <v>0</v>
      </c>
      <c r="U36" s="265">
        <f t="shared" si="33"/>
        <v>0</v>
      </c>
      <c r="V36" s="265">
        <f t="shared" si="33"/>
        <v>0</v>
      </c>
      <c r="W36" s="265">
        <f t="shared" si="33"/>
        <v>0</v>
      </c>
      <c r="X36" s="265">
        <f t="shared" si="33"/>
        <v>0</v>
      </c>
      <c r="Y36" s="265">
        <f t="shared" si="33"/>
        <v>0</v>
      </c>
      <c r="Z36" s="265">
        <f t="shared" si="33"/>
        <v>0</v>
      </c>
      <c r="AA36" s="265">
        <f t="shared" si="33"/>
        <v>0</v>
      </c>
      <c r="AB36" s="265">
        <f t="shared" si="33"/>
        <v>0</v>
      </c>
      <c r="AC36" s="265">
        <f t="shared" si="33"/>
        <v>0</v>
      </c>
      <c r="AD36" s="265">
        <f t="shared" si="33"/>
        <v>0</v>
      </c>
      <c r="AE36" s="265">
        <f t="shared" si="33"/>
        <v>0</v>
      </c>
      <c r="AF36" s="265">
        <f t="shared" si="33"/>
        <v>0</v>
      </c>
      <c r="AG36" s="265">
        <f t="shared" si="33"/>
        <v>0</v>
      </c>
      <c r="AH36" s="265">
        <f t="shared" si="33"/>
        <v>0</v>
      </c>
      <c r="AI36" s="265">
        <f t="shared" ref="AI36:AJ36" si="34">AI31*$E$36</f>
        <v>0</v>
      </c>
      <c r="AJ36" s="265">
        <f t="shared" si="34"/>
        <v>0</v>
      </c>
    </row>
    <row r="37" spans="1:36" s="35" customFormat="1" ht="12" x14ac:dyDescent="0.15">
      <c r="B37" s="456"/>
      <c r="D37" s="276" t="s">
        <v>242</v>
      </c>
      <c r="E37" s="277">
        <f>F12</f>
        <v>39</v>
      </c>
      <c r="F37" s="278">
        <f>E37</f>
        <v>39</v>
      </c>
      <c r="G37" s="278">
        <f t="shared" ref="G37:AH37" si="35">MAX($E$38*$D$12,F37-$J$7)</f>
        <v>24</v>
      </c>
      <c r="H37" s="278">
        <f t="shared" si="35"/>
        <v>9</v>
      </c>
      <c r="I37" s="278">
        <f t="shared" si="35"/>
        <v>9</v>
      </c>
      <c r="J37" s="278">
        <f t="shared" si="35"/>
        <v>9</v>
      </c>
      <c r="K37" s="278">
        <f t="shared" si="35"/>
        <v>9</v>
      </c>
      <c r="L37" s="278">
        <f t="shared" si="35"/>
        <v>9</v>
      </c>
      <c r="M37" s="278">
        <f t="shared" si="35"/>
        <v>9</v>
      </c>
      <c r="N37" s="278">
        <f t="shared" si="35"/>
        <v>9</v>
      </c>
      <c r="O37" s="278">
        <f t="shared" si="35"/>
        <v>9</v>
      </c>
      <c r="P37" s="278">
        <f t="shared" si="35"/>
        <v>9</v>
      </c>
      <c r="Q37" s="278">
        <f t="shared" si="35"/>
        <v>9</v>
      </c>
      <c r="R37" s="278">
        <f t="shared" si="35"/>
        <v>9</v>
      </c>
      <c r="S37" s="278">
        <f t="shared" si="35"/>
        <v>9</v>
      </c>
      <c r="T37" s="278">
        <f t="shared" si="35"/>
        <v>9</v>
      </c>
      <c r="U37" s="278">
        <f t="shared" si="35"/>
        <v>9</v>
      </c>
      <c r="V37" s="278">
        <f t="shared" si="35"/>
        <v>9</v>
      </c>
      <c r="W37" s="278">
        <f t="shared" si="35"/>
        <v>9</v>
      </c>
      <c r="X37" s="278">
        <f t="shared" si="35"/>
        <v>9</v>
      </c>
      <c r="Y37" s="278">
        <f t="shared" si="35"/>
        <v>9</v>
      </c>
      <c r="Z37" s="278">
        <f t="shared" si="35"/>
        <v>9</v>
      </c>
      <c r="AA37" s="278">
        <f t="shared" si="35"/>
        <v>9</v>
      </c>
      <c r="AB37" s="278">
        <f t="shared" si="35"/>
        <v>9</v>
      </c>
      <c r="AC37" s="278">
        <f t="shared" si="35"/>
        <v>9</v>
      </c>
      <c r="AD37" s="278">
        <f t="shared" si="35"/>
        <v>9</v>
      </c>
      <c r="AE37" s="278">
        <f t="shared" si="35"/>
        <v>9</v>
      </c>
      <c r="AF37" s="278">
        <f t="shared" si="35"/>
        <v>9</v>
      </c>
      <c r="AG37" s="278">
        <f t="shared" si="35"/>
        <v>9</v>
      </c>
      <c r="AH37" s="278">
        <f t="shared" si="35"/>
        <v>9</v>
      </c>
      <c r="AI37" s="278">
        <f t="shared" ref="AI37" si="36">MAX($E$38*$D$12,AH37-$J$7)</f>
        <v>9</v>
      </c>
      <c r="AJ37" s="278">
        <f t="shared" ref="AJ37" si="37">MAX($E$38*$D$12,AI37-$J$7)</f>
        <v>9</v>
      </c>
    </row>
    <row r="38" spans="1:36" x14ac:dyDescent="0.15">
      <c r="A38" s="505"/>
      <c r="B38" s="455">
        <f t="shared" ref="B38:B41" si="38">(F38*12)</f>
        <v>-264420</v>
      </c>
      <c r="C38" s="508" t="str">
        <f>C34&amp;" Min Vacancy Rate"</f>
        <v>MH  Min Vacancy Rate</v>
      </c>
      <c r="D38" s="136">
        <v>0</v>
      </c>
      <c r="E38" s="267">
        <v>0.09</v>
      </c>
      <c r="F38" s="265">
        <f>-F34*F37/$D$12</f>
        <v>-22035</v>
      </c>
      <c r="G38" s="265">
        <f t="shared" ref="G38:AH38" si="39">-G34*G37/$D$12</f>
        <v>-13560</v>
      </c>
      <c r="H38" s="265">
        <f t="shared" si="39"/>
        <v>-5085</v>
      </c>
      <c r="I38" s="265">
        <f t="shared" si="39"/>
        <v>-5288.4</v>
      </c>
      <c r="J38" s="265">
        <f t="shared" si="39"/>
        <v>-5499.9359999999997</v>
      </c>
      <c r="K38" s="265">
        <f t="shared" si="39"/>
        <v>-5719.9334400000007</v>
      </c>
      <c r="L38" s="265">
        <f t="shared" si="39"/>
        <v>-5948.7307776000016</v>
      </c>
      <c r="M38" s="265">
        <f t="shared" si="39"/>
        <v>-6186.680008704001</v>
      </c>
      <c r="N38" s="265">
        <f t="shared" si="39"/>
        <v>-6434.1472090521629</v>
      </c>
      <c r="O38" s="265">
        <f t="shared" si="39"/>
        <v>-6691.5130974142485</v>
      </c>
      <c r="P38" s="265">
        <f t="shared" si="39"/>
        <v>-6959.1736213108188</v>
      </c>
      <c r="Q38" s="265">
        <f t="shared" si="39"/>
        <v>-7237.5405661632512</v>
      </c>
      <c r="R38" s="265">
        <f t="shared" si="39"/>
        <v>-7527.0421888097826</v>
      </c>
      <c r="S38" s="265">
        <f t="shared" si="39"/>
        <v>-7828.1238763621741</v>
      </c>
      <c r="T38" s="265">
        <f t="shared" si="39"/>
        <v>-8141.2488314166603</v>
      </c>
      <c r="U38" s="265">
        <f t="shared" si="39"/>
        <v>-8466.8987846733289</v>
      </c>
      <c r="V38" s="265">
        <f t="shared" si="39"/>
        <v>-8805.5747360602618</v>
      </c>
      <c r="W38" s="265">
        <f t="shared" si="39"/>
        <v>-9157.7977255026726</v>
      </c>
      <c r="X38" s="265">
        <f t="shared" si="39"/>
        <v>-9524.1096345227797</v>
      </c>
      <c r="Y38" s="265">
        <f t="shared" si="39"/>
        <v>-9905.0740199036918</v>
      </c>
      <c r="Z38" s="265">
        <f t="shared" si="39"/>
        <v>-10301.27698069984</v>
      </c>
      <c r="AA38" s="265">
        <f t="shared" si="39"/>
        <v>-10713.328059927833</v>
      </c>
      <c r="AB38" s="265">
        <f t="shared" si="39"/>
        <v>-11141.861182324948</v>
      </c>
      <c r="AC38" s="265">
        <f t="shared" si="39"/>
        <v>-11587.535629617947</v>
      </c>
      <c r="AD38" s="265">
        <f t="shared" si="39"/>
        <v>-12051.037054802664</v>
      </c>
      <c r="AE38" s="265">
        <f t="shared" si="39"/>
        <v>-12533.078536994772</v>
      </c>
      <c r="AF38" s="265">
        <f t="shared" si="39"/>
        <v>-13034.401678474564</v>
      </c>
      <c r="AG38" s="265">
        <f t="shared" si="39"/>
        <v>-13555.777745613546</v>
      </c>
      <c r="AH38" s="265">
        <f t="shared" si="39"/>
        <v>-14098.008855438087</v>
      </c>
      <c r="AI38" s="265">
        <f t="shared" ref="AI38:AJ38" si="40">-AI34*AI37/$D$12</f>
        <v>-14661.929209655615</v>
      </c>
      <c r="AJ38" s="265">
        <f t="shared" si="40"/>
        <v>-15248.406378041838</v>
      </c>
    </row>
    <row r="39" spans="1:36" x14ac:dyDescent="0.15">
      <c r="A39" s="505"/>
      <c r="B39" s="455">
        <f t="shared" si="38"/>
        <v>0</v>
      </c>
      <c r="C39" s="508" t="str">
        <f>C35&amp;" Min Vacancy Rate"</f>
        <v>RV Min Vacancy Rate</v>
      </c>
      <c r="D39" s="136">
        <v>0</v>
      </c>
      <c r="E39" s="267">
        <v>0.05</v>
      </c>
      <c r="F39" s="265">
        <f>$E$39*-F35</f>
        <v>0</v>
      </c>
      <c r="G39" s="265">
        <f t="shared" ref="G39:AH39" si="41">$E$39*-G35</f>
        <v>0</v>
      </c>
      <c r="H39" s="265">
        <f t="shared" si="41"/>
        <v>0</v>
      </c>
      <c r="I39" s="265">
        <f t="shared" si="41"/>
        <v>0</v>
      </c>
      <c r="J39" s="265">
        <f t="shared" si="41"/>
        <v>0</v>
      </c>
      <c r="K39" s="265">
        <f t="shared" si="41"/>
        <v>0</v>
      </c>
      <c r="L39" s="265">
        <f t="shared" si="41"/>
        <v>0</v>
      </c>
      <c r="M39" s="265">
        <f t="shared" si="41"/>
        <v>0</v>
      </c>
      <c r="N39" s="265">
        <f t="shared" si="41"/>
        <v>0</v>
      </c>
      <c r="O39" s="265">
        <f t="shared" si="41"/>
        <v>0</v>
      </c>
      <c r="P39" s="265">
        <f t="shared" si="41"/>
        <v>0</v>
      </c>
      <c r="Q39" s="265">
        <f t="shared" si="41"/>
        <v>0</v>
      </c>
      <c r="R39" s="265">
        <f t="shared" si="41"/>
        <v>0</v>
      </c>
      <c r="S39" s="265">
        <f t="shared" si="41"/>
        <v>0</v>
      </c>
      <c r="T39" s="265">
        <f t="shared" si="41"/>
        <v>0</v>
      </c>
      <c r="U39" s="265">
        <f t="shared" si="41"/>
        <v>0</v>
      </c>
      <c r="V39" s="265">
        <f t="shared" si="41"/>
        <v>0</v>
      </c>
      <c r="W39" s="265">
        <f t="shared" si="41"/>
        <v>0</v>
      </c>
      <c r="X39" s="265">
        <f t="shared" si="41"/>
        <v>0</v>
      </c>
      <c r="Y39" s="265">
        <f t="shared" si="41"/>
        <v>0</v>
      </c>
      <c r="Z39" s="265">
        <f t="shared" si="41"/>
        <v>0</v>
      </c>
      <c r="AA39" s="265">
        <f t="shared" si="41"/>
        <v>0</v>
      </c>
      <c r="AB39" s="265">
        <f t="shared" si="41"/>
        <v>0</v>
      </c>
      <c r="AC39" s="265">
        <f t="shared" si="41"/>
        <v>0</v>
      </c>
      <c r="AD39" s="265">
        <f t="shared" si="41"/>
        <v>0</v>
      </c>
      <c r="AE39" s="265">
        <f t="shared" si="41"/>
        <v>0</v>
      </c>
      <c r="AF39" s="265">
        <f t="shared" si="41"/>
        <v>0</v>
      </c>
      <c r="AG39" s="265">
        <f t="shared" si="41"/>
        <v>0</v>
      </c>
      <c r="AH39" s="265">
        <f t="shared" si="41"/>
        <v>0</v>
      </c>
      <c r="AI39" s="265">
        <f t="shared" ref="AI39:AJ39" si="42">$E$39*-AI35</f>
        <v>0</v>
      </c>
      <c r="AJ39" s="265">
        <f t="shared" si="42"/>
        <v>0</v>
      </c>
    </row>
    <row r="40" spans="1:36" x14ac:dyDescent="0.15">
      <c r="A40" s="505"/>
      <c r="B40" s="455">
        <f t="shared" si="38"/>
        <v>0</v>
      </c>
      <c r="C40" s="508" t="str">
        <f t="shared" ref="C40" si="43">C36&amp;" Min Vacancy Rate"</f>
        <v>Other Min Vacancy Rate</v>
      </c>
      <c r="D40" s="136">
        <v>0</v>
      </c>
      <c r="E40" s="267">
        <v>0.05</v>
      </c>
      <c r="F40" s="265">
        <f t="shared" ref="F40:AH40" si="44">$E$40*-F36</f>
        <v>0</v>
      </c>
      <c r="G40" s="265">
        <f t="shared" si="44"/>
        <v>0</v>
      </c>
      <c r="H40" s="265">
        <f t="shared" si="44"/>
        <v>0</v>
      </c>
      <c r="I40" s="265">
        <f t="shared" si="44"/>
        <v>0</v>
      </c>
      <c r="J40" s="265">
        <f t="shared" si="44"/>
        <v>0</v>
      </c>
      <c r="K40" s="265">
        <f t="shared" si="44"/>
        <v>0</v>
      </c>
      <c r="L40" s="265">
        <f t="shared" si="44"/>
        <v>0</v>
      </c>
      <c r="M40" s="265">
        <f t="shared" si="44"/>
        <v>0</v>
      </c>
      <c r="N40" s="265">
        <f t="shared" si="44"/>
        <v>0</v>
      </c>
      <c r="O40" s="265">
        <f t="shared" si="44"/>
        <v>0</v>
      </c>
      <c r="P40" s="265">
        <f t="shared" si="44"/>
        <v>0</v>
      </c>
      <c r="Q40" s="265">
        <f t="shared" si="44"/>
        <v>0</v>
      </c>
      <c r="R40" s="265">
        <f t="shared" si="44"/>
        <v>0</v>
      </c>
      <c r="S40" s="265">
        <f t="shared" si="44"/>
        <v>0</v>
      </c>
      <c r="T40" s="265">
        <f t="shared" si="44"/>
        <v>0</v>
      </c>
      <c r="U40" s="265">
        <f t="shared" si="44"/>
        <v>0</v>
      </c>
      <c r="V40" s="265">
        <f t="shared" si="44"/>
        <v>0</v>
      </c>
      <c r="W40" s="265">
        <f t="shared" si="44"/>
        <v>0</v>
      </c>
      <c r="X40" s="265">
        <f t="shared" si="44"/>
        <v>0</v>
      </c>
      <c r="Y40" s="265">
        <f t="shared" si="44"/>
        <v>0</v>
      </c>
      <c r="Z40" s="265">
        <f t="shared" si="44"/>
        <v>0</v>
      </c>
      <c r="AA40" s="265">
        <f t="shared" si="44"/>
        <v>0</v>
      </c>
      <c r="AB40" s="265">
        <f t="shared" si="44"/>
        <v>0</v>
      </c>
      <c r="AC40" s="265">
        <f t="shared" si="44"/>
        <v>0</v>
      </c>
      <c r="AD40" s="265">
        <f t="shared" si="44"/>
        <v>0</v>
      </c>
      <c r="AE40" s="265">
        <f t="shared" si="44"/>
        <v>0</v>
      </c>
      <c r="AF40" s="265">
        <f t="shared" si="44"/>
        <v>0</v>
      </c>
      <c r="AG40" s="265">
        <f t="shared" si="44"/>
        <v>0</v>
      </c>
      <c r="AH40" s="265">
        <f t="shared" si="44"/>
        <v>0</v>
      </c>
      <c r="AI40" s="265">
        <f t="shared" ref="AI40:AJ40" si="45">$E$40*-AI36</f>
        <v>0</v>
      </c>
      <c r="AJ40" s="265">
        <f t="shared" si="45"/>
        <v>0</v>
      </c>
    </row>
    <row r="41" spans="1:36" ht="14" thickBot="1" x14ac:dyDescent="0.2">
      <c r="A41" s="529">
        <v>410100</v>
      </c>
      <c r="B41" s="588">
        <f t="shared" si="38"/>
        <v>413580</v>
      </c>
      <c r="C41" s="589" t="s">
        <v>243</v>
      </c>
      <c r="D41" s="590">
        <f>(SUM(D34:D36)+SUM(D38:D40))</f>
        <v>702000</v>
      </c>
      <c r="E41" s="591">
        <f>F41*12</f>
        <v>413580</v>
      </c>
      <c r="F41" s="592">
        <f t="shared" ref="F41:AH41" si="46">SUM(F34:F36)+SUM(F38:F40)</f>
        <v>34465</v>
      </c>
      <c r="G41" s="592">
        <f t="shared" si="46"/>
        <v>42940</v>
      </c>
      <c r="H41" s="592">
        <f t="shared" si="46"/>
        <v>51415</v>
      </c>
      <c r="I41" s="592">
        <f t="shared" si="46"/>
        <v>53471.6</v>
      </c>
      <c r="J41" s="592">
        <f t="shared" si="46"/>
        <v>55610.464</v>
      </c>
      <c r="K41" s="592">
        <f t="shared" si="46"/>
        <v>57834.882560000005</v>
      </c>
      <c r="L41" s="592">
        <f t="shared" si="46"/>
        <v>60148.277862400013</v>
      </c>
      <c r="M41" s="592">
        <f t="shared" si="46"/>
        <v>62554.208976896014</v>
      </c>
      <c r="N41" s="592">
        <f t="shared" si="46"/>
        <v>65056.377335971869</v>
      </c>
      <c r="O41" s="592">
        <f t="shared" si="46"/>
        <v>67658.632429410733</v>
      </c>
      <c r="P41" s="592">
        <f t="shared" si="46"/>
        <v>70364.977726587167</v>
      </c>
      <c r="Q41" s="592">
        <f t="shared" si="46"/>
        <v>73179.57683565066</v>
      </c>
      <c r="R41" s="592">
        <f t="shared" si="46"/>
        <v>76106.759909076703</v>
      </c>
      <c r="S41" s="592">
        <f t="shared" si="46"/>
        <v>79151.030305439752</v>
      </c>
      <c r="T41" s="592">
        <f t="shared" si="46"/>
        <v>82317.071517657358</v>
      </c>
      <c r="U41" s="592">
        <f t="shared" si="46"/>
        <v>85609.754378363665</v>
      </c>
      <c r="V41" s="592">
        <f t="shared" si="46"/>
        <v>89034.144553498219</v>
      </c>
      <c r="W41" s="592">
        <f t="shared" si="46"/>
        <v>92595.51033563813</v>
      </c>
      <c r="X41" s="592">
        <f t="shared" si="46"/>
        <v>96299.330749063665</v>
      </c>
      <c r="Y41" s="592">
        <f t="shared" si="46"/>
        <v>100151.30397902621</v>
      </c>
      <c r="Z41" s="592">
        <f t="shared" si="46"/>
        <v>104157.35613818727</v>
      </c>
      <c r="AA41" s="592">
        <f t="shared" si="46"/>
        <v>108323.65038371476</v>
      </c>
      <c r="AB41" s="592">
        <f t="shared" si="46"/>
        <v>112656.59639906336</v>
      </c>
      <c r="AC41" s="592">
        <f t="shared" si="46"/>
        <v>117162.86025502589</v>
      </c>
      <c r="AD41" s="592">
        <f t="shared" si="46"/>
        <v>121849.37466522693</v>
      </c>
      <c r="AE41" s="592">
        <f t="shared" si="46"/>
        <v>126723.34965183602</v>
      </c>
      <c r="AF41" s="592">
        <f t="shared" si="46"/>
        <v>131792.28363790948</v>
      </c>
      <c r="AG41" s="592">
        <f t="shared" si="46"/>
        <v>137063.97498342587</v>
      </c>
      <c r="AH41" s="592">
        <f t="shared" si="46"/>
        <v>142546.53398276289</v>
      </c>
      <c r="AI41" s="592">
        <f t="shared" ref="AI41:AJ41" si="47">SUM(AI34:AI36)+SUM(AI38:AI40)</f>
        <v>148248.39534207343</v>
      </c>
      <c r="AJ41" s="592">
        <f t="shared" si="47"/>
        <v>154178.33115575637</v>
      </c>
    </row>
    <row r="42" spans="1:36" ht="14" thickTop="1" x14ac:dyDescent="0.15">
      <c r="A42" s="505"/>
      <c r="C42" s="540"/>
      <c r="D42" s="25"/>
      <c r="E42" s="323"/>
      <c r="F42" s="461" t="s">
        <v>244</v>
      </c>
      <c r="G42" s="461" t="s">
        <v>245</v>
      </c>
      <c r="H42" s="462" t="s">
        <v>246</v>
      </c>
      <c r="I42" s="462" t="s">
        <v>247</v>
      </c>
      <c r="J42" s="462" t="s">
        <v>248</v>
      </c>
      <c r="K42" s="462" t="s">
        <v>249</v>
      </c>
      <c r="L42" s="462" t="s">
        <v>250</v>
      </c>
      <c r="M42" s="505"/>
      <c r="N42" s="463" t="s">
        <v>251</v>
      </c>
      <c r="O42" s="463" t="s">
        <v>252</v>
      </c>
      <c r="P42" s="464" t="s">
        <v>253</v>
      </c>
      <c r="Q42" s="464" t="s">
        <v>254</v>
      </c>
      <c r="R42" s="464" t="s">
        <v>255</v>
      </c>
      <c r="S42" s="464" t="s">
        <v>256</v>
      </c>
      <c r="T42" s="464" t="s">
        <v>257</v>
      </c>
      <c r="U42" s="505"/>
      <c r="V42" s="505"/>
      <c r="W42" s="505"/>
      <c r="X42" s="505"/>
      <c r="Y42" s="505"/>
      <c r="Z42" s="505"/>
      <c r="AA42" s="505"/>
      <c r="AB42" s="505"/>
      <c r="AC42" s="505"/>
      <c r="AD42" s="505"/>
      <c r="AE42" s="505"/>
      <c r="AF42" s="505"/>
      <c r="AG42" s="505"/>
      <c r="AH42" s="505"/>
      <c r="AI42" s="505"/>
      <c r="AJ42" s="505"/>
    </row>
    <row r="43" spans="1:36" ht="16" x14ac:dyDescent="0.3">
      <c r="A43" s="505"/>
      <c r="C43" s="11" t="s">
        <v>258</v>
      </c>
      <c r="D43" s="26" t="s">
        <v>259</v>
      </c>
      <c r="E43" s="324" t="s">
        <v>259</v>
      </c>
      <c r="F43" s="466">
        <f ca="1">F48/F63</f>
        <v>1.0524542309685621</v>
      </c>
      <c r="G43" s="466" t="e">
        <f ca="1">F47/F62</f>
        <v>#DIV/0!</v>
      </c>
      <c r="H43" s="466">
        <f ca="1">(F47+F48)/(F62+F63)</f>
        <v>1.0524542309685621</v>
      </c>
      <c r="I43" s="466">
        <f ca="1">F46/F61</f>
        <v>1.0765782460599</v>
      </c>
      <c r="J43" s="466">
        <f ca="1">F44/F59</f>
        <v>0</v>
      </c>
      <c r="K43" s="466" t="e">
        <f ca="1">F45/F60</f>
        <v>#DIV/0!</v>
      </c>
      <c r="L43" s="466">
        <f ca="1">SUM(F44:F48)/SUM(F59:F63)</f>
        <v>0.95488851473803604</v>
      </c>
      <c r="M43" s="505"/>
      <c r="N43" s="465">
        <f>+F48/OccPadsNum</f>
        <v>15.702185792349727</v>
      </c>
      <c r="O43" s="465">
        <f>+F47/OccPadsNum</f>
        <v>0</v>
      </c>
      <c r="P43" s="465">
        <f>+(F47+F48)/OccPadsNum</f>
        <v>15.702185792349727</v>
      </c>
      <c r="Q43" s="465">
        <f>+F46/OccPadsNum</f>
        <v>20</v>
      </c>
      <c r="R43" s="465">
        <f>+F44/OccPadsNum</f>
        <v>0</v>
      </c>
      <c r="S43" s="465">
        <f>+F45/OccPadsNum</f>
        <v>0</v>
      </c>
      <c r="T43" s="664">
        <f>SUM(F44:F48)/OccPadsNum</f>
        <v>35.702185792349731</v>
      </c>
      <c r="U43" s="505"/>
      <c r="V43" s="505"/>
      <c r="W43" s="505"/>
      <c r="X43" s="505"/>
      <c r="Y43" s="505"/>
      <c r="Z43" s="505"/>
      <c r="AA43" s="505"/>
      <c r="AB43" s="505"/>
      <c r="AC43" s="505"/>
      <c r="AD43" s="505"/>
      <c r="AE43" s="505"/>
      <c r="AF43" s="505"/>
      <c r="AG43" s="505"/>
      <c r="AH43" s="505"/>
      <c r="AI43" s="505"/>
      <c r="AJ43" s="505"/>
    </row>
    <row r="44" spans="1:36" x14ac:dyDescent="0.15">
      <c r="A44" s="529">
        <v>440400</v>
      </c>
      <c r="B44" s="457">
        <f t="shared" ref="B44:B53" si="48">(F44*12)</f>
        <v>0</v>
      </c>
      <c r="C44" s="508" t="s">
        <v>260</v>
      </c>
      <c r="D44" s="133">
        <v>0</v>
      </c>
      <c r="E44" s="267"/>
      <c r="F44" s="265">
        <f>D44/12</f>
        <v>0</v>
      </c>
      <c r="G44" s="265">
        <f t="shared" ref="G44:AH44" si="49">F44*(1+GlobalInflation)</f>
        <v>0</v>
      </c>
      <c r="H44" s="265">
        <f t="shared" si="49"/>
        <v>0</v>
      </c>
      <c r="I44" s="265">
        <f t="shared" si="49"/>
        <v>0</v>
      </c>
      <c r="J44" s="265">
        <f t="shared" si="49"/>
        <v>0</v>
      </c>
      <c r="K44" s="265">
        <f t="shared" si="49"/>
        <v>0</v>
      </c>
      <c r="L44" s="265">
        <f t="shared" si="49"/>
        <v>0</v>
      </c>
      <c r="M44" s="265">
        <f t="shared" si="49"/>
        <v>0</v>
      </c>
      <c r="N44" s="265">
        <f t="shared" si="49"/>
        <v>0</v>
      </c>
      <c r="O44" s="265">
        <f t="shared" si="49"/>
        <v>0</v>
      </c>
      <c r="P44" s="265">
        <f t="shared" si="49"/>
        <v>0</v>
      </c>
      <c r="Q44" s="265">
        <f t="shared" si="49"/>
        <v>0</v>
      </c>
      <c r="R44" s="265">
        <f t="shared" si="49"/>
        <v>0</v>
      </c>
      <c r="S44" s="265">
        <f t="shared" si="49"/>
        <v>0</v>
      </c>
      <c r="T44" s="265">
        <f t="shared" si="49"/>
        <v>0</v>
      </c>
      <c r="U44" s="265">
        <f t="shared" si="49"/>
        <v>0</v>
      </c>
      <c r="V44" s="265">
        <f t="shared" si="49"/>
        <v>0</v>
      </c>
      <c r="W44" s="265">
        <f t="shared" si="49"/>
        <v>0</v>
      </c>
      <c r="X44" s="265">
        <f t="shared" si="49"/>
        <v>0</v>
      </c>
      <c r="Y44" s="265">
        <f t="shared" si="49"/>
        <v>0</v>
      </c>
      <c r="Z44" s="265">
        <f t="shared" si="49"/>
        <v>0</v>
      </c>
      <c r="AA44" s="265">
        <f t="shared" si="49"/>
        <v>0</v>
      </c>
      <c r="AB44" s="265">
        <f t="shared" si="49"/>
        <v>0</v>
      </c>
      <c r="AC44" s="265">
        <f t="shared" si="49"/>
        <v>0</v>
      </c>
      <c r="AD44" s="265">
        <f t="shared" si="49"/>
        <v>0</v>
      </c>
      <c r="AE44" s="265">
        <f t="shared" si="49"/>
        <v>0</v>
      </c>
      <c r="AF44" s="265">
        <f t="shared" si="49"/>
        <v>0</v>
      </c>
      <c r="AG44" s="265">
        <f t="shared" si="49"/>
        <v>0</v>
      </c>
      <c r="AH44" s="265">
        <f t="shared" si="49"/>
        <v>0</v>
      </c>
      <c r="AI44" s="265">
        <f t="shared" ref="AI44:AI49" si="50">AH44*(1+GlobalInflation)</f>
        <v>0</v>
      </c>
      <c r="AJ44" s="265">
        <f t="shared" ref="AJ44:AJ49" si="51">AI44*(1+GlobalInflation)</f>
        <v>0</v>
      </c>
    </row>
    <row r="45" spans="1:36" x14ac:dyDescent="0.15">
      <c r="A45" s="529">
        <v>440100</v>
      </c>
      <c r="B45" s="457">
        <f t="shared" si="48"/>
        <v>0</v>
      </c>
      <c r="C45" s="508" t="s">
        <v>261</v>
      </c>
      <c r="D45" s="133">
        <v>0</v>
      </c>
      <c r="E45" s="267"/>
      <c r="F45" s="265">
        <f t="shared" ref="F45:F49" si="52">D45/12</f>
        <v>0</v>
      </c>
      <c r="G45" s="265">
        <f t="shared" ref="G45:AH45" si="53">F45*(1+GlobalInflation)</f>
        <v>0</v>
      </c>
      <c r="H45" s="265">
        <f t="shared" si="53"/>
        <v>0</v>
      </c>
      <c r="I45" s="265">
        <f t="shared" si="53"/>
        <v>0</v>
      </c>
      <c r="J45" s="265">
        <f t="shared" si="53"/>
        <v>0</v>
      </c>
      <c r="K45" s="265">
        <f t="shared" si="53"/>
        <v>0</v>
      </c>
      <c r="L45" s="265">
        <f t="shared" si="53"/>
        <v>0</v>
      </c>
      <c r="M45" s="265">
        <f t="shared" si="53"/>
        <v>0</v>
      </c>
      <c r="N45" s="265">
        <f t="shared" si="53"/>
        <v>0</v>
      </c>
      <c r="O45" s="265">
        <f t="shared" si="53"/>
        <v>0</v>
      </c>
      <c r="P45" s="265">
        <f t="shared" si="53"/>
        <v>0</v>
      </c>
      <c r="Q45" s="265">
        <f t="shared" si="53"/>
        <v>0</v>
      </c>
      <c r="R45" s="265">
        <f t="shared" si="53"/>
        <v>0</v>
      </c>
      <c r="S45" s="265">
        <f t="shared" si="53"/>
        <v>0</v>
      </c>
      <c r="T45" s="265">
        <f t="shared" si="53"/>
        <v>0</v>
      </c>
      <c r="U45" s="265">
        <f t="shared" si="53"/>
        <v>0</v>
      </c>
      <c r="V45" s="265">
        <f t="shared" si="53"/>
        <v>0</v>
      </c>
      <c r="W45" s="265">
        <f t="shared" si="53"/>
        <v>0</v>
      </c>
      <c r="X45" s="265">
        <f t="shared" si="53"/>
        <v>0</v>
      </c>
      <c r="Y45" s="265">
        <f t="shared" si="53"/>
        <v>0</v>
      </c>
      <c r="Z45" s="265">
        <f t="shared" si="53"/>
        <v>0</v>
      </c>
      <c r="AA45" s="265">
        <f t="shared" si="53"/>
        <v>0</v>
      </c>
      <c r="AB45" s="265">
        <f t="shared" si="53"/>
        <v>0</v>
      </c>
      <c r="AC45" s="265">
        <f t="shared" si="53"/>
        <v>0</v>
      </c>
      <c r="AD45" s="265">
        <f t="shared" si="53"/>
        <v>0</v>
      </c>
      <c r="AE45" s="265">
        <f t="shared" si="53"/>
        <v>0</v>
      </c>
      <c r="AF45" s="265">
        <f t="shared" si="53"/>
        <v>0</v>
      </c>
      <c r="AG45" s="265">
        <f t="shared" si="53"/>
        <v>0</v>
      </c>
      <c r="AH45" s="265">
        <f t="shared" si="53"/>
        <v>0</v>
      </c>
      <c r="AI45" s="265">
        <f t="shared" si="50"/>
        <v>0</v>
      </c>
      <c r="AJ45" s="265">
        <f t="shared" si="51"/>
        <v>0</v>
      </c>
    </row>
    <row r="46" spans="1:36" x14ac:dyDescent="0.15">
      <c r="A46" s="529">
        <v>440500</v>
      </c>
      <c r="B46" s="457">
        <f t="shared" si="48"/>
        <v>14640</v>
      </c>
      <c r="C46" s="508" t="s">
        <v>262</v>
      </c>
      <c r="D46" s="133">
        <v>0</v>
      </c>
      <c r="E46" s="267"/>
      <c r="F46" s="265">
        <f t="shared" ref="F46:AJ46" si="54">20*(NoOfSpaces-F37)</f>
        <v>1220</v>
      </c>
      <c r="G46" s="265">
        <f t="shared" si="54"/>
        <v>1520</v>
      </c>
      <c r="H46" s="265">
        <f t="shared" si="54"/>
        <v>1820</v>
      </c>
      <c r="I46" s="265">
        <f t="shared" si="54"/>
        <v>1820</v>
      </c>
      <c r="J46" s="265">
        <f t="shared" si="54"/>
        <v>1820</v>
      </c>
      <c r="K46" s="265">
        <f t="shared" si="54"/>
        <v>1820</v>
      </c>
      <c r="L46" s="265">
        <f t="shared" si="54"/>
        <v>1820</v>
      </c>
      <c r="M46" s="265">
        <f t="shared" si="54"/>
        <v>1820</v>
      </c>
      <c r="N46" s="265">
        <f t="shared" si="54"/>
        <v>1820</v>
      </c>
      <c r="O46" s="265">
        <f t="shared" si="54"/>
        <v>1820</v>
      </c>
      <c r="P46" s="265">
        <f t="shared" si="54"/>
        <v>1820</v>
      </c>
      <c r="Q46" s="265">
        <f t="shared" si="54"/>
        <v>1820</v>
      </c>
      <c r="R46" s="265">
        <f t="shared" si="54"/>
        <v>1820</v>
      </c>
      <c r="S46" s="265">
        <f t="shared" si="54"/>
        <v>1820</v>
      </c>
      <c r="T46" s="265">
        <f t="shared" si="54"/>
        <v>1820</v>
      </c>
      <c r="U46" s="265">
        <f t="shared" si="54"/>
        <v>1820</v>
      </c>
      <c r="V46" s="265">
        <f t="shared" si="54"/>
        <v>1820</v>
      </c>
      <c r="W46" s="265">
        <f t="shared" si="54"/>
        <v>1820</v>
      </c>
      <c r="X46" s="265">
        <f t="shared" si="54"/>
        <v>1820</v>
      </c>
      <c r="Y46" s="265">
        <f t="shared" si="54"/>
        <v>1820</v>
      </c>
      <c r="Z46" s="265">
        <f t="shared" si="54"/>
        <v>1820</v>
      </c>
      <c r="AA46" s="265">
        <f t="shared" si="54"/>
        <v>1820</v>
      </c>
      <c r="AB46" s="265">
        <f t="shared" si="54"/>
        <v>1820</v>
      </c>
      <c r="AC46" s="265">
        <f t="shared" si="54"/>
        <v>1820</v>
      </c>
      <c r="AD46" s="265">
        <f t="shared" si="54"/>
        <v>1820</v>
      </c>
      <c r="AE46" s="265">
        <f t="shared" si="54"/>
        <v>1820</v>
      </c>
      <c r="AF46" s="265">
        <f t="shared" si="54"/>
        <v>1820</v>
      </c>
      <c r="AG46" s="265">
        <f t="shared" si="54"/>
        <v>1820</v>
      </c>
      <c r="AH46" s="265">
        <f t="shared" si="54"/>
        <v>1820</v>
      </c>
      <c r="AI46" s="265">
        <f t="shared" si="54"/>
        <v>1820</v>
      </c>
      <c r="AJ46" s="265">
        <f t="shared" si="54"/>
        <v>1820</v>
      </c>
    </row>
    <row r="47" spans="1:36" x14ac:dyDescent="0.15">
      <c r="A47" s="529">
        <v>440300</v>
      </c>
      <c r="B47" s="457">
        <f t="shared" si="48"/>
        <v>0</v>
      </c>
      <c r="C47" s="508" t="s">
        <v>184</v>
      </c>
      <c r="D47" s="133">
        <v>0</v>
      </c>
      <c r="E47" s="267"/>
      <c r="F47" s="265">
        <f t="shared" si="52"/>
        <v>0</v>
      </c>
      <c r="G47" s="265">
        <f t="shared" ref="G47:AH47" si="55">F47*(1+GlobalInflation)</f>
        <v>0</v>
      </c>
      <c r="H47" s="265">
        <f t="shared" si="55"/>
        <v>0</v>
      </c>
      <c r="I47" s="265">
        <f t="shared" si="55"/>
        <v>0</v>
      </c>
      <c r="J47" s="265">
        <f t="shared" si="55"/>
        <v>0</v>
      </c>
      <c r="K47" s="265">
        <f t="shared" si="55"/>
        <v>0</v>
      </c>
      <c r="L47" s="265">
        <f t="shared" si="55"/>
        <v>0</v>
      </c>
      <c r="M47" s="265">
        <f t="shared" si="55"/>
        <v>0</v>
      </c>
      <c r="N47" s="265">
        <f t="shared" si="55"/>
        <v>0</v>
      </c>
      <c r="O47" s="265">
        <f t="shared" si="55"/>
        <v>0</v>
      </c>
      <c r="P47" s="265">
        <f t="shared" si="55"/>
        <v>0</v>
      </c>
      <c r="Q47" s="265">
        <f t="shared" si="55"/>
        <v>0</v>
      </c>
      <c r="R47" s="265">
        <f t="shared" si="55"/>
        <v>0</v>
      </c>
      <c r="S47" s="265">
        <f t="shared" si="55"/>
        <v>0</v>
      </c>
      <c r="T47" s="265">
        <f t="shared" si="55"/>
        <v>0</v>
      </c>
      <c r="U47" s="265">
        <f t="shared" si="55"/>
        <v>0</v>
      </c>
      <c r="V47" s="265">
        <f t="shared" si="55"/>
        <v>0</v>
      </c>
      <c r="W47" s="265">
        <f t="shared" si="55"/>
        <v>0</v>
      </c>
      <c r="X47" s="265">
        <f t="shared" si="55"/>
        <v>0</v>
      </c>
      <c r="Y47" s="265">
        <f t="shared" si="55"/>
        <v>0</v>
      </c>
      <c r="Z47" s="265">
        <f t="shared" si="55"/>
        <v>0</v>
      </c>
      <c r="AA47" s="265">
        <f t="shared" si="55"/>
        <v>0</v>
      </c>
      <c r="AB47" s="265">
        <f t="shared" si="55"/>
        <v>0</v>
      </c>
      <c r="AC47" s="265">
        <f t="shared" si="55"/>
        <v>0</v>
      </c>
      <c r="AD47" s="265">
        <f t="shared" si="55"/>
        <v>0</v>
      </c>
      <c r="AE47" s="265">
        <f t="shared" si="55"/>
        <v>0</v>
      </c>
      <c r="AF47" s="265">
        <f t="shared" si="55"/>
        <v>0</v>
      </c>
      <c r="AG47" s="265">
        <f t="shared" si="55"/>
        <v>0</v>
      </c>
      <c r="AH47" s="265">
        <f t="shared" si="55"/>
        <v>0</v>
      </c>
      <c r="AI47" s="265">
        <f t="shared" si="50"/>
        <v>0</v>
      </c>
      <c r="AJ47" s="265">
        <f t="shared" si="51"/>
        <v>0</v>
      </c>
    </row>
    <row r="48" spans="1:36" x14ac:dyDescent="0.15">
      <c r="A48" s="529">
        <v>440200</v>
      </c>
      <c r="B48" s="457">
        <f t="shared" si="48"/>
        <v>11494</v>
      </c>
      <c r="C48" s="508" t="s">
        <v>183</v>
      </c>
      <c r="D48" s="133">
        <v>11494</v>
      </c>
      <c r="E48" s="267"/>
      <c r="F48" s="265">
        <f t="shared" si="52"/>
        <v>957.83333333333337</v>
      </c>
      <c r="G48" s="265">
        <f t="shared" ref="G48:AH48" si="56">F48*(1+GlobalInflation)</f>
        <v>976.99</v>
      </c>
      <c r="H48" s="265">
        <f t="shared" si="56"/>
        <v>996.52980000000002</v>
      </c>
      <c r="I48" s="265">
        <f t="shared" si="56"/>
        <v>1016.4603960000001</v>
      </c>
      <c r="J48" s="265">
        <f t="shared" si="56"/>
        <v>1036.78960392</v>
      </c>
      <c r="K48" s="265">
        <f t="shared" si="56"/>
        <v>1057.5253959984</v>
      </c>
      <c r="L48" s="265">
        <f t="shared" si="56"/>
        <v>1078.675903918368</v>
      </c>
      <c r="M48" s="265">
        <f t="shared" si="56"/>
        <v>1100.2494219967355</v>
      </c>
      <c r="N48" s="265">
        <f t="shared" si="56"/>
        <v>1122.2544104366702</v>
      </c>
      <c r="O48" s="265">
        <f t="shared" si="56"/>
        <v>1144.6994986454038</v>
      </c>
      <c r="P48" s="265">
        <f t="shared" si="56"/>
        <v>1167.5934886183118</v>
      </c>
      <c r="Q48" s="265">
        <f t="shared" si="56"/>
        <v>1190.9453583906779</v>
      </c>
      <c r="R48" s="265">
        <f t="shared" si="56"/>
        <v>1214.7642655584916</v>
      </c>
      <c r="S48" s="265">
        <f t="shared" si="56"/>
        <v>1239.0595508696615</v>
      </c>
      <c r="T48" s="265">
        <f t="shared" si="56"/>
        <v>1263.8407418870547</v>
      </c>
      <c r="U48" s="265">
        <f t="shared" si="56"/>
        <v>1289.1175567247958</v>
      </c>
      <c r="V48" s="265">
        <f t="shared" si="56"/>
        <v>1314.8999078592917</v>
      </c>
      <c r="W48" s="265">
        <f t="shared" si="56"/>
        <v>1341.1979060164776</v>
      </c>
      <c r="X48" s="265">
        <f t="shared" si="56"/>
        <v>1368.0218641368072</v>
      </c>
      <c r="Y48" s="265">
        <f t="shared" si="56"/>
        <v>1395.3823014195434</v>
      </c>
      <c r="Z48" s="265">
        <f t="shared" si="56"/>
        <v>1423.2899474479343</v>
      </c>
      <c r="AA48" s="265">
        <f t="shared" si="56"/>
        <v>1451.7557463968931</v>
      </c>
      <c r="AB48" s="265">
        <f t="shared" si="56"/>
        <v>1480.790861324831</v>
      </c>
      <c r="AC48" s="265">
        <f t="shared" si="56"/>
        <v>1510.4066785513276</v>
      </c>
      <c r="AD48" s="265">
        <f t="shared" si="56"/>
        <v>1540.6148121223541</v>
      </c>
      <c r="AE48" s="265">
        <f t="shared" si="56"/>
        <v>1571.4271083648011</v>
      </c>
      <c r="AF48" s="265">
        <f t="shared" si="56"/>
        <v>1602.8556505320971</v>
      </c>
      <c r="AG48" s="265">
        <f t="shared" si="56"/>
        <v>1634.9127635427392</v>
      </c>
      <c r="AH48" s="265">
        <f t="shared" si="56"/>
        <v>1667.611018813594</v>
      </c>
      <c r="AI48" s="265">
        <f t="shared" si="50"/>
        <v>1700.9632391898658</v>
      </c>
      <c r="AJ48" s="265">
        <f t="shared" si="51"/>
        <v>1734.9825039736631</v>
      </c>
    </row>
    <row r="49" spans="1:42" x14ac:dyDescent="0.15">
      <c r="A49" s="529">
        <v>499900</v>
      </c>
      <c r="B49" s="458">
        <f t="shared" si="48"/>
        <v>0</v>
      </c>
      <c r="C49" s="508" t="s">
        <v>263</v>
      </c>
      <c r="D49" s="137">
        <v>0</v>
      </c>
      <c r="E49" s="268"/>
      <c r="F49" s="265">
        <f t="shared" si="52"/>
        <v>0</v>
      </c>
      <c r="G49" s="265">
        <f t="shared" ref="G49:AH49" si="57">F49*(1+GlobalInflation)</f>
        <v>0</v>
      </c>
      <c r="H49" s="265">
        <f t="shared" si="57"/>
        <v>0</v>
      </c>
      <c r="I49" s="265">
        <f t="shared" si="57"/>
        <v>0</v>
      </c>
      <c r="J49" s="265">
        <f t="shared" si="57"/>
        <v>0</v>
      </c>
      <c r="K49" s="265">
        <f t="shared" si="57"/>
        <v>0</v>
      </c>
      <c r="L49" s="265">
        <f t="shared" si="57"/>
        <v>0</v>
      </c>
      <c r="M49" s="265">
        <f t="shared" si="57"/>
        <v>0</v>
      </c>
      <c r="N49" s="265">
        <f t="shared" si="57"/>
        <v>0</v>
      </c>
      <c r="O49" s="265">
        <f t="shared" si="57"/>
        <v>0</v>
      </c>
      <c r="P49" s="265">
        <f t="shared" si="57"/>
        <v>0</v>
      </c>
      <c r="Q49" s="265">
        <f t="shared" si="57"/>
        <v>0</v>
      </c>
      <c r="R49" s="265">
        <f t="shared" si="57"/>
        <v>0</v>
      </c>
      <c r="S49" s="265">
        <f t="shared" si="57"/>
        <v>0</v>
      </c>
      <c r="T49" s="265">
        <f t="shared" si="57"/>
        <v>0</v>
      </c>
      <c r="U49" s="265">
        <f t="shared" si="57"/>
        <v>0</v>
      </c>
      <c r="V49" s="265">
        <f t="shared" si="57"/>
        <v>0</v>
      </c>
      <c r="W49" s="265">
        <f t="shared" si="57"/>
        <v>0</v>
      </c>
      <c r="X49" s="265">
        <f t="shared" si="57"/>
        <v>0</v>
      </c>
      <c r="Y49" s="265">
        <f t="shared" si="57"/>
        <v>0</v>
      </c>
      <c r="Z49" s="265">
        <f t="shared" si="57"/>
        <v>0</v>
      </c>
      <c r="AA49" s="265">
        <f t="shared" si="57"/>
        <v>0</v>
      </c>
      <c r="AB49" s="265">
        <f t="shared" si="57"/>
        <v>0</v>
      </c>
      <c r="AC49" s="265">
        <f t="shared" si="57"/>
        <v>0</v>
      </c>
      <c r="AD49" s="265">
        <f t="shared" si="57"/>
        <v>0</v>
      </c>
      <c r="AE49" s="265">
        <f t="shared" si="57"/>
        <v>0</v>
      </c>
      <c r="AF49" s="265">
        <f t="shared" si="57"/>
        <v>0</v>
      </c>
      <c r="AG49" s="265">
        <f t="shared" si="57"/>
        <v>0</v>
      </c>
      <c r="AH49" s="265">
        <f t="shared" si="57"/>
        <v>0</v>
      </c>
      <c r="AI49" s="265">
        <f t="shared" si="50"/>
        <v>0</v>
      </c>
      <c r="AJ49" s="265">
        <f t="shared" si="51"/>
        <v>0</v>
      </c>
      <c r="AK49" s="505"/>
      <c r="AL49" s="505"/>
      <c r="AM49" s="505"/>
      <c r="AN49" s="505"/>
      <c r="AO49" s="505"/>
      <c r="AP49" s="505"/>
    </row>
    <row r="50" spans="1:42" x14ac:dyDescent="0.15">
      <c r="A50" s="505"/>
      <c r="B50" s="457">
        <f t="shared" si="48"/>
        <v>26134</v>
      </c>
      <c r="C50" s="739" t="s">
        <v>264</v>
      </c>
      <c r="D50" s="138">
        <f>SUM(D44:D49)</f>
        <v>11494</v>
      </c>
      <c r="E50" s="740">
        <f>F50*12</f>
        <v>26134</v>
      </c>
      <c r="F50" s="741">
        <f t="shared" ref="F50:AH50" si="58">SUM(F44:F49)</f>
        <v>2177.8333333333335</v>
      </c>
      <c r="G50" s="741">
        <f t="shared" si="58"/>
        <v>2496.9899999999998</v>
      </c>
      <c r="H50" s="741">
        <f t="shared" si="58"/>
        <v>2816.5298000000003</v>
      </c>
      <c r="I50" s="741">
        <f t="shared" si="58"/>
        <v>2836.4603959999999</v>
      </c>
      <c r="J50" s="741">
        <f t="shared" si="58"/>
        <v>2856.78960392</v>
      </c>
      <c r="K50" s="741">
        <f t="shared" si="58"/>
        <v>2877.5253959984002</v>
      </c>
      <c r="L50" s="741">
        <f t="shared" si="58"/>
        <v>2898.675903918368</v>
      </c>
      <c r="M50" s="741">
        <f t="shared" si="58"/>
        <v>2920.2494219967357</v>
      </c>
      <c r="N50" s="741">
        <f t="shared" si="58"/>
        <v>2942.2544104366702</v>
      </c>
      <c r="O50" s="741">
        <f t="shared" si="58"/>
        <v>2964.6994986454038</v>
      </c>
      <c r="P50" s="741">
        <f t="shared" si="58"/>
        <v>2987.5934886183118</v>
      </c>
      <c r="Q50" s="741">
        <f t="shared" si="58"/>
        <v>3010.9453583906779</v>
      </c>
      <c r="R50" s="741">
        <f t="shared" si="58"/>
        <v>3034.7642655584914</v>
      </c>
      <c r="S50" s="741">
        <f t="shared" si="58"/>
        <v>3059.0595508696615</v>
      </c>
      <c r="T50" s="741">
        <f t="shared" si="58"/>
        <v>3083.8407418870547</v>
      </c>
      <c r="U50" s="741">
        <f t="shared" si="58"/>
        <v>3109.1175567247956</v>
      </c>
      <c r="V50" s="741">
        <f t="shared" si="58"/>
        <v>3134.8999078592915</v>
      </c>
      <c r="W50" s="741">
        <f t="shared" si="58"/>
        <v>3161.1979060164776</v>
      </c>
      <c r="X50" s="741">
        <f t="shared" si="58"/>
        <v>3188.0218641368074</v>
      </c>
      <c r="Y50" s="741">
        <f t="shared" si="58"/>
        <v>3215.3823014195432</v>
      </c>
      <c r="Z50" s="741">
        <f t="shared" si="58"/>
        <v>3243.2899474479345</v>
      </c>
      <c r="AA50" s="741">
        <f t="shared" si="58"/>
        <v>3271.7557463968933</v>
      </c>
      <c r="AB50" s="741">
        <f t="shared" si="58"/>
        <v>3300.790861324831</v>
      </c>
      <c r="AC50" s="741">
        <f t="shared" si="58"/>
        <v>3330.4066785513278</v>
      </c>
      <c r="AD50" s="741">
        <f t="shared" si="58"/>
        <v>3360.6148121223541</v>
      </c>
      <c r="AE50" s="741">
        <f t="shared" si="58"/>
        <v>3391.4271083648009</v>
      </c>
      <c r="AF50" s="741">
        <f t="shared" si="58"/>
        <v>3422.8556505320971</v>
      </c>
      <c r="AG50" s="741">
        <f t="shared" si="58"/>
        <v>3454.9127635427394</v>
      </c>
      <c r="AH50" s="741">
        <f t="shared" si="58"/>
        <v>3487.611018813594</v>
      </c>
      <c r="AI50" s="741">
        <f t="shared" ref="AI50:AJ50" si="59">SUM(AI44:AI49)</f>
        <v>3520.9632391898658</v>
      </c>
      <c r="AJ50" s="741">
        <f t="shared" si="59"/>
        <v>3554.9825039736634</v>
      </c>
      <c r="AK50" s="505"/>
      <c r="AL50" s="505"/>
      <c r="AM50" s="505"/>
      <c r="AN50" s="505"/>
      <c r="AO50" s="505"/>
      <c r="AP50" s="505"/>
    </row>
    <row r="51" spans="1:42" x14ac:dyDescent="0.15">
      <c r="A51" s="529">
        <v>423100</v>
      </c>
      <c r="B51" s="457">
        <f t="shared" si="48"/>
        <v>0</v>
      </c>
      <c r="C51" s="525" t="s">
        <v>265</v>
      </c>
      <c r="D51" s="133">
        <v>0</v>
      </c>
      <c r="E51" s="323">
        <f>F51*12</f>
        <v>0</v>
      </c>
      <c r="F51" s="265">
        <v>0</v>
      </c>
      <c r="G51" s="265">
        <v>0</v>
      </c>
      <c r="H51" s="265">
        <v>0</v>
      </c>
      <c r="I51" s="265">
        <v>0</v>
      </c>
      <c r="J51" s="265">
        <v>0</v>
      </c>
      <c r="K51" s="265">
        <v>0</v>
      </c>
      <c r="L51" s="265">
        <v>0</v>
      </c>
      <c r="M51" s="265">
        <v>0</v>
      </c>
      <c r="N51" s="265">
        <v>0</v>
      </c>
      <c r="O51" s="265">
        <v>0</v>
      </c>
      <c r="P51" s="265">
        <v>0</v>
      </c>
      <c r="Q51" s="265">
        <v>0</v>
      </c>
      <c r="R51" s="265">
        <v>0</v>
      </c>
      <c r="S51" s="265">
        <v>0</v>
      </c>
      <c r="T51" s="265">
        <v>0</v>
      </c>
      <c r="U51" s="265">
        <v>0</v>
      </c>
      <c r="V51" s="265">
        <v>0</v>
      </c>
      <c r="W51" s="265">
        <v>0</v>
      </c>
      <c r="X51" s="265">
        <v>0</v>
      </c>
      <c r="Y51" s="265">
        <v>0</v>
      </c>
      <c r="Z51" s="265">
        <v>0</v>
      </c>
      <c r="AA51" s="265">
        <v>0</v>
      </c>
      <c r="AB51" s="265">
        <v>0</v>
      </c>
      <c r="AC51" s="265">
        <v>0</v>
      </c>
      <c r="AD51" s="265">
        <v>0</v>
      </c>
      <c r="AE51" s="265">
        <v>0</v>
      </c>
      <c r="AF51" s="265">
        <v>0</v>
      </c>
      <c r="AG51" s="265">
        <v>0</v>
      </c>
      <c r="AH51" s="265">
        <v>0</v>
      </c>
      <c r="AI51" s="265">
        <v>0</v>
      </c>
      <c r="AJ51" s="265">
        <v>0</v>
      </c>
      <c r="AK51" s="505"/>
      <c r="AL51" s="505"/>
      <c r="AM51" s="505"/>
      <c r="AN51" s="505"/>
      <c r="AO51" s="505"/>
      <c r="AP51" s="505"/>
    </row>
    <row r="52" spans="1:42" x14ac:dyDescent="0.15">
      <c r="A52" s="505"/>
      <c r="C52" s="505"/>
      <c r="D52" s="133">
        <f>D50+D41+D51</f>
        <v>713494</v>
      </c>
      <c r="E52" s="325">
        <f>F53*12</f>
        <v>439714</v>
      </c>
      <c r="F52" s="322">
        <f t="shared" ref="F52:K52" si="60">F53*12</f>
        <v>439714</v>
      </c>
      <c r="G52" s="322">
        <f t="shared" si="60"/>
        <v>545243.88</v>
      </c>
      <c r="H52" s="322">
        <f t="shared" si="60"/>
        <v>650778.35759999999</v>
      </c>
      <c r="I52" s="322">
        <f t="shared" si="60"/>
        <v>675696.72475200007</v>
      </c>
      <c r="J52" s="322">
        <f t="shared" si="60"/>
        <v>701607.04324704001</v>
      </c>
      <c r="K52" s="322">
        <f t="shared" si="60"/>
        <v>728548.89547198091</v>
      </c>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505"/>
      <c r="AL52" s="505"/>
      <c r="AM52" s="505"/>
      <c r="AN52" s="505"/>
      <c r="AO52" s="505"/>
      <c r="AP52" s="505"/>
    </row>
    <row r="53" spans="1:42" ht="14" thickBot="1" x14ac:dyDescent="0.2">
      <c r="A53" s="505"/>
      <c r="B53" s="593">
        <f t="shared" si="48"/>
        <v>439714</v>
      </c>
      <c r="C53" s="580" t="s">
        <v>266</v>
      </c>
      <c r="D53" s="594">
        <f>D52/12</f>
        <v>59457.833333333336</v>
      </c>
      <c r="E53" s="591">
        <f>E52/12</f>
        <v>36642.833333333336</v>
      </c>
      <c r="F53" s="592">
        <f t="shared" ref="F53:AH53" si="61">F41+SUM(F50:F51)</f>
        <v>36642.833333333336</v>
      </c>
      <c r="G53" s="592">
        <f t="shared" si="61"/>
        <v>45436.99</v>
      </c>
      <c r="H53" s="592">
        <f t="shared" si="61"/>
        <v>54231.529800000004</v>
      </c>
      <c r="I53" s="592">
        <f t="shared" si="61"/>
        <v>56308.060396000001</v>
      </c>
      <c r="J53" s="592">
        <f t="shared" si="61"/>
        <v>58467.253603919999</v>
      </c>
      <c r="K53" s="592">
        <f t="shared" si="61"/>
        <v>60712.407955998409</v>
      </c>
      <c r="L53" s="592">
        <f t="shared" si="61"/>
        <v>63046.95376631838</v>
      </c>
      <c r="M53" s="592">
        <f t="shared" si="61"/>
        <v>65474.458398892748</v>
      </c>
      <c r="N53" s="592">
        <f t="shared" si="61"/>
        <v>67998.631746408544</v>
      </c>
      <c r="O53" s="592">
        <f t="shared" si="61"/>
        <v>70623.331928056141</v>
      </c>
      <c r="P53" s="592">
        <f t="shared" si="61"/>
        <v>73352.571215205477</v>
      </c>
      <c r="Q53" s="592">
        <f t="shared" si="61"/>
        <v>76190.522194041332</v>
      </c>
      <c r="R53" s="592">
        <f t="shared" si="61"/>
        <v>79141.524174635197</v>
      </c>
      <c r="S53" s="592">
        <f t="shared" si="61"/>
        <v>82210.089856309409</v>
      </c>
      <c r="T53" s="592">
        <f t="shared" si="61"/>
        <v>85400.912259544406</v>
      </c>
      <c r="U53" s="592">
        <f t="shared" si="61"/>
        <v>88718.871935088464</v>
      </c>
      <c r="V53" s="592">
        <f t="shared" si="61"/>
        <v>92169.044461357509</v>
      </c>
      <c r="W53" s="592">
        <f t="shared" si="61"/>
        <v>95756.708241654604</v>
      </c>
      <c r="X53" s="592">
        <f t="shared" si="61"/>
        <v>99487.352613200477</v>
      </c>
      <c r="Y53" s="592">
        <f t="shared" si="61"/>
        <v>103366.68628044575</v>
      </c>
      <c r="Z53" s="592">
        <f t="shared" si="61"/>
        <v>107400.64608563521</v>
      </c>
      <c r="AA53" s="592">
        <f t="shared" si="61"/>
        <v>111595.40613011166</v>
      </c>
      <c r="AB53" s="592">
        <f t="shared" si="61"/>
        <v>115957.38726038819</v>
      </c>
      <c r="AC53" s="592">
        <f t="shared" si="61"/>
        <v>120493.26693357722</v>
      </c>
      <c r="AD53" s="592">
        <f t="shared" si="61"/>
        <v>125209.98947734929</v>
      </c>
      <c r="AE53" s="592">
        <f t="shared" si="61"/>
        <v>130114.77676020082</v>
      </c>
      <c r="AF53" s="592">
        <f t="shared" si="61"/>
        <v>135215.13928844157</v>
      </c>
      <c r="AG53" s="592">
        <f t="shared" si="61"/>
        <v>140518.8877469686</v>
      </c>
      <c r="AH53" s="592">
        <f t="shared" si="61"/>
        <v>146034.14500157649</v>
      </c>
      <c r="AI53" s="592">
        <f t="shared" ref="AI53:AJ53" si="62">AI41+SUM(AI50:AI51)</f>
        <v>151769.35858126331</v>
      </c>
      <c r="AJ53" s="592">
        <f t="shared" si="62"/>
        <v>157733.31365973005</v>
      </c>
      <c r="AK53" s="505"/>
      <c r="AL53" s="505"/>
      <c r="AM53" s="505"/>
      <c r="AN53" s="505"/>
      <c r="AO53" s="505"/>
      <c r="AP53" s="505"/>
    </row>
    <row r="54" spans="1:42" ht="14" thickTop="1" x14ac:dyDescent="0.15">
      <c r="A54" s="505"/>
      <c r="C54" s="14"/>
      <c r="D54" s="314" t="s">
        <v>267</v>
      </c>
      <c r="E54" s="541"/>
      <c r="F54" s="461" t="s">
        <v>268</v>
      </c>
      <c r="G54" s="461" t="s">
        <v>269</v>
      </c>
      <c r="H54" s="462" t="s">
        <v>270</v>
      </c>
      <c r="I54" s="462" t="s">
        <v>271</v>
      </c>
      <c r="J54" s="462" t="s">
        <v>272</v>
      </c>
      <c r="K54" s="462" t="s">
        <v>273</v>
      </c>
      <c r="L54" s="462" t="s">
        <v>274</v>
      </c>
      <c r="M54" s="505"/>
      <c r="N54" s="463" t="s">
        <v>251</v>
      </c>
      <c r="O54" s="463" t="s">
        <v>252</v>
      </c>
      <c r="P54" s="464" t="s">
        <v>253</v>
      </c>
      <c r="Q54" s="464" t="s">
        <v>254</v>
      </c>
      <c r="R54" s="464" t="s">
        <v>255</v>
      </c>
      <c r="S54" s="464" t="s">
        <v>256</v>
      </c>
      <c r="T54" s="464" t="s">
        <v>257</v>
      </c>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row>
    <row r="55" spans="1:42" ht="16" x14ac:dyDescent="0.3">
      <c r="A55" s="505"/>
      <c r="B55" s="468" t="s">
        <v>275</v>
      </c>
      <c r="C55" s="11" t="s">
        <v>276</v>
      </c>
      <c r="D55" s="313">
        <f>N4</f>
        <v>2024</v>
      </c>
      <c r="E55" s="324" t="s">
        <v>259</v>
      </c>
      <c r="F55" s="465">
        <f ca="1">$F$63/NoOfSpaces</f>
        <v>9.1009499999999992</v>
      </c>
      <c r="G55" s="465">
        <f ca="1">$F$62/NoOfSpaces</f>
        <v>0</v>
      </c>
      <c r="H55" s="465">
        <f ca="1">($F$62+$F$63)/NoOfSpaces</f>
        <v>9.1009499999999992</v>
      </c>
      <c r="I55" s="465">
        <f ca="1">$F$61/NoOfSpaces</f>
        <v>11.3322</v>
      </c>
      <c r="J55" s="465">
        <f ca="1">$F$59/NoOfSpaces</f>
        <v>2.37405</v>
      </c>
      <c r="K55" s="465">
        <f ca="1">$F$60/NoOfSpaces</f>
        <v>0</v>
      </c>
      <c r="L55" s="465">
        <f ca="1">SUM(F59:F63)/NoOfSpaces</f>
        <v>22.807199999999998</v>
      </c>
      <c r="M55" s="505"/>
      <c r="N55" s="465">
        <f ca="1">$F$63/OccPadsNum</f>
        <v>14.919590163934425</v>
      </c>
      <c r="O55" s="465">
        <f ca="1">$F$62/OccPadsNum</f>
        <v>0</v>
      </c>
      <c r="P55" s="465">
        <f ca="1">($F$62+$F$63)/OccPadsNum</f>
        <v>14.919590163934425</v>
      </c>
      <c r="Q55" s="465">
        <f ca="1">$F$61/OccPadsNum</f>
        <v>18.577377049180328</v>
      </c>
      <c r="R55" s="465">
        <f ca="1">$F$59/OccPadsNum</f>
        <v>3.8918852459016393</v>
      </c>
      <c r="S55" s="465">
        <f ca="1">$F$60/OccPadsNum</f>
        <v>0</v>
      </c>
      <c r="T55" s="664">
        <f ca="1">SUM(F59:F63)/OccPadsNum</f>
        <v>37.388852459016391</v>
      </c>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row>
    <row r="56" spans="1:42" x14ac:dyDescent="0.15">
      <c r="A56" s="529">
        <v>600100</v>
      </c>
      <c r="B56" s="457">
        <f t="shared" ref="B56:B80" ca="1" si="63">E56/NoOfSpaces</f>
        <v>258.98</v>
      </c>
      <c r="C56" s="508" t="str">
        <f>IF(OtherFTE&gt;0,"Salary Exp ("&amp;TEXT(Notes!K39,"0.00")&amp;" FTE Mgr, "&amp;TEXT(Notes!K45,"0.00")&amp;" FTE Maint, "&amp;TEXT(Notes!K51,"0.00")&amp;" FTE Other)","Salary Exp ("&amp;TEXT(Notes!K39,"0.00")&amp;" FTE Mgr, "&amp;TEXT(Notes!K45,"0.00")&amp;" FTE Maintenance)")</f>
        <v>Salary Exp (0.00 FTE Mgr, 0.00 FTE Maintenance)</v>
      </c>
      <c r="D56" s="134">
        <f ca="1">OFFSET('IE SUMMARY'!D32,0,MoveCount)</f>
        <v>25898</v>
      </c>
      <c r="E56" s="265">
        <f ca="1">D56</f>
        <v>25898</v>
      </c>
      <c r="F56" s="326">
        <f t="shared" ref="F56:F65" ca="1" si="64">E56/12</f>
        <v>2158.1666666666665</v>
      </c>
      <c r="G56" s="265">
        <f t="shared" ref="G56:AH56" ca="1" si="65">F56*(1+GlobalInflation)</f>
        <v>2201.33</v>
      </c>
      <c r="H56" s="265">
        <f t="shared" ca="1" si="65"/>
        <v>2245.3566000000001</v>
      </c>
      <c r="I56" s="265">
        <f t="shared" ca="1" si="65"/>
        <v>2290.2637319999999</v>
      </c>
      <c r="J56" s="265">
        <f t="shared" ca="1" si="65"/>
        <v>2336.0690066399998</v>
      </c>
      <c r="K56" s="265">
        <f t="shared" ca="1" si="65"/>
        <v>2382.7903867727996</v>
      </c>
      <c r="L56" s="265">
        <f t="shared" ca="1" si="65"/>
        <v>2430.4461945082558</v>
      </c>
      <c r="M56" s="265">
        <f t="shared" ca="1" si="65"/>
        <v>2479.0551183984207</v>
      </c>
      <c r="N56" s="265">
        <f t="shared" ca="1" si="65"/>
        <v>2528.6362207663892</v>
      </c>
      <c r="O56" s="265">
        <f t="shared" ca="1" si="65"/>
        <v>2579.2089451817169</v>
      </c>
      <c r="P56" s="265">
        <f t="shared" ca="1" si="65"/>
        <v>2630.7931240853513</v>
      </c>
      <c r="Q56" s="265">
        <f t="shared" ca="1" si="65"/>
        <v>2683.4089865670585</v>
      </c>
      <c r="R56" s="265">
        <f t="shared" ca="1" si="65"/>
        <v>2737.0771662983998</v>
      </c>
      <c r="S56" s="265">
        <f t="shared" ca="1" si="65"/>
        <v>2791.8187096243678</v>
      </c>
      <c r="T56" s="265">
        <f t="shared" ca="1" si="65"/>
        <v>2847.655083816855</v>
      </c>
      <c r="U56" s="265">
        <f t="shared" ca="1" si="65"/>
        <v>2904.6081854931922</v>
      </c>
      <c r="V56" s="265">
        <f t="shared" ca="1" si="65"/>
        <v>2962.7003492030562</v>
      </c>
      <c r="W56" s="265">
        <f t="shared" ca="1" si="65"/>
        <v>3021.9543561871174</v>
      </c>
      <c r="X56" s="265">
        <f t="shared" ca="1" si="65"/>
        <v>3082.3934433108598</v>
      </c>
      <c r="Y56" s="265">
        <f t="shared" ca="1" si="65"/>
        <v>3144.0413121770771</v>
      </c>
      <c r="Z56" s="265">
        <f t="shared" ca="1" si="65"/>
        <v>3206.9221384206185</v>
      </c>
      <c r="AA56" s="265">
        <f t="shared" ca="1" si="65"/>
        <v>3271.0605811890309</v>
      </c>
      <c r="AB56" s="265">
        <f t="shared" ca="1" si="65"/>
        <v>3336.4817928128118</v>
      </c>
      <c r="AC56" s="265">
        <f t="shared" ca="1" si="65"/>
        <v>3403.211428669068</v>
      </c>
      <c r="AD56" s="265">
        <f t="shared" ca="1" si="65"/>
        <v>3471.2756572424496</v>
      </c>
      <c r="AE56" s="265">
        <f t="shared" ca="1" si="65"/>
        <v>3540.7011703872986</v>
      </c>
      <c r="AF56" s="265">
        <f t="shared" ca="1" si="65"/>
        <v>3611.5151937950445</v>
      </c>
      <c r="AG56" s="265">
        <f t="shared" ca="1" si="65"/>
        <v>3683.7454976709455</v>
      </c>
      <c r="AH56" s="265">
        <f t="shared" ca="1" si="65"/>
        <v>3757.4204076243645</v>
      </c>
      <c r="AI56" s="265">
        <f t="shared" ref="AI56:AI78" ca="1" si="66">AH56*(1+GlobalInflation)</f>
        <v>3832.5688157768518</v>
      </c>
      <c r="AJ56" s="265">
        <f t="shared" ref="AJ56:AJ78" ca="1" si="67">AI56*(1+GlobalInflation)</f>
        <v>3909.220192092389</v>
      </c>
      <c r="AK56" s="12"/>
      <c r="AL56" s="12"/>
      <c r="AM56" s="12"/>
      <c r="AN56" s="12"/>
      <c r="AO56" s="12"/>
      <c r="AP56" s="12"/>
    </row>
    <row r="57" spans="1:42" x14ac:dyDescent="0.15">
      <c r="A57" s="529">
        <v>610600</v>
      </c>
      <c r="B57" s="457">
        <f t="shared" ca="1" si="63"/>
        <v>44.026600000000009</v>
      </c>
      <c r="C57" s="508" t="s">
        <v>277</v>
      </c>
      <c r="D57" s="134">
        <f ca="1">OFFSET('IE SUMMARY'!D33,0,MoveCount)</f>
        <v>0</v>
      </c>
      <c r="E57" s="265">
        <f ca="1">E56*0.17</f>
        <v>4402.6600000000008</v>
      </c>
      <c r="F57" s="326">
        <f t="shared" ca="1" si="64"/>
        <v>366.88833333333338</v>
      </c>
      <c r="G57" s="265">
        <f t="shared" ref="G57:AH57" ca="1" si="68">F57*(1+GlobalInflation)</f>
        <v>374.22610000000003</v>
      </c>
      <c r="H57" s="265">
        <f t="shared" ca="1" si="68"/>
        <v>381.71062200000006</v>
      </c>
      <c r="I57" s="265">
        <f t="shared" ca="1" si="68"/>
        <v>389.34483444000006</v>
      </c>
      <c r="J57" s="265">
        <f t="shared" ca="1" si="68"/>
        <v>397.13173112880008</v>
      </c>
      <c r="K57" s="265">
        <f t="shared" ca="1" si="68"/>
        <v>405.07436575137609</v>
      </c>
      <c r="L57" s="265">
        <f t="shared" ca="1" si="68"/>
        <v>413.17585306640365</v>
      </c>
      <c r="M57" s="265">
        <f t="shared" ca="1" si="68"/>
        <v>421.43937012773171</v>
      </c>
      <c r="N57" s="265">
        <f t="shared" ca="1" si="68"/>
        <v>429.86815753028634</v>
      </c>
      <c r="O57" s="265">
        <f t="shared" ca="1" si="68"/>
        <v>438.4655206808921</v>
      </c>
      <c r="P57" s="265">
        <f t="shared" ca="1" si="68"/>
        <v>447.23483109450996</v>
      </c>
      <c r="Q57" s="265">
        <f t="shared" ca="1" si="68"/>
        <v>456.17952771640017</v>
      </c>
      <c r="R57" s="265">
        <f t="shared" ca="1" si="68"/>
        <v>465.30311827072819</v>
      </c>
      <c r="S57" s="265">
        <f t="shared" ca="1" si="68"/>
        <v>474.60918063614275</v>
      </c>
      <c r="T57" s="265">
        <f t="shared" ca="1" si="68"/>
        <v>484.10136424886559</v>
      </c>
      <c r="U57" s="265">
        <f t="shared" ca="1" si="68"/>
        <v>493.78339153384292</v>
      </c>
      <c r="V57" s="265">
        <f t="shared" ca="1" si="68"/>
        <v>503.65905936451981</v>
      </c>
      <c r="W57" s="265">
        <f t="shared" ca="1" si="68"/>
        <v>513.73224055181026</v>
      </c>
      <c r="X57" s="265">
        <f t="shared" ca="1" si="68"/>
        <v>524.00688536284645</v>
      </c>
      <c r="Y57" s="265">
        <f t="shared" ca="1" si="68"/>
        <v>534.48702307010342</v>
      </c>
      <c r="Z57" s="265">
        <f t="shared" ca="1" si="68"/>
        <v>545.17676353150546</v>
      </c>
      <c r="AA57" s="265">
        <f t="shared" ca="1" si="68"/>
        <v>556.08029880213553</v>
      </c>
      <c r="AB57" s="265">
        <f t="shared" ca="1" si="68"/>
        <v>567.20190477817823</v>
      </c>
      <c r="AC57" s="265">
        <f t="shared" ca="1" si="68"/>
        <v>578.54594287374175</v>
      </c>
      <c r="AD57" s="265">
        <f t="shared" ca="1" si="68"/>
        <v>590.11686173121655</v>
      </c>
      <c r="AE57" s="265">
        <f t="shared" ca="1" si="68"/>
        <v>601.91919896584091</v>
      </c>
      <c r="AF57" s="265">
        <f t="shared" ca="1" si="68"/>
        <v>613.9575829451577</v>
      </c>
      <c r="AG57" s="265">
        <f t="shared" ca="1" si="68"/>
        <v>626.23673460406087</v>
      </c>
      <c r="AH57" s="265">
        <f t="shared" ca="1" si="68"/>
        <v>638.76146929614208</v>
      </c>
      <c r="AI57" s="265">
        <f t="shared" ca="1" si="66"/>
        <v>651.53669868206498</v>
      </c>
      <c r="AJ57" s="265">
        <f t="shared" ca="1" si="67"/>
        <v>664.56743265570628</v>
      </c>
      <c r="AK57" s="12"/>
      <c r="AL57" s="12"/>
      <c r="AM57" s="12"/>
      <c r="AN57" s="12"/>
      <c r="AO57" s="12"/>
      <c r="AP57" s="12"/>
    </row>
    <row r="58" spans="1:42" x14ac:dyDescent="0.15">
      <c r="A58" s="529">
        <v>610700</v>
      </c>
      <c r="B58" s="457">
        <f t="shared" ca="1" si="63"/>
        <v>15.538799999999998</v>
      </c>
      <c r="C58" s="508" t="s">
        <v>278</v>
      </c>
      <c r="D58" s="134">
        <f ca="1">OFFSET('IE SUMMARY'!D34,0,MoveCount)</f>
        <v>0</v>
      </c>
      <c r="E58" s="265">
        <f ca="1">+E56*0.06</f>
        <v>1553.8799999999999</v>
      </c>
      <c r="F58" s="326">
        <f t="shared" ca="1" si="64"/>
        <v>129.48999999999998</v>
      </c>
      <c r="G58" s="265">
        <f t="shared" ref="G58:AH58" ca="1" si="69">F58*(1+GlobalInflation)</f>
        <v>132.07979999999998</v>
      </c>
      <c r="H58" s="265">
        <f t="shared" ca="1" si="69"/>
        <v>134.72139599999997</v>
      </c>
      <c r="I58" s="265">
        <f t="shared" ca="1" si="69"/>
        <v>137.41582391999998</v>
      </c>
      <c r="J58" s="265">
        <f t="shared" ca="1" si="69"/>
        <v>140.16414039839998</v>
      </c>
      <c r="K58" s="265">
        <f t="shared" ca="1" si="69"/>
        <v>142.96742320636798</v>
      </c>
      <c r="L58" s="265">
        <f t="shared" ca="1" si="69"/>
        <v>145.82677167049533</v>
      </c>
      <c r="M58" s="265">
        <f t="shared" ca="1" si="69"/>
        <v>148.74330710390524</v>
      </c>
      <c r="N58" s="265">
        <f t="shared" ca="1" si="69"/>
        <v>151.71817324598334</v>
      </c>
      <c r="O58" s="265">
        <f t="shared" ca="1" si="69"/>
        <v>154.752536710903</v>
      </c>
      <c r="P58" s="265">
        <f t="shared" ca="1" si="69"/>
        <v>157.84758744512106</v>
      </c>
      <c r="Q58" s="265">
        <f t="shared" ca="1" si="69"/>
        <v>161.00453919402349</v>
      </c>
      <c r="R58" s="265">
        <f t="shared" ca="1" si="69"/>
        <v>164.22462997790396</v>
      </c>
      <c r="S58" s="265">
        <f t="shared" ca="1" si="69"/>
        <v>167.50912257746205</v>
      </c>
      <c r="T58" s="265">
        <f t="shared" ca="1" si="69"/>
        <v>170.8593050290113</v>
      </c>
      <c r="U58" s="265">
        <f t="shared" ca="1" si="69"/>
        <v>174.27649112959153</v>
      </c>
      <c r="V58" s="265">
        <f t="shared" ca="1" si="69"/>
        <v>177.76202095218338</v>
      </c>
      <c r="W58" s="265">
        <f t="shared" ca="1" si="69"/>
        <v>181.31726137122706</v>
      </c>
      <c r="X58" s="265">
        <f t="shared" ca="1" si="69"/>
        <v>184.9436065986516</v>
      </c>
      <c r="Y58" s="265">
        <f t="shared" ca="1" si="69"/>
        <v>188.64247873062465</v>
      </c>
      <c r="Z58" s="265">
        <f t="shared" ca="1" si="69"/>
        <v>192.41532830523715</v>
      </c>
      <c r="AA58" s="265">
        <f t="shared" ca="1" si="69"/>
        <v>196.26363487134191</v>
      </c>
      <c r="AB58" s="265">
        <f t="shared" ca="1" si="69"/>
        <v>200.18890756876874</v>
      </c>
      <c r="AC58" s="265">
        <f t="shared" ca="1" si="69"/>
        <v>204.19268572014411</v>
      </c>
      <c r="AD58" s="265">
        <f t="shared" ca="1" si="69"/>
        <v>208.276539434547</v>
      </c>
      <c r="AE58" s="265">
        <f t="shared" ca="1" si="69"/>
        <v>212.44207022323795</v>
      </c>
      <c r="AF58" s="265">
        <f t="shared" ca="1" si="69"/>
        <v>216.69091162770272</v>
      </c>
      <c r="AG58" s="265">
        <f t="shared" ca="1" si="69"/>
        <v>221.02472986025677</v>
      </c>
      <c r="AH58" s="265">
        <f t="shared" ca="1" si="69"/>
        <v>225.4452244574619</v>
      </c>
      <c r="AI58" s="265">
        <f t="shared" ca="1" si="66"/>
        <v>229.95412894661115</v>
      </c>
      <c r="AJ58" s="265">
        <f t="shared" ca="1" si="67"/>
        <v>234.55321152554339</v>
      </c>
      <c r="AK58" s="12"/>
      <c r="AL58" s="12"/>
      <c r="AM58" s="12"/>
      <c r="AN58" s="12"/>
      <c r="AO58" s="12"/>
      <c r="AP58" s="12"/>
    </row>
    <row r="59" spans="1:42" x14ac:dyDescent="0.15">
      <c r="A59" s="529">
        <v>540400</v>
      </c>
      <c r="B59" s="457">
        <f t="shared" ca="1" si="63"/>
        <v>28.488600000000002</v>
      </c>
      <c r="C59" s="508" t="s">
        <v>260</v>
      </c>
      <c r="D59" s="134">
        <f ca="1">OFFSET('IE SUMMARY'!D35,0,MoveCount)</f>
        <v>2793</v>
      </c>
      <c r="E59" s="265">
        <f ca="1">D59*(1+GlobalInflation)</f>
        <v>2848.86</v>
      </c>
      <c r="F59" s="326">
        <f t="shared" ca="1" si="64"/>
        <v>237.405</v>
      </c>
      <c r="G59" s="265">
        <f t="shared" ref="G59:AH59" ca="1" si="70">F59*(1+GlobalInflation)</f>
        <v>242.15309999999999</v>
      </c>
      <c r="H59" s="265">
        <f t="shared" ca="1" si="70"/>
        <v>246.996162</v>
      </c>
      <c r="I59" s="265">
        <f t="shared" ca="1" si="70"/>
        <v>251.93608524000001</v>
      </c>
      <c r="J59" s="265">
        <f t="shared" ca="1" si="70"/>
        <v>256.97480694480004</v>
      </c>
      <c r="K59" s="265">
        <f t="shared" ca="1" si="70"/>
        <v>262.11430308369603</v>
      </c>
      <c r="L59" s="265">
        <f t="shared" ca="1" si="70"/>
        <v>267.35658914536998</v>
      </c>
      <c r="M59" s="265">
        <f t="shared" ca="1" si="70"/>
        <v>272.70372092827739</v>
      </c>
      <c r="N59" s="265">
        <f t="shared" ca="1" si="70"/>
        <v>278.15779534684293</v>
      </c>
      <c r="O59" s="265">
        <f t="shared" ca="1" si="70"/>
        <v>283.72095125377979</v>
      </c>
      <c r="P59" s="265">
        <f t="shared" ca="1" si="70"/>
        <v>289.39537027885541</v>
      </c>
      <c r="Q59" s="265">
        <f t="shared" ca="1" si="70"/>
        <v>295.18327768443254</v>
      </c>
      <c r="R59" s="265">
        <f t="shared" ca="1" si="70"/>
        <v>301.08694323812119</v>
      </c>
      <c r="S59" s="265">
        <f t="shared" ca="1" si="70"/>
        <v>307.10868210288362</v>
      </c>
      <c r="T59" s="265">
        <f t="shared" ca="1" si="70"/>
        <v>313.2508557449413</v>
      </c>
      <c r="U59" s="265">
        <f t="shared" ca="1" si="70"/>
        <v>319.51587285984016</v>
      </c>
      <c r="V59" s="265">
        <f t="shared" ca="1" si="70"/>
        <v>325.90619031703699</v>
      </c>
      <c r="W59" s="265">
        <f t="shared" ca="1" si="70"/>
        <v>332.42431412337771</v>
      </c>
      <c r="X59" s="265">
        <f t="shared" ca="1" si="70"/>
        <v>339.07280040584527</v>
      </c>
      <c r="Y59" s="265">
        <f t="shared" ca="1" si="70"/>
        <v>345.85425641396216</v>
      </c>
      <c r="Z59" s="265">
        <f t="shared" ca="1" si="70"/>
        <v>352.77134154224143</v>
      </c>
      <c r="AA59" s="265">
        <f t="shared" ca="1" si="70"/>
        <v>359.82676837308628</v>
      </c>
      <c r="AB59" s="265">
        <f t="shared" ca="1" si="70"/>
        <v>367.02330374054799</v>
      </c>
      <c r="AC59" s="265">
        <f t="shared" ca="1" si="70"/>
        <v>374.36376981535898</v>
      </c>
      <c r="AD59" s="265">
        <f t="shared" ca="1" si="70"/>
        <v>381.85104521166619</v>
      </c>
      <c r="AE59" s="265">
        <f t="shared" ca="1" si="70"/>
        <v>389.48806611589953</v>
      </c>
      <c r="AF59" s="265">
        <f t="shared" ca="1" si="70"/>
        <v>397.27782743821751</v>
      </c>
      <c r="AG59" s="265">
        <f t="shared" ca="1" si="70"/>
        <v>405.22338398698184</v>
      </c>
      <c r="AH59" s="265">
        <f t="shared" ca="1" si="70"/>
        <v>413.32785166672147</v>
      </c>
      <c r="AI59" s="265">
        <f t="shared" ca="1" si="66"/>
        <v>421.59440870005591</v>
      </c>
      <c r="AJ59" s="265">
        <f t="shared" ca="1" si="67"/>
        <v>430.02629687405704</v>
      </c>
      <c r="AK59" s="12"/>
      <c r="AL59" s="12"/>
      <c r="AM59" s="12"/>
      <c r="AN59" s="12"/>
      <c r="AO59" s="12"/>
      <c r="AP59" s="12"/>
    </row>
    <row r="60" spans="1:42" x14ac:dyDescent="0.15">
      <c r="A60" s="529">
        <v>540100</v>
      </c>
      <c r="B60" s="457">
        <f t="shared" ca="1" si="63"/>
        <v>0</v>
      </c>
      <c r="C60" s="508" t="s">
        <v>279</v>
      </c>
      <c r="D60" s="134">
        <f ca="1">OFFSET('IE SUMMARY'!D36,0,MoveCount)</f>
        <v>0</v>
      </c>
      <c r="E60" s="265">
        <f ca="1">D60*(1+GlobalInflation)</f>
        <v>0</v>
      </c>
      <c r="F60" s="326">
        <f t="shared" ca="1" si="64"/>
        <v>0</v>
      </c>
      <c r="G60" s="265">
        <f t="shared" ref="G60:AH60" ca="1" si="71">F60*(1+GlobalInflation)</f>
        <v>0</v>
      </c>
      <c r="H60" s="265">
        <f t="shared" ca="1" si="71"/>
        <v>0</v>
      </c>
      <c r="I60" s="265">
        <f t="shared" ca="1" si="71"/>
        <v>0</v>
      </c>
      <c r="J60" s="265">
        <f t="shared" ca="1" si="71"/>
        <v>0</v>
      </c>
      <c r="K60" s="265">
        <f t="shared" ca="1" si="71"/>
        <v>0</v>
      </c>
      <c r="L60" s="265">
        <f t="shared" ca="1" si="71"/>
        <v>0</v>
      </c>
      <c r="M60" s="265">
        <f t="shared" ca="1" si="71"/>
        <v>0</v>
      </c>
      <c r="N60" s="265">
        <f t="shared" ca="1" si="71"/>
        <v>0</v>
      </c>
      <c r="O60" s="265">
        <f t="shared" ca="1" si="71"/>
        <v>0</v>
      </c>
      <c r="P60" s="265">
        <f t="shared" ca="1" si="71"/>
        <v>0</v>
      </c>
      <c r="Q60" s="265">
        <f t="shared" ca="1" si="71"/>
        <v>0</v>
      </c>
      <c r="R60" s="265">
        <f t="shared" ca="1" si="71"/>
        <v>0</v>
      </c>
      <c r="S60" s="265">
        <f t="shared" ca="1" si="71"/>
        <v>0</v>
      </c>
      <c r="T60" s="265">
        <f t="shared" ca="1" si="71"/>
        <v>0</v>
      </c>
      <c r="U60" s="265">
        <f t="shared" ca="1" si="71"/>
        <v>0</v>
      </c>
      <c r="V60" s="265">
        <f t="shared" ca="1" si="71"/>
        <v>0</v>
      </c>
      <c r="W60" s="265">
        <f t="shared" ca="1" si="71"/>
        <v>0</v>
      </c>
      <c r="X60" s="265">
        <f t="shared" ca="1" si="71"/>
        <v>0</v>
      </c>
      <c r="Y60" s="265">
        <f t="shared" ca="1" si="71"/>
        <v>0</v>
      </c>
      <c r="Z60" s="265">
        <f t="shared" ca="1" si="71"/>
        <v>0</v>
      </c>
      <c r="AA60" s="265">
        <f t="shared" ca="1" si="71"/>
        <v>0</v>
      </c>
      <c r="AB60" s="265">
        <f t="shared" ca="1" si="71"/>
        <v>0</v>
      </c>
      <c r="AC60" s="265">
        <f t="shared" ca="1" si="71"/>
        <v>0</v>
      </c>
      <c r="AD60" s="265">
        <f t="shared" ca="1" si="71"/>
        <v>0</v>
      </c>
      <c r="AE60" s="265">
        <f t="shared" ca="1" si="71"/>
        <v>0</v>
      </c>
      <c r="AF60" s="265">
        <f t="shared" ca="1" si="71"/>
        <v>0</v>
      </c>
      <c r="AG60" s="265">
        <f t="shared" ca="1" si="71"/>
        <v>0</v>
      </c>
      <c r="AH60" s="265">
        <f t="shared" ca="1" si="71"/>
        <v>0</v>
      </c>
      <c r="AI60" s="265">
        <f t="shared" ca="1" si="66"/>
        <v>0</v>
      </c>
      <c r="AJ60" s="265">
        <f t="shared" ca="1" si="67"/>
        <v>0</v>
      </c>
      <c r="AK60" s="12"/>
      <c r="AL60" s="12"/>
      <c r="AM60" s="12"/>
      <c r="AN60" s="12"/>
      <c r="AO60" s="12"/>
      <c r="AP60" s="12"/>
    </row>
    <row r="61" spans="1:42" x14ac:dyDescent="0.15">
      <c r="A61" s="529">
        <v>540500</v>
      </c>
      <c r="B61" s="457">
        <f t="shared" ca="1" si="63"/>
        <v>135.9864</v>
      </c>
      <c r="C61" s="508" t="s">
        <v>262</v>
      </c>
      <c r="D61" s="134">
        <f ca="1">OFFSET('IE SUMMARY'!D37,0,MoveCount)</f>
        <v>13332</v>
      </c>
      <c r="E61" s="265">
        <f ca="1">D61*(1+GlobalInflation)</f>
        <v>13598.64</v>
      </c>
      <c r="F61" s="326">
        <f t="shared" ca="1" si="64"/>
        <v>1133.22</v>
      </c>
      <c r="G61" s="265">
        <f t="shared" ref="G61:AH61" ca="1" si="72">F61*(1+GlobalInflation)</f>
        <v>1155.8844000000001</v>
      </c>
      <c r="H61" s="265">
        <f t="shared" ca="1" si="72"/>
        <v>1179.0020880000002</v>
      </c>
      <c r="I61" s="265">
        <f t="shared" ca="1" si="72"/>
        <v>1202.5821297600003</v>
      </c>
      <c r="J61" s="265">
        <f t="shared" ca="1" si="72"/>
        <v>1226.6337723552003</v>
      </c>
      <c r="K61" s="265">
        <f t="shared" ca="1" si="72"/>
        <v>1251.1664478023044</v>
      </c>
      <c r="L61" s="265">
        <f t="shared" ca="1" si="72"/>
        <v>1276.1897767583505</v>
      </c>
      <c r="M61" s="265">
        <f t="shared" ca="1" si="72"/>
        <v>1301.7135722935175</v>
      </c>
      <c r="N61" s="265">
        <f t="shared" ca="1" si="72"/>
        <v>1327.7478437393879</v>
      </c>
      <c r="O61" s="265">
        <f t="shared" ca="1" si="72"/>
        <v>1354.3028006141758</v>
      </c>
      <c r="P61" s="265">
        <f t="shared" ca="1" si="72"/>
        <v>1381.3888566264593</v>
      </c>
      <c r="Q61" s="265">
        <f t="shared" ca="1" si="72"/>
        <v>1409.0166337589885</v>
      </c>
      <c r="R61" s="265">
        <f t="shared" ca="1" si="72"/>
        <v>1437.1969664341684</v>
      </c>
      <c r="S61" s="265">
        <f t="shared" ca="1" si="72"/>
        <v>1465.9409057628518</v>
      </c>
      <c r="T61" s="265">
        <f t="shared" ca="1" si="72"/>
        <v>1495.2597238781088</v>
      </c>
      <c r="U61" s="265">
        <f t="shared" ca="1" si="72"/>
        <v>1525.164918355671</v>
      </c>
      <c r="V61" s="265">
        <f t="shared" ca="1" si="72"/>
        <v>1555.6682167227846</v>
      </c>
      <c r="W61" s="265">
        <f t="shared" ca="1" si="72"/>
        <v>1586.7815810572404</v>
      </c>
      <c r="X61" s="265">
        <f t="shared" ca="1" si="72"/>
        <v>1618.5172126783852</v>
      </c>
      <c r="Y61" s="265">
        <f t="shared" ca="1" si="72"/>
        <v>1650.887556931953</v>
      </c>
      <c r="Z61" s="265">
        <f t="shared" ca="1" si="72"/>
        <v>1683.9053080705921</v>
      </c>
      <c r="AA61" s="265">
        <f t="shared" ca="1" si="72"/>
        <v>1717.5834142320041</v>
      </c>
      <c r="AB61" s="265">
        <f t="shared" ca="1" si="72"/>
        <v>1751.9350825166441</v>
      </c>
      <c r="AC61" s="265">
        <f t="shared" ca="1" si="72"/>
        <v>1786.9737841669771</v>
      </c>
      <c r="AD61" s="265">
        <f t="shared" ca="1" si="72"/>
        <v>1822.7132598503167</v>
      </c>
      <c r="AE61" s="265">
        <f t="shared" ca="1" si="72"/>
        <v>1859.1675250473231</v>
      </c>
      <c r="AF61" s="265">
        <f t="shared" ca="1" si="72"/>
        <v>1896.3508755482696</v>
      </c>
      <c r="AG61" s="265">
        <f t="shared" ca="1" si="72"/>
        <v>1934.2778930592351</v>
      </c>
      <c r="AH61" s="265">
        <f t="shared" ca="1" si="72"/>
        <v>1972.9634509204197</v>
      </c>
      <c r="AI61" s="265">
        <f t="shared" ca="1" si="66"/>
        <v>2012.4227199388281</v>
      </c>
      <c r="AJ61" s="265">
        <f t="shared" ca="1" si="67"/>
        <v>2052.6711743376045</v>
      </c>
      <c r="AK61" s="12"/>
      <c r="AL61" s="12"/>
      <c r="AM61" s="12"/>
      <c r="AN61" s="12"/>
      <c r="AO61" s="12"/>
      <c r="AP61" s="12"/>
    </row>
    <row r="62" spans="1:42" x14ac:dyDescent="0.15">
      <c r="A62" s="529">
        <v>540300</v>
      </c>
      <c r="B62" s="457">
        <f t="shared" ca="1" si="63"/>
        <v>0</v>
      </c>
      <c r="C62" s="508" t="s">
        <v>280</v>
      </c>
      <c r="D62" s="134">
        <f ca="1">OFFSET('IE SUMMARY'!D38,0,MoveCount)</f>
        <v>0</v>
      </c>
      <c r="E62" s="265">
        <f ca="1">D62*(1+GlobalInflation)</f>
        <v>0</v>
      </c>
      <c r="F62" s="326">
        <f t="shared" ref="F62" ca="1" si="73">E62/12</f>
        <v>0</v>
      </c>
      <c r="G62" s="265">
        <f t="shared" ref="G62" ca="1" si="74">F62*(1+GlobalInflation)</f>
        <v>0</v>
      </c>
      <c r="H62" s="265">
        <f t="shared" ref="H62" ca="1" si="75">G62*(1+GlobalInflation)</f>
        <v>0</v>
      </c>
      <c r="I62" s="265">
        <f t="shared" ref="I62" ca="1" si="76">H62*(1+GlobalInflation)</f>
        <v>0</v>
      </c>
      <c r="J62" s="265">
        <f t="shared" ref="J62" ca="1" si="77">I62*(1+GlobalInflation)</f>
        <v>0</v>
      </c>
      <c r="K62" s="265">
        <f t="shared" ref="K62" ca="1" si="78">J62*(1+GlobalInflation)</f>
        <v>0</v>
      </c>
      <c r="L62" s="265">
        <f t="shared" ref="L62" ca="1" si="79">K62*(1+GlobalInflation)</f>
        <v>0</v>
      </c>
      <c r="M62" s="265">
        <f t="shared" ref="M62" ca="1" si="80">L62*(1+GlobalInflation)</f>
        <v>0</v>
      </c>
      <c r="N62" s="265">
        <f t="shared" ref="N62" ca="1" si="81">M62*(1+GlobalInflation)</f>
        <v>0</v>
      </c>
      <c r="O62" s="265">
        <f t="shared" ref="O62" ca="1" si="82">N62*(1+GlobalInflation)</f>
        <v>0</v>
      </c>
      <c r="P62" s="265">
        <f t="shared" ref="P62" ca="1" si="83">O62*(1+GlobalInflation)</f>
        <v>0</v>
      </c>
      <c r="Q62" s="265">
        <f t="shared" ref="Q62" ca="1" si="84">P62*(1+GlobalInflation)</f>
        <v>0</v>
      </c>
      <c r="R62" s="265">
        <f t="shared" ref="R62" ca="1" si="85">Q62*(1+GlobalInflation)</f>
        <v>0</v>
      </c>
      <c r="S62" s="265">
        <f t="shared" ref="S62" ca="1" si="86">R62*(1+GlobalInflation)</f>
        <v>0</v>
      </c>
      <c r="T62" s="265">
        <f t="shared" ref="T62" ca="1" si="87">S62*(1+GlobalInflation)</f>
        <v>0</v>
      </c>
      <c r="U62" s="265">
        <f t="shared" ref="U62" ca="1" si="88">T62*(1+GlobalInflation)</f>
        <v>0</v>
      </c>
      <c r="V62" s="265">
        <f t="shared" ref="V62" ca="1" si="89">U62*(1+GlobalInflation)</f>
        <v>0</v>
      </c>
      <c r="W62" s="265">
        <f t="shared" ref="W62" ca="1" si="90">V62*(1+GlobalInflation)</f>
        <v>0</v>
      </c>
      <c r="X62" s="265">
        <f t="shared" ref="X62" ca="1" si="91">W62*(1+GlobalInflation)</f>
        <v>0</v>
      </c>
      <c r="Y62" s="265">
        <f t="shared" ref="Y62" ca="1" si="92">X62*(1+GlobalInflation)</f>
        <v>0</v>
      </c>
      <c r="Z62" s="265">
        <f t="shared" ref="Z62" ca="1" si="93">Y62*(1+GlobalInflation)</f>
        <v>0</v>
      </c>
      <c r="AA62" s="265">
        <f t="shared" ref="AA62" ca="1" si="94">Z62*(1+GlobalInflation)</f>
        <v>0</v>
      </c>
      <c r="AB62" s="265">
        <f t="shared" ref="AB62" ca="1" si="95">AA62*(1+GlobalInflation)</f>
        <v>0</v>
      </c>
      <c r="AC62" s="265">
        <f t="shared" ref="AC62" ca="1" si="96">AB62*(1+GlobalInflation)</f>
        <v>0</v>
      </c>
      <c r="AD62" s="265">
        <f t="shared" ref="AD62" ca="1" si="97">AC62*(1+GlobalInflation)</f>
        <v>0</v>
      </c>
      <c r="AE62" s="265">
        <f t="shared" ref="AE62" ca="1" si="98">AD62*(1+GlobalInflation)</f>
        <v>0</v>
      </c>
      <c r="AF62" s="265">
        <f t="shared" ref="AF62" ca="1" si="99">AE62*(1+GlobalInflation)</f>
        <v>0</v>
      </c>
      <c r="AG62" s="265">
        <f t="shared" ref="AG62" ca="1" si="100">AF62*(1+GlobalInflation)</f>
        <v>0</v>
      </c>
      <c r="AH62" s="265">
        <f t="shared" ref="AH62" ca="1" si="101">AG62*(1+GlobalInflation)</f>
        <v>0</v>
      </c>
      <c r="AI62" s="265">
        <f t="shared" ca="1" si="66"/>
        <v>0</v>
      </c>
      <c r="AJ62" s="265">
        <f t="shared" ca="1" si="67"/>
        <v>0</v>
      </c>
      <c r="AK62" s="12"/>
      <c r="AL62" s="12"/>
      <c r="AM62" s="12"/>
      <c r="AN62" s="12"/>
      <c r="AO62" s="12"/>
      <c r="AP62" s="12"/>
    </row>
    <row r="63" spans="1:42" x14ac:dyDescent="0.15">
      <c r="A63" s="529">
        <v>540200</v>
      </c>
      <c r="B63" s="457">
        <f t="shared" ca="1" si="63"/>
        <v>109.2114</v>
      </c>
      <c r="C63" s="508" t="s">
        <v>281</v>
      </c>
      <c r="D63" s="134">
        <f ca="1">OFFSET('IE SUMMARY'!D39,0,MoveCount)</f>
        <v>10707</v>
      </c>
      <c r="E63" s="265">
        <f ca="1">D63*(1+GlobalInflation)</f>
        <v>10921.14</v>
      </c>
      <c r="F63" s="326">
        <f t="shared" ca="1" si="64"/>
        <v>910.09499999999991</v>
      </c>
      <c r="G63" s="265">
        <f t="shared" ref="G63:AH64" ca="1" si="102">F63*(1+GlobalInflation)</f>
        <v>928.29689999999994</v>
      </c>
      <c r="H63" s="265">
        <f t="shared" ca="1" si="102"/>
        <v>946.8628379999999</v>
      </c>
      <c r="I63" s="265">
        <f t="shared" ca="1" si="102"/>
        <v>965.80009475999987</v>
      </c>
      <c r="J63" s="265">
        <f t="shared" ca="1" si="102"/>
        <v>985.11609665519984</v>
      </c>
      <c r="K63" s="265">
        <f t="shared" ca="1" si="102"/>
        <v>1004.8184185883039</v>
      </c>
      <c r="L63" s="265">
        <f t="shared" ca="1" si="102"/>
        <v>1024.9147869600699</v>
      </c>
      <c r="M63" s="265">
        <f t="shared" ca="1" si="102"/>
        <v>1045.4130826992714</v>
      </c>
      <c r="N63" s="265">
        <f t="shared" ca="1" si="102"/>
        <v>1066.3213443532568</v>
      </c>
      <c r="O63" s="265">
        <f t="shared" ca="1" si="102"/>
        <v>1087.6477712403218</v>
      </c>
      <c r="P63" s="265">
        <f t="shared" ca="1" si="102"/>
        <v>1109.4007266651283</v>
      </c>
      <c r="Q63" s="265">
        <f t="shared" ca="1" si="102"/>
        <v>1131.5887411984309</v>
      </c>
      <c r="R63" s="265">
        <f t="shared" ca="1" si="102"/>
        <v>1154.2205160223996</v>
      </c>
      <c r="S63" s="265">
        <f t="shared" ca="1" si="102"/>
        <v>1177.3049263428477</v>
      </c>
      <c r="T63" s="265">
        <f t="shared" ca="1" si="102"/>
        <v>1200.8510248697046</v>
      </c>
      <c r="U63" s="265">
        <f t="shared" ca="1" si="102"/>
        <v>1224.8680453670986</v>
      </c>
      <c r="V63" s="265">
        <f t="shared" ca="1" si="102"/>
        <v>1249.3654062744406</v>
      </c>
      <c r="W63" s="265">
        <f t="shared" ca="1" si="102"/>
        <v>1274.3527143999295</v>
      </c>
      <c r="X63" s="265">
        <f t="shared" ca="1" si="102"/>
        <v>1299.8397686879282</v>
      </c>
      <c r="Y63" s="265">
        <f t="shared" ca="1" si="102"/>
        <v>1325.8365640616869</v>
      </c>
      <c r="Z63" s="265">
        <f t="shared" ca="1" si="102"/>
        <v>1352.3532953429205</v>
      </c>
      <c r="AA63" s="265">
        <f t="shared" ca="1" si="102"/>
        <v>1379.4003612497791</v>
      </c>
      <c r="AB63" s="265">
        <f t="shared" ca="1" si="102"/>
        <v>1406.9883684747747</v>
      </c>
      <c r="AC63" s="265">
        <f t="shared" ca="1" si="102"/>
        <v>1435.1281358442702</v>
      </c>
      <c r="AD63" s="265">
        <f t="shared" ca="1" si="102"/>
        <v>1463.8306985611557</v>
      </c>
      <c r="AE63" s="265">
        <f t="shared" ca="1" si="102"/>
        <v>1493.107312532379</v>
      </c>
      <c r="AF63" s="265">
        <f t="shared" ca="1" si="102"/>
        <v>1522.9694587830265</v>
      </c>
      <c r="AG63" s="265">
        <f t="shared" ca="1" si="102"/>
        <v>1553.4288479586871</v>
      </c>
      <c r="AH63" s="265">
        <f t="shared" ca="1" si="102"/>
        <v>1584.4974249178608</v>
      </c>
      <c r="AI63" s="265">
        <f t="shared" ca="1" si="66"/>
        <v>1616.1873734162182</v>
      </c>
      <c r="AJ63" s="265">
        <f t="shared" ca="1" si="67"/>
        <v>1648.5111208845426</v>
      </c>
      <c r="AK63" s="12"/>
      <c r="AL63" s="12"/>
      <c r="AM63" s="12"/>
      <c r="AN63" s="12"/>
      <c r="AO63" s="12"/>
      <c r="AP63" s="12"/>
    </row>
    <row r="64" spans="1:42" x14ac:dyDescent="0.15">
      <c r="A64" s="529">
        <v>560140</v>
      </c>
      <c r="B64" s="457">
        <f t="shared" si="63"/>
        <v>40</v>
      </c>
      <c r="C64" s="508" t="s">
        <v>282</v>
      </c>
      <c r="D64" s="134">
        <f ca="1">OFFSET('IE SUMMARY'!D40,0,MoveCount)</f>
        <v>0</v>
      </c>
      <c r="E64" s="265">
        <v>4000</v>
      </c>
      <c r="F64" s="326">
        <f>E64/12</f>
        <v>333.33333333333331</v>
      </c>
      <c r="G64" s="265">
        <f>F64*(1+GlobalInflation)</f>
        <v>340</v>
      </c>
      <c r="H64" s="265">
        <f t="shared" si="102"/>
        <v>346.8</v>
      </c>
      <c r="I64" s="265">
        <f t="shared" si="102"/>
        <v>353.73599999999999</v>
      </c>
      <c r="J64" s="265">
        <f t="shared" si="102"/>
        <v>360.81072</v>
      </c>
      <c r="K64" s="265">
        <f t="shared" si="102"/>
        <v>368.02693440000002</v>
      </c>
      <c r="L64" s="265">
        <f t="shared" si="102"/>
        <v>375.38747308800004</v>
      </c>
      <c r="M64" s="265">
        <f t="shared" si="102"/>
        <v>382.89522254976004</v>
      </c>
      <c r="N64" s="265">
        <f t="shared" si="102"/>
        <v>390.55312700075524</v>
      </c>
      <c r="O64" s="265">
        <f t="shared" si="102"/>
        <v>398.36418954077033</v>
      </c>
      <c r="P64" s="265">
        <f t="shared" si="102"/>
        <v>406.33147333158576</v>
      </c>
      <c r="Q64" s="265">
        <f t="shared" si="102"/>
        <v>414.45810279821745</v>
      </c>
      <c r="R64" s="265">
        <f t="shared" si="102"/>
        <v>422.74726485418182</v>
      </c>
      <c r="S64" s="265">
        <f t="shared" si="102"/>
        <v>431.20221015126549</v>
      </c>
      <c r="T64" s="265">
        <f t="shared" si="102"/>
        <v>439.82625435429082</v>
      </c>
      <c r="U64" s="265">
        <f t="shared" si="102"/>
        <v>448.62277944137662</v>
      </c>
      <c r="V64" s="265">
        <f t="shared" si="102"/>
        <v>457.59523503020415</v>
      </c>
      <c r="W64" s="265">
        <f t="shared" si="102"/>
        <v>466.74713973080821</v>
      </c>
      <c r="X64" s="265">
        <f t="shared" si="102"/>
        <v>476.08208252542437</v>
      </c>
      <c r="Y64" s="265">
        <f t="shared" si="102"/>
        <v>485.60372417593288</v>
      </c>
      <c r="Z64" s="265">
        <f t="shared" si="102"/>
        <v>495.31579865945156</v>
      </c>
      <c r="AA64" s="265">
        <f t="shared" si="102"/>
        <v>505.22211463264063</v>
      </c>
      <c r="AB64" s="265">
        <f t="shared" si="102"/>
        <v>515.3265569252934</v>
      </c>
      <c r="AC64" s="265">
        <f t="shared" si="102"/>
        <v>525.63308806379928</v>
      </c>
      <c r="AD64" s="265">
        <f t="shared" si="102"/>
        <v>536.14574982507531</v>
      </c>
      <c r="AE64" s="265">
        <f t="shared" si="102"/>
        <v>546.86866482157689</v>
      </c>
      <c r="AF64" s="265">
        <f t="shared" si="102"/>
        <v>557.80603811800847</v>
      </c>
      <c r="AG64" s="265">
        <f t="shared" si="102"/>
        <v>568.96215888036863</v>
      </c>
      <c r="AH64" s="265">
        <f t="shared" si="102"/>
        <v>580.34140205797598</v>
      </c>
      <c r="AI64" s="265">
        <f t="shared" si="66"/>
        <v>591.94823009913546</v>
      </c>
      <c r="AJ64" s="265">
        <f t="shared" si="67"/>
        <v>603.78719470111821</v>
      </c>
      <c r="AK64" s="12"/>
      <c r="AL64" s="12"/>
      <c r="AM64" s="12"/>
      <c r="AN64" s="12"/>
      <c r="AO64" s="12"/>
      <c r="AP64" s="12"/>
    </row>
    <row r="65" spans="1:42" x14ac:dyDescent="0.15">
      <c r="A65" s="529">
        <v>502000</v>
      </c>
      <c r="B65" s="457">
        <f t="shared" si="63"/>
        <v>25</v>
      </c>
      <c r="C65" s="508" t="s">
        <v>283</v>
      </c>
      <c r="D65" s="134">
        <f ca="1">OFFSET('IE SUMMARY'!D41,0,MoveCount)</f>
        <v>4553</v>
      </c>
      <c r="E65" s="265">
        <v>2500</v>
      </c>
      <c r="F65" s="326">
        <f t="shared" si="64"/>
        <v>208.33333333333334</v>
      </c>
      <c r="G65" s="265">
        <f t="shared" ref="G65:AH65" si="103">F65*(1+GlobalInflation)</f>
        <v>212.5</v>
      </c>
      <c r="H65" s="265">
        <f t="shared" si="103"/>
        <v>216.75</v>
      </c>
      <c r="I65" s="265">
        <f t="shared" si="103"/>
        <v>221.08500000000001</v>
      </c>
      <c r="J65" s="265">
        <f t="shared" si="103"/>
        <v>225.50670000000002</v>
      </c>
      <c r="K65" s="265">
        <f t="shared" si="103"/>
        <v>230.01683400000002</v>
      </c>
      <c r="L65" s="265">
        <f t="shared" si="103"/>
        <v>234.61717068000002</v>
      </c>
      <c r="M65" s="265">
        <f t="shared" si="103"/>
        <v>239.30951409360003</v>
      </c>
      <c r="N65" s="265">
        <f t="shared" si="103"/>
        <v>244.09570437547202</v>
      </c>
      <c r="O65" s="265">
        <f t="shared" si="103"/>
        <v>248.97761846298147</v>
      </c>
      <c r="P65" s="265">
        <f t="shared" si="103"/>
        <v>253.9571708322411</v>
      </c>
      <c r="Q65" s="265">
        <f t="shared" si="103"/>
        <v>259.03631424888596</v>
      </c>
      <c r="R65" s="265">
        <f t="shared" si="103"/>
        <v>264.21704053386367</v>
      </c>
      <c r="S65" s="265">
        <f t="shared" si="103"/>
        <v>269.50138134454096</v>
      </c>
      <c r="T65" s="265">
        <f t="shared" si="103"/>
        <v>274.89140897143176</v>
      </c>
      <c r="U65" s="265">
        <f t="shared" si="103"/>
        <v>280.38923715086042</v>
      </c>
      <c r="V65" s="265">
        <f t="shared" si="103"/>
        <v>285.99702189387762</v>
      </c>
      <c r="W65" s="265">
        <f t="shared" si="103"/>
        <v>291.71696233175516</v>
      </c>
      <c r="X65" s="265">
        <f t="shared" si="103"/>
        <v>297.55130157839028</v>
      </c>
      <c r="Y65" s="265">
        <f t="shared" si="103"/>
        <v>303.50232760995812</v>
      </c>
      <c r="Z65" s="265">
        <f t="shared" si="103"/>
        <v>309.5723741621573</v>
      </c>
      <c r="AA65" s="265">
        <f t="shared" si="103"/>
        <v>315.76382164540047</v>
      </c>
      <c r="AB65" s="265">
        <f t="shared" si="103"/>
        <v>322.0790980783085</v>
      </c>
      <c r="AC65" s="265">
        <f t="shared" si="103"/>
        <v>328.52068003987466</v>
      </c>
      <c r="AD65" s="265">
        <f t="shared" si="103"/>
        <v>335.09109364067217</v>
      </c>
      <c r="AE65" s="265">
        <f t="shared" si="103"/>
        <v>341.79291551348564</v>
      </c>
      <c r="AF65" s="265">
        <f t="shared" si="103"/>
        <v>348.62877382375535</v>
      </c>
      <c r="AG65" s="265">
        <f t="shared" si="103"/>
        <v>355.60134930023048</v>
      </c>
      <c r="AH65" s="265">
        <f t="shared" si="103"/>
        <v>362.71337628623507</v>
      </c>
      <c r="AI65" s="265">
        <f t="shared" si="66"/>
        <v>369.96764381195976</v>
      </c>
      <c r="AJ65" s="265">
        <f t="shared" si="67"/>
        <v>377.36699668819898</v>
      </c>
      <c r="AK65" s="12"/>
      <c r="AL65" s="12"/>
      <c r="AM65" s="12"/>
      <c r="AN65" s="12"/>
      <c r="AO65" s="12"/>
      <c r="AP65" s="12"/>
    </row>
    <row r="66" spans="1:42" x14ac:dyDescent="0.15">
      <c r="A66" s="529">
        <v>510000</v>
      </c>
      <c r="B66" s="457">
        <f t="shared" si="63"/>
        <v>250</v>
      </c>
      <c r="C66" s="508" t="str">
        <f>"Maintenance / Capital Reserve ("&amp;TEXT(J8,"$0")&amp;" per space / year)"</f>
        <v>Maintenance / Capital Reserve ($250 per space / year)</v>
      </c>
      <c r="D66" s="134">
        <f ca="1">OFFSET('IE SUMMARY'!D42,0,MoveCount)</f>
        <v>21781</v>
      </c>
      <c r="E66" s="265">
        <f>J8*NoOfSpaces</f>
        <v>25000</v>
      </c>
      <c r="F66" s="326">
        <f t="shared" ref="F66:F74" si="104">E66/12</f>
        <v>2083.3333333333335</v>
      </c>
      <c r="G66" s="265">
        <f t="shared" ref="G66:AH66" si="105">F66*(1+GlobalInflation)</f>
        <v>2125</v>
      </c>
      <c r="H66" s="265">
        <f t="shared" si="105"/>
        <v>2167.5</v>
      </c>
      <c r="I66" s="265">
        <f t="shared" si="105"/>
        <v>2210.85</v>
      </c>
      <c r="J66" s="265">
        <f t="shared" si="105"/>
        <v>2255.067</v>
      </c>
      <c r="K66" s="265">
        <f t="shared" si="105"/>
        <v>2300.1683400000002</v>
      </c>
      <c r="L66" s="265">
        <f t="shared" si="105"/>
        <v>2346.1717068000003</v>
      </c>
      <c r="M66" s="265">
        <f t="shared" si="105"/>
        <v>2393.0951409360005</v>
      </c>
      <c r="N66" s="265">
        <f t="shared" si="105"/>
        <v>2440.9570437547204</v>
      </c>
      <c r="O66" s="265">
        <f t="shared" si="105"/>
        <v>2489.7761846298149</v>
      </c>
      <c r="P66" s="265">
        <f t="shared" si="105"/>
        <v>2539.5717083224113</v>
      </c>
      <c r="Q66" s="265">
        <f t="shared" si="105"/>
        <v>2590.3631424888595</v>
      </c>
      <c r="R66" s="265">
        <f t="shared" si="105"/>
        <v>2642.1704053386366</v>
      </c>
      <c r="S66" s="265">
        <f t="shared" si="105"/>
        <v>2695.0138134454091</v>
      </c>
      <c r="T66" s="265">
        <f t="shared" si="105"/>
        <v>2748.9140897143175</v>
      </c>
      <c r="U66" s="265">
        <f t="shared" si="105"/>
        <v>2803.8923715086039</v>
      </c>
      <c r="V66" s="265">
        <f t="shared" si="105"/>
        <v>2859.9702189387758</v>
      </c>
      <c r="W66" s="265">
        <f t="shared" si="105"/>
        <v>2917.1696233175512</v>
      </c>
      <c r="X66" s="265">
        <f t="shared" si="105"/>
        <v>2975.5130157839021</v>
      </c>
      <c r="Y66" s="265">
        <f t="shared" si="105"/>
        <v>3035.02327609958</v>
      </c>
      <c r="Z66" s="265">
        <f t="shared" si="105"/>
        <v>3095.7237416215717</v>
      </c>
      <c r="AA66" s="265">
        <f t="shared" si="105"/>
        <v>3157.6382164540032</v>
      </c>
      <c r="AB66" s="265">
        <f t="shared" si="105"/>
        <v>3220.7909807830833</v>
      </c>
      <c r="AC66" s="265">
        <f t="shared" si="105"/>
        <v>3285.2068003987451</v>
      </c>
      <c r="AD66" s="265">
        <f t="shared" si="105"/>
        <v>3350.9109364067199</v>
      </c>
      <c r="AE66" s="265">
        <f t="shared" si="105"/>
        <v>3417.9291551348542</v>
      </c>
      <c r="AF66" s="265">
        <f t="shared" si="105"/>
        <v>3486.2877382375514</v>
      </c>
      <c r="AG66" s="265">
        <f t="shared" si="105"/>
        <v>3556.0134930023023</v>
      </c>
      <c r="AH66" s="265">
        <f t="shared" si="105"/>
        <v>3627.1337628623482</v>
      </c>
      <c r="AI66" s="265">
        <f t="shared" si="66"/>
        <v>3699.6764381195953</v>
      </c>
      <c r="AJ66" s="265">
        <f t="shared" si="67"/>
        <v>3773.6699668819874</v>
      </c>
      <c r="AK66" s="12"/>
      <c r="AL66" s="12"/>
      <c r="AM66" s="12"/>
      <c r="AN66" s="12"/>
      <c r="AO66" s="12"/>
      <c r="AP66" s="12"/>
    </row>
    <row r="67" spans="1:42" x14ac:dyDescent="0.15">
      <c r="A67" s="529">
        <v>520000</v>
      </c>
      <c r="B67" s="457">
        <f t="shared" ca="1" si="63"/>
        <v>151.04159999999999</v>
      </c>
      <c r="C67" s="32" t="s">
        <v>284</v>
      </c>
      <c r="D67" s="134">
        <f ca="1">OFFSET('IE SUMMARY'!D43,0,MoveCount)</f>
        <v>14808</v>
      </c>
      <c r="E67" s="265">
        <f ca="1">+D67*1.02</f>
        <v>15104.16</v>
      </c>
      <c r="F67" s="326">
        <f ca="1">E67/12</f>
        <v>1258.68</v>
      </c>
      <c r="G67" s="265">
        <f t="shared" ref="G67:AH67" ca="1" si="106">F67*(1+GlobalInflation)</f>
        <v>1283.8536000000001</v>
      </c>
      <c r="H67" s="265">
        <f t="shared" ca="1" si="106"/>
        <v>1309.5306720000001</v>
      </c>
      <c r="I67" s="265">
        <f t="shared" ca="1" si="106"/>
        <v>1335.7212854400002</v>
      </c>
      <c r="J67" s="265">
        <f t="shared" ca="1" si="106"/>
        <v>1362.4357111488002</v>
      </c>
      <c r="K67" s="265">
        <f t="shared" ca="1" si="106"/>
        <v>1389.6844253717763</v>
      </c>
      <c r="L67" s="265">
        <f t="shared" ca="1" si="106"/>
        <v>1417.4781138792118</v>
      </c>
      <c r="M67" s="265">
        <f t="shared" ca="1" si="106"/>
        <v>1445.8276761567961</v>
      </c>
      <c r="N67" s="265">
        <f t="shared" ca="1" si="106"/>
        <v>1474.744229679932</v>
      </c>
      <c r="O67" s="265">
        <f t="shared" ca="1" si="106"/>
        <v>1504.2391142735307</v>
      </c>
      <c r="P67" s="265">
        <f t="shared" ca="1" si="106"/>
        <v>1534.3238965590015</v>
      </c>
      <c r="Q67" s="265">
        <f t="shared" ca="1" si="106"/>
        <v>1565.0103744901814</v>
      </c>
      <c r="R67" s="265">
        <f t="shared" ca="1" si="106"/>
        <v>1596.310581979985</v>
      </c>
      <c r="S67" s="265">
        <f t="shared" ca="1" si="106"/>
        <v>1628.2367936195849</v>
      </c>
      <c r="T67" s="265">
        <f t="shared" ca="1" si="106"/>
        <v>1660.8015294919767</v>
      </c>
      <c r="U67" s="265">
        <f t="shared" ca="1" si="106"/>
        <v>1694.0175600818163</v>
      </c>
      <c r="V67" s="265">
        <f t="shared" ca="1" si="106"/>
        <v>1727.8979112834527</v>
      </c>
      <c r="W67" s="265">
        <f t="shared" ca="1" si="106"/>
        <v>1762.4558695091218</v>
      </c>
      <c r="X67" s="265">
        <f t="shared" ca="1" si="106"/>
        <v>1797.7049868993042</v>
      </c>
      <c r="Y67" s="265">
        <f t="shared" ca="1" si="106"/>
        <v>1833.6590866372903</v>
      </c>
      <c r="Z67" s="265">
        <f t="shared" ca="1" si="106"/>
        <v>1870.3322683700362</v>
      </c>
      <c r="AA67" s="265">
        <f t="shared" ca="1" si="106"/>
        <v>1907.7389137374371</v>
      </c>
      <c r="AB67" s="265">
        <f t="shared" ca="1" si="106"/>
        <v>1945.893692012186</v>
      </c>
      <c r="AC67" s="265">
        <f t="shared" ca="1" si="106"/>
        <v>1984.8115658524298</v>
      </c>
      <c r="AD67" s="265">
        <f t="shared" ca="1" si="106"/>
        <v>2024.5077971694784</v>
      </c>
      <c r="AE67" s="265">
        <f t="shared" ca="1" si="106"/>
        <v>2064.9979531128679</v>
      </c>
      <c r="AF67" s="265">
        <f t="shared" ca="1" si="106"/>
        <v>2106.2979121751255</v>
      </c>
      <c r="AG67" s="265">
        <f t="shared" ca="1" si="106"/>
        <v>2148.4238704186282</v>
      </c>
      <c r="AH67" s="265">
        <f t="shared" ca="1" si="106"/>
        <v>2191.3923478270008</v>
      </c>
      <c r="AI67" s="265">
        <f t="shared" ca="1" si="66"/>
        <v>2235.220194783541</v>
      </c>
      <c r="AJ67" s="265">
        <f t="shared" ca="1" si="67"/>
        <v>2279.9245986792121</v>
      </c>
      <c r="AK67" s="12"/>
      <c r="AL67" s="12"/>
      <c r="AM67" s="12"/>
      <c r="AN67" s="12"/>
      <c r="AO67" s="12"/>
      <c r="AP67" s="12"/>
    </row>
    <row r="68" spans="1:42" x14ac:dyDescent="0.15">
      <c r="A68" s="529">
        <v>530000</v>
      </c>
      <c r="B68" s="457">
        <f t="shared" ca="1" si="63"/>
        <v>504.8082</v>
      </c>
      <c r="C68" s="508" t="s">
        <v>285</v>
      </c>
      <c r="D68" s="134">
        <f ca="1">OFFSET('IE SUMMARY'!D44,0,MoveCount)</f>
        <v>49491</v>
      </c>
      <c r="E68" s="265">
        <f ca="1">+D68*1.02</f>
        <v>50480.82</v>
      </c>
      <c r="F68" s="326">
        <f ca="1">E68/12</f>
        <v>4206.7349999999997</v>
      </c>
      <c r="G68" s="265">
        <f t="shared" ref="G68:AH68" ca="1" si="107">F68*(1+GlobalInflation)</f>
        <v>4290.8697000000002</v>
      </c>
      <c r="H68" s="265">
        <f t="shared" ca="1" si="107"/>
        <v>4376.6870939999999</v>
      </c>
      <c r="I68" s="265">
        <f t="shared" ca="1" si="107"/>
        <v>4464.2208358799999</v>
      </c>
      <c r="J68" s="265">
        <f t="shared" ca="1" si="107"/>
        <v>4553.5052525975998</v>
      </c>
      <c r="K68" s="265">
        <f t="shared" ca="1" si="107"/>
        <v>4644.5753576495517</v>
      </c>
      <c r="L68" s="265">
        <f t="shared" ca="1" si="107"/>
        <v>4737.4668648025427</v>
      </c>
      <c r="M68" s="265">
        <f t="shared" ca="1" si="107"/>
        <v>4832.2162020985934</v>
      </c>
      <c r="N68" s="265">
        <f t="shared" ca="1" si="107"/>
        <v>4928.8605261405655</v>
      </c>
      <c r="O68" s="265">
        <f t="shared" ca="1" si="107"/>
        <v>5027.4377366633771</v>
      </c>
      <c r="P68" s="265">
        <f t="shared" ca="1" si="107"/>
        <v>5127.9864913966449</v>
      </c>
      <c r="Q68" s="265">
        <f t="shared" ca="1" si="107"/>
        <v>5230.5462212245775</v>
      </c>
      <c r="R68" s="265">
        <f t="shared" ca="1" si="107"/>
        <v>5335.1571456490692</v>
      </c>
      <c r="S68" s="265">
        <f t="shared" ca="1" si="107"/>
        <v>5441.8602885620503</v>
      </c>
      <c r="T68" s="265">
        <f t="shared" ca="1" si="107"/>
        <v>5550.6974943332916</v>
      </c>
      <c r="U68" s="265">
        <f t="shared" ca="1" si="107"/>
        <v>5661.7114442199572</v>
      </c>
      <c r="V68" s="265">
        <f t="shared" ca="1" si="107"/>
        <v>5774.9456731043565</v>
      </c>
      <c r="W68" s="265">
        <f t="shared" ca="1" si="107"/>
        <v>5890.4445865664438</v>
      </c>
      <c r="X68" s="265">
        <f t="shared" ca="1" si="107"/>
        <v>6008.2534782977727</v>
      </c>
      <c r="Y68" s="265">
        <f t="shared" ca="1" si="107"/>
        <v>6128.4185478637282</v>
      </c>
      <c r="Z68" s="265">
        <f t="shared" ca="1" si="107"/>
        <v>6250.9869188210032</v>
      </c>
      <c r="AA68" s="265">
        <f t="shared" ca="1" si="107"/>
        <v>6376.006657197423</v>
      </c>
      <c r="AB68" s="265">
        <f t="shared" ca="1" si="107"/>
        <v>6503.5267903413715</v>
      </c>
      <c r="AC68" s="265">
        <f t="shared" ca="1" si="107"/>
        <v>6633.5973261481986</v>
      </c>
      <c r="AD68" s="265">
        <f t="shared" ca="1" si="107"/>
        <v>6766.269272671163</v>
      </c>
      <c r="AE68" s="265">
        <f t="shared" ca="1" si="107"/>
        <v>6901.5946581245862</v>
      </c>
      <c r="AF68" s="265">
        <f t="shared" ca="1" si="107"/>
        <v>7039.6265512870777</v>
      </c>
      <c r="AG68" s="265">
        <f t="shared" ca="1" si="107"/>
        <v>7180.4190823128192</v>
      </c>
      <c r="AH68" s="265">
        <f t="shared" ca="1" si="107"/>
        <v>7324.0274639590762</v>
      </c>
      <c r="AI68" s="265">
        <f t="shared" ca="1" si="66"/>
        <v>7470.5080132382582</v>
      </c>
      <c r="AJ68" s="265">
        <f t="shared" ca="1" si="67"/>
        <v>7619.9181735030234</v>
      </c>
      <c r="AK68" s="12"/>
      <c r="AL68" s="12"/>
      <c r="AM68" s="12"/>
      <c r="AN68" s="12"/>
      <c r="AO68" s="12"/>
      <c r="AP68" s="12"/>
    </row>
    <row r="69" spans="1:42" x14ac:dyDescent="0.15">
      <c r="A69" s="529">
        <v>700100</v>
      </c>
      <c r="B69" s="457">
        <f t="shared" si="63"/>
        <v>423.67</v>
      </c>
      <c r="C69" s="508" t="s">
        <v>286</v>
      </c>
      <c r="D69" s="134">
        <f ca="1">OFFSET('IE SUMMARY'!D45,0,MoveCount)</f>
        <v>3435</v>
      </c>
      <c r="E69" s="265">
        <v>42367</v>
      </c>
      <c r="F69" s="326">
        <f>E69/12</f>
        <v>3530.5833333333335</v>
      </c>
      <c r="G69" s="265">
        <f t="shared" ref="G69:AH69" si="108">F69*(1+GlobalInflation)</f>
        <v>3601.1950000000002</v>
      </c>
      <c r="H69" s="265">
        <f t="shared" si="108"/>
        <v>3673.2189000000003</v>
      </c>
      <c r="I69" s="265">
        <f t="shared" si="108"/>
        <v>3746.6832780000004</v>
      </c>
      <c r="J69" s="265">
        <f t="shared" si="108"/>
        <v>3821.6169435600004</v>
      </c>
      <c r="K69" s="265">
        <f t="shared" si="108"/>
        <v>3898.0492824312005</v>
      </c>
      <c r="L69" s="265">
        <f t="shared" si="108"/>
        <v>3976.0102680798245</v>
      </c>
      <c r="M69" s="265">
        <f t="shared" si="108"/>
        <v>4055.5304734414212</v>
      </c>
      <c r="N69" s="265">
        <f t="shared" si="108"/>
        <v>4136.6410829102497</v>
      </c>
      <c r="O69" s="265">
        <f t="shared" si="108"/>
        <v>4219.3739045684551</v>
      </c>
      <c r="P69" s="265">
        <f t="shared" si="108"/>
        <v>4303.7613826598244</v>
      </c>
      <c r="Q69" s="265">
        <f t="shared" si="108"/>
        <v>4389.8366103130211</v>
      </c>
      <c r="R69" s="265">
        <f t="shared" si="108"/>
        <v>4477.6333425192815</v>
      </c>
      <c r="S69" s="265">
        <f t="shared" si="108"/>
        <v>4567.1860093696669</v>
      </c>
      <c r="T69" s="265">
        <f t="shared" si="108"/>
        <v>4658.5297295570599</v>
      </c>
      <c r="U69" s="265">
        <f t="shared" si="108"/>
        <v>4751.7003241482016</v>
      </c>
      <c r="V69" s="265">
        <f t="shared" si="108"/>
        <v>4846.7343306311659</v>
      </c>
      <c r="W69" s="265">
        <f t="shared" si="108"/>
        <v>4943.6690172437893</v>
      </c>
      <c r="X69" s="265">
        <f t="shared" si="108"/>
        <v>5042.5423975886652</v>
      </c>
      <c r="Y69" s="265">
        <f t="shared" si="108"/>
        <v>5143.3932455404383</v>
      </c>
      <c r="Z69" s="265">
        <f t="shared" si="108"/>
        <v>5246.2611104512471</v>
      </c>
      <c r="AA69" s="265">
        <f t="shared" si="108"/>
        <v>5351.1863326602725</v>
      </c>
      <c r="AB69" s="265">
        <f t="shared" si="108"/>
        <v>5458.2100593134783</v>
      </c>
      <c r="AC69" s="265">
        <f t="shared" si="108"/>
        <v>5567.3742604997478</v>
      </c>
      <c r="AD69" s="265">
        <f t="shared" si="108"/>
        <v>5678.7217457097431</v>
      </c>
      <c r="AE69" s="265">
        <f t="shared" si="108"/>
        <v>5792.2961806239382</v>
      </c>
      <c r="AF69" s="265">
        <f t="shared" si="108"/>
        <v>5908.1421042364173</v>
      </c>
      <c r="AG69" s="265">
        <f t="shared" si="108"/>
        <v>6026.3049463211455</v>
      </c>
      <c r="AH69" s="265">
        <f t="shared" si="108"/>
        <v>6146.8310452475689</v>
      </c>
      <c r="AI69" s="265">
        <f t="shared" si="66"/>
        <v>6269.7676661525202</v>
      </c>
      <c r="AJ69" s="265">
        <f t="shared" si="67"/>
        <v>6395.1630194755708</v>
      </c>
      <c r="AK69" s="12"/>
      <c r="AL69" s="12"/>
      <c r="AM69" s="12"/>
      <c r="AN69" s="12"/>
      <c r="AO69" s="12"/>
      <c r="AP69" s="12"/>
    </row>
    <row r="70" spans="1:42" x14ac:dyDescent="0.15">
      <c r="A70" s="529">
        <v>720100</v>
      </c>
      <c r="B70" s="457">
        <f t="shared" si="63"/>
        <v>70</v>
      </c>
      <c r="C70" s="508" t="s">
        <v>287</v>
      </c>
      <c r="D70" s="134">
        <f ca="1">OFFSET('IE SUMMARY'!D46,0,MoveCount)</f>
        <v>11558</v>
      </c>
      <c r="E70" s="265">
        <f>J9*NoOfSpaces</f>
        <v>7000</v>
      </c>
      <c r="F70" s="326">
        <f>E70/12</f>
        <v>583.33333333333337</v>
      </c>
      <c r="G70" s="265">
        <f t="shared" ref="G70:AH70" si="109">F70*(1+GlobalInflation)</f>
        <v>595</v>
      </c>
      <c r="H70" s="265">
        <f t="shared" si="109"/>
        <v>606.9</v>
      </c>
      <c r="I70" s="265">
        <f t="shared" si="109"/>
        <v>619.03800000000001</v>
      </c>
      <c r="J70" s="265">
        <f t="shared" si="109"/>
        <v>631.41876000000002</v>
      </c>
      <c r="K70" s="265">
        <f t="shared" si="109"/>
        <v>644.04713520000007</v>
      </c>
      <c r="L70" s="265">
        <f t="shared" si="109"/>
        <v>656.92807790400013</v>
      </c>
      <c r="M70" s="265">
        <f t="shared" si="109"/>
        <v>670.06663946208016</v>
      </c>
      <c r="N70" s="265">
        <f t="shared" si="109"/>
        <v>683.46797225132173</v>
      </c>
      <c r="O70" s="265">
        <f t="shared" si="109"/>
        <v>697.13733169634816</v>
      </c>
      <c r="P70" s="265">
        <f t="shared" si="109"/>
        <v>711.08007833027511</v>
      </c>
      <c r="Q70" s="265">
        <f t="shared" si="109"/>
        <v>725.30167989688061</v>
      </c>
      <c r="R70" s="265">
        <f t="shared" si="109"/>
        <v>739.80771349481824</v>
      </c>
      <c r="S70" s="265">
        <f t="shared" si="109"/>
        <v>754.60386776471466</v>
      </c>
      <c r="T70" s="265">
        <f t="shared" si="109"/>
        <v>769.69594512000901</v>
      </c>
      <c r="U70" s="265">
        <f t="shared" si="109"/>
        <v>785.08986402240919</v>
      </c>
      <c r="V70" s="265">
        <f t="shared" si="109"/>
        <v>800.79166130285739</v>
      </c>
      <c r="W70" s="265">
        <f t="shared" si="109"/>
        <v>816.8074945289145</v>
      </c>
      <c r="X70" s="265">
        <f t="shared" si="109"/>
        <v>833.14364441949283</v>
      </c>
      <c r="Y70" s="265">
        <f t="shared" si="109"/>
        <v>849.8065173078827</v>
      </c>
      <c r="Z70" s="265">
        <f t="shared" si="109"/>
        <v>866.80264765404036</v>
      </c>
      <c r="AA70" s="265">
        <f t="shared" si="109"/>
        <v>884.13870060712122</v>
      </c>
      <c r="AB70" s="265">
        <f t="shared" si="109"/>
        <v>901.82147461926365</v>
      </c>
      <c r="AC70" s="265">
        <f t="shared" si="109"/>
        <v>919.85790411164896</v>
      </c>
      <c r="AD70" s="265">
        <f t="shared" si="109"/>
        <v>938.25506219388194</v>
      </c>
      <c r="AE70" s="265">
        <f t="shared" si="109"/>
        <v>957.02016343775961</v>
      </c>
      <c r="AF70" s="265">
        <f t="shared" si="109"/>
        <v>976.16056670651483</v>
      </c>
      <c r="AG70" s="265">
        <f t="shared" si="109"/>
        <v>995.68377804064517</v>
      </c>
      <c r="AH70" s="265">
        <f t="shared" si="109"/>
        <v>1015.5974536014581</v>
      </c>
      <c r="AI70" s="265">
        <f t="shared" si="66"/>
        <v>1035.9094026734874</v>
      </c>
      <c r="AJ70" s="265">
        <f t="shared" si="67"/>
        <v>1056.6275907269571</v>
      </c>
      <c r="AK70" s="12"/>
      <c r="AL70" s="12"/>
      <c r="AM70" s="12"/>
      <c r="AN70" s="12"/>
      <c r="AO70" s="12"/>
      <c r="AP70" s="12"/>
    </row>
    <row r="71" spans="1:42" x14ac:dyDescent="0.15">
      <c r="A71" s="529">
        <v>560110</v>
      </c>
      <c r="B71" s="457">
        <f t="shared" si="63"/>
        <v>10.95</v>
      </c>
      <c r="C71" s="508" t="s">
        <v>288</v>
      </c>
      <c r="D71" s="134">
        <f ca="1">OFFSET('IE SUMMARY'!D47,0,MoveCount)</f>
        <v>0</v>
      </c>
      <c r="E71" s="265">
        <f>195+(75*12)</f>
        <v>1095</v>
      </c>
      <c r="F71" s="326">
        <f t="shared" si="104"/>
        <v>91.25</v>
      </c>
      <c r="G71" s="265">
        <f t="shared" ref="G71:AH71" si="110">F71*(1+GlobalInflation)</f>
        <v>93.075000000000003</v>
      </c>
      <c r="H71" s="265">
        <f t="shared" si="110"/>
        <v>94.936500000000009</v>
      </c>
      <c r="I71" s="265">
        <f t="shared" si="110"/>
        <v>96.83523000000001</v>
      </c>
      <c r="J71" s="265">
        <f t="shared" si="110"/>
        <v>98.771934600000009</v>
      </c>
      <c r="K71" s="265">
        <f t="shared" si="110"/>
        <v>100.74737329200001</v>
      </c>
      <c r="L71" s="265">
        <f t="shared" si="110"/>
        <v>102.76232075784</v>
      </c>
      <c r="M71" s="265">
        <f t="shared" si="110"/>
        <v>104.8175671729968</v>
      </c>
      <c r="N71" s="265">
        <f t="shared" si="110"/>
        <v>106.91391851645675</v>
      </c>
      <c r="O71" s="265">
        <f t="shared" si="110"/>
        <v>109.05219688678588</v>
      </c>
      <c r="P71" s="265">
        <f t="shared" si="110"/>
        <v>111.2332408245216</v>
      </c>
      <c r="Q71" s="265">
        <f t="shared" si="110"/>
        <v>113.45790564101203</v>
      </c>
      <c r="R71" s="265">
        <f t="shared" si="110"/>
        <v>115.72706375383227</v>
      </c>
      <c r="S71" s="265">
        <f t="shared" si="110"/>
        <v>118.04160502890892</v>
      </c>
      <c r="T71" s="265">
        <f t="shared" si="110"/>
        <v>120.4024371294871</v>
      </c>
      <c r="U71" s="265">
        <f t="shared" si="110"/>
        <v>122.81048587207684</v>
      </c>
      <c r="V71" s="265">
        <f t="shared" si="110"/>
        <v>125.26669558951838</v>
      </c>
      <c r="W71" s="265">
        <f t="shared" si="110"/>
        <v>127.77202950130875</v>
      </c>
      <c r="X71" s="265">
        <f t="shared" si="110"/>
        <v>130.32747009133493</v>
      </c>
      <c r="Y71" s="265">
        <f t="shared" si="110"/>
        <v>132.93401949316163</v>
      </c>
      <c r="Z71" s="265">
        <f t="shared" si="110"/>
        <v>135.59269988302486</v>
      </c>
      <c r="AA71" s="265">
        <f t="shared" si="110"/>
        <v>138.30455388068538</v>
      </c>
      <c r="AB71" s="265">
        <f t="shared" si="110"/>
        <v>141.07064495829908</v>
      </c>
      <c r="AC71" s="265">
        <f t="shared" si="110"/>
        <v>143.89205785746506</v>
      </c>
      <c r="AD71" s="265">
        <f t="shared" si="110"/>
        <v>146.76989901461437</v>
      </c>
      <c r="AE71" s="265">
        <f t="shared" si="110"/>
        <v>149.70529699490666</v>
      </c>
      <c r="AF71" s="265">
        <f t="shared" si="110"/>
        <v>152.69940293480479</v>
      </c>
      <c r="AG71" s="265">
        <f t="shared" si="110"/>
        <v>155.75339099350089</v>
      </c>
      <c r="AH71" s="265">
        <f t="shared" si="110"/>
        <v>158.86845881337089</v>
      </c>
      <c r="AI71" s="265">
        <f t="shared" si="66"/>
        <v>162.04582798963833</v>
      </c>
      <c r="AJ71" s="265">
        <f t="shared" si="67"/>
        <v>165.28674454943109</v>
      </c>
      <c r="AK71" s="12"/>
      <c r="AL71" s="12"/>
      <c r="AM71" s="12"/>
      <c r="AN71" s="12"/>
      <c r="AO71" s="12"/>
      <c r="AP71" s="12"/>
    </row>
    <row r="72" spans="1:42" x14ac:dyDescent="0.15">
      <c r="A72" s="529">
        <v>506200</v>
      </c>
      <c r="B72" s="457">
        <f t="shared" si="63"/>
        <v>25</v>
      </c>
      <c r="C72" s="508" t="s">
        <v>289</v>
      </c>
      <c r="D72" s="134">
        <f ca="1">OFFSET('IE SUMMARY'!D48,0,MoveCount)</f>
        <v>5289</v>
      </c>
      <c r="E72" s="265">
        <v>2500</v>
      </c>
      <c r="F72" s="326">
        <f>E72/12</f>
        <v>208.33333333333334</v>
      </c>
      <c r="G72" s="265">
        <f t="shared" ref="G72:AH72" si="111">F72*(1+GlobalInflation)</f>
        <v>212.5</v>
      </c>
      <c r="H72" s="265">
        <f t="shared" si="111"/>
        <v>216.75</v>
      </c>
      <c r="I72" s="265">
        <f t="shared" si="111"/>
        <v>221.08500000000001</v>
      </c>
      <c r="J72" s="265">
        <f t="shared" si="111"/>
        <v>225.50670000000002</v>
      </c>
      <c r="K72" s="265">
        <f t="shared" si="111"/>
        <v>230.01683400000002</v>
      </c>
      <c r="L72" s="265">
        <f t="shared" si="111"/>
        <v>234.61717068000002</v>
      </c>
      <c r="M72" s="265">
        <f t="shared" si="111"/>
        <v>239.30951409360003</v>
      </c>
      <c r="N72" s="265">
        <f t="shared" si="111"/>
        <v>244.09570437547202</v>
      </c>
      <c r="O72" s="265">
        <f t="shared" si="111"/>
        <v>248.97761846298147</v>
      </c>
      <c r="P72" s="265">
        <f t="shared" si="111"/>
        <v>253.9571708322411</v>
      </c>
      <c r="Q72" s="265">
        <f t="shared" si="111"/>
        <v>259.03631424888596</v>
      </c>
      <c r="R72" s="265">
        <f t="shared" si="111"/>
        <v>264.21704053386367</v>
      </c>
      <c r="S72" s="265">
        <f t="shared" si="111"/>
        <v>269.50138134454096</v>
      </c>
      <c r="T72" s="265">
        <f t="shared" si="111"/>
        <v>274.89140897143176</v>
      </c>
      <c r="U72" s="265">
        <f t="shared" si="111"/>
        <v>280.38923715086042</v>
      </c>
      <c r="V72" s="265">
        <f t="shared" si="111"/>
        <v>285.99702189387762</v>
      </c>
      <c r="W72" s="265">
        <f t="shared" si="111"/>
        <v>291.71696233175516</v>
      </c>
      <c r="X72" s="265">
        <f t="shared" si="111"/>
        <v>297.55130157839028</v>
      </c>
      <c r="Y72" s="265">
        <f t="shared" si="111"/>
        <v>303.50232760995812</v>
      </c>
      <c r="Z72" s="265">
        <f t="shared" si="111"/>
        <v>309.5723741621573</v>
      </c>
      <c r="AA72" s="265">
        <f t="shared" si="111"/>
        <v>315.76382164540047</v>
      </c>
      <c r="AB72" s="265">
        <f t="shared" si="111"/>
        <v>322.0790980783085</v>
      </c>
      <c r="AC72" s="265">
        <f t="shared" si="111"/>
        <v>328.52068003987466</v>
      </c>
      <c r="AD72" s="265">
        <f t="shared" si="111"/>
        <v>335.09109364067217</v>
      </c>
      <c r="AE72" s="265">
        <f t="shared" si="111"/>
        <v>341.79291551348564</v>
      </c>
      <c r="AF72" s="265">
        <f t="shared" si="111"/>
        <v>348.62877382375535</v>
      </c>
      <c r="AG72" s="265">
        <f t="shared" si="111"/>
        <v>355.60134930023048</v>
      </c>
      <c r="AH72" s="265">
        <f t="shared" si="111"/>
        <v>362.71337628623507</v>
      </c>
      <c r="AI72" s="265">
        <f t="shared" si="66"/>
        <v>369.96764381195976</v>
      </c>
      <c r="AJ72" s="265">
        <f t="shared" si="67"/>
        <v>377.36699668819898</v>
      </c>
      <c r="AK72" s="12"/>
      <c r="AL72" s="12"/>
      <c r="AM72" s="12"/>
      <c r="AN72" s="12"/>
      <c r="AO72" s="12"/>
      <c r="AP72" s="12"/>
    </row>
    <row r="73" spans="1:42" x14ac:dyDescent="0.15">
      <c r="A73" s="529">
        <v>700200</v>
      </c>
      <c r="B73" s="457">
        <f t="shared" si="63"/>
        <v>17</v>
      </c>
      <c r="C73" s="508" t="s">
        <v>290</v>
      </c>
      <c r="D73" s="134">
        <f ca="1">OFFSET('IE SUMMARY'!D49,0,MoveCount)</f>
        <v>0</v>
      </c>
      <c r="E73" s="265">
        <v>1700</v>
      </c>
      <c r="F73" s="326">
        <f t="shared" si="104"/>
        <v>141.66666666666666</v>
      </c>
      <c r="G73" s="265">
        <f t="shared" ref="G73:AH73" si="112">F73*(1+GlobalInflation)</f>
        <v>144.5</v>
      </c>
      <c r="H73" s="265">
        <f t="shared" si="112"/>
        <v>147.39000000000001</v>
      </c>
      <c r="I73" s="265">
        <f t="shared" si="112"/>
        <v>150.33780000000002</v>
      </c>
      <c r="J73" s="265">
        <f t="shared" si="112"/>
        <v>153.34455600000001</v>
      </c>
      <c r="K73" s="265">
        <f t="shared" si="112"/>
        <v>156.41144712000002</v>
      </c>
      <c r="L73" s="265">
        <f t="shared" si="112"/>
        <v>159.53967606240002</v>
      </c>
      <c r="M73" s="265">
        <f t="shared" si="112"/>
        <v>162.73046958364802</v>
      </c>
      <c r="N73" s="265">
        <f t="shared" si="112"/>
        <v>165.98507897532099</v>
      </c>
      <c r="O73" s="265">
        <f t="shared" si="112"/>
        <v>169.3047805548274</v>
      </c>
      <c r="P73" s="265">
        <f t="shared" si="112"/>
        <v>172.69087616592395</v>
      </c>
      <c r="Q73" s="265">
        <f t="shared" si="112"/>
        <v>176.14469368924244</v>
      </c>
      <c r="R73" s="265">
        <f t="shared" si="112"/>
        <v>179.6675875630273</v>
      </c>
      <c r="S73" s="265">
        <f t="shared" si="112"/>
        <v>183.26093931428784</v>
      </c>
      <c r="T73" s="265">
        <f t="shared" si="112"/>
        <v>186.92615810057359</v>
      </c>
      <c r="U73" s="265">
        <f t="shared" si="112"/>
        <v>190.66468126258505</v>
      </c>
      <c r="V73" s="265">
        <f t="shared" si="112"/>
        <v>194.47797488783675</v>
      </c>
      <c r="W73" s="265">
        <f t="shared" si="112"/>
        <v>198.3675343855935</v>
      </c>
      <c r="X73" s="265">
        <f t="shared" si="112"/>
        <v>202.33488507330537</v>
      </c>
      <c r="Y73" s="265">
        <f t="shared" si="112"/>
        <v>206.38158277477149</v>
      </c>
      <c r="Z73" s="265">
        <f t="shared" si="112"/>
        <v>210.50921443026692</v>
      </c>
      <c r="AA73" s="265">
        <f t="shared" si="112"/>
        <v>214.71939871887227</v>
      </c>
      <c r="AB73" s="265">
        <f t="shared" si="112"/>
        <v>219.01378669324973</v>
      </c>
      <c r="AC73" s="265">
        <f t="shared" si="112"/>
        <v>223.39406242711473</v>
      </c>
      <c r="AD73" s="265">
        <f t="shared" si="112"/>
        <v>227.86194367565705</v>
      </c>
      <c r="AE73" s="265">
        <f t="shared" si="112"/>
        <v>232.41918254917019</v>
      </c>
      <c r="AF73" s="265">
        <f t="shared" si="112"/>
        <v>237.06756620015361</v>
      </c>
      <c r="AG73" s="265">
        <f t="shared" si="112"/>
        <v>241.80891752415667</v>
      </c>
      <c r="AH73" s="265">
        <f t="shared" si="112"/>
        <v>246.64509587463979</v>
      </c>
      <c r="AI73" s="265">
        <f t="shared" si="66"/>
        <v>251.57799779213261</v>
      </c>
      <c r="AJ73" s="265">
        <f t="shared" si="67"/>
        <v>256.60955774797526</v>
      </c>
      <c r="AK73" s="12"/>
      <c r="AL73" s="12"/>
      <c r="AM73" s="12"/>
      <c r="AN73" s="12"/>
      <c r="AO73" s="12"/>
      <c r="AP73" s="12"/>
    </row>
    <row r="74" spans="1:42" x14ac:dyDescent="0.15">
      <c r="A74" s="529">
        <v>501100</v>
      </c>
      <c r="B74" s="457">
        <f t="shared" si="63"/>
        <v>0</v>
      </c>
      <c r="C74" s="508" t="s">
        <v>291</v>
      </c>
      <c r="D74" s="134">
        <f ca="1">OFFSET('IE SUMMARY'!D50,0,MoveCount)</f>
        <v>472</v>
      </c>
      <c r="E74" s="265">
        <v>0</v>
      </c>
      <c r="F74" s="326">
        <f t="shared" si="104"/>
        <v>0</v>
      </c>
      <c r="G74" s="265">
        <f t="shared" ref="G74:AH74" si="113">F74*(1+GlobalInflation)</f>
        <v>0</v>
      </c>
      <c r="H74" s="265">
        <f t="shared" si="113"/>
        <v>0</v>
      </c>
      <c r="I74" s="265">
        <f t="shared" si="113"/>
        <v>0</v>
      </c>
      <c r="J74" s="265">
        <f t="shared" si="113"/>
        <v>0</v>
      </c>
      <c r="K74" s="265">
        <f t="shared" si="113"/>
        <v>0</v>
      </c>
      <c r="L74" s="265">
        <f t="shared" si="113"/>
        <v>0</v>
      </c>
      <c r="M74" s="265">
        <f t="shared" si="113"/>
        <v>0</v>
      </c>
      <c r="N74" s="265">
        <f t="shared" si="113"/>
        <v>0</v>
      </c>
      <c r="O74" s="265">
        <f t="shared" si="113"/>
        <v>0</v>
      </c>
      <c r="P74" s="265">
        <f t="shared" si="113"/>
        <v>0</v>
      </c>
      <c r="Q74" s="265">
        <f t="shared" si="113"/>
        <v>0</v>
      </c>
      <c r="R74" s="265">
        <f t="shared" si="113"/>
        <v>0</v>
      </c>
      <c r="S74" s="265">
        <f t="shared" si="113"/>
        <v>0</v>
      </c>
      <c r="T74" s="265">
        <f t="shared" si="113"/>
        <v>0</v>
      </c>
      <c r="U74" s="265">
        <f t="shared" si="113"/>
        <v>0</v>
      </c>
      <c r="V74" s="265">
        <f t="shared" si="113"/>
        <v>0</v>
      </c>
      <c r="W74" s="265">
        <f t="shared" si="113"/>
        <v>0</v>
      </c>
      <c r="X74" s="265">
        <f t="shared" si="113"/>
        <v>0</v>
      </c>
      <c r="Y74" s="265">
        <f t="shared" si="113"/>
        <v>0</v>
      </c>
      <c r="Z74" s="265">
        <f t="shared" si="113"/>
        <v>0</v>
      </c>
      <c r="AA74" s="265">
        <f t="shared" si="113"/>
        <v>0</v>
      </c>
      <c r="AB74" s="265">
        <f t="shared" si="113"/>
        <v>0</v>
      </c>
      <c r="AC74" s="265">
        <f t="shared" si="113"/>
        <v>0</v>
      </c>
      <c r="AD74" s="265">
        <f t="shared" si="113"/>
        <v>0</v>
      </c>
      <c r="AE74" s="265">
        <f t="shared" si="113"/>
        <v>0</v>
      </c>
      <c r="AF74" s="265">
        <f t="shared" si="113"/>
        <v>0</v>
      </c>
      <c r="AG74" s="265">
        <f t="shared" si="113"/>
        <v>0</v>
      </c>
      <c r="AH74" s="265">
        <f t="shared" si="113"/>
        <v>0</v>
      </c>
      <c r="AI74" s="265">
        <f t="shared" si="66"/>
        <v>0</v>
      </c>
      <c r="AJ74" s="265">
        <f t="shared" si="67"/>
        <v>0</v>
      </c>
      <c r="AK74" s="12"/>
      <c r="AL74" s="12"/>
      <c r="AM74" s="12"/>
      <c r="AN74" s="12"/>
      <c r="AO74" s="12"/>
      <c r="AP74" s="12"/>
    </row>
    <row r="75" spans="1:42" x14ac:dyDescent="0.15">
      <c r="A75" s="529">
        <v>506100</v>
      </c>
      <c r="B75" s="457">
        <f t="shared" si="63"/>
        <v>24.5</v>
      </c>
      <c r="C75" s="508" t="s">
        <v>292</v>
      </c>
      <c r="D75" s="134">
        <f ca="1">OFFSET('IE SUMMARY'!D51,0,MoveCount)</f>
        <v>0</v>
      </c>
      <c r="E75" s="265">
        <v>2450</v>
      </c>
      <c r="F75" s="326">
        <f>E75/12</f>
        <v>204.16666666666666</v>
      </c>
      <c r="G75" s="265">
        <f t="shared" ref="G75:AH75" si="114">F75*(1+GlobalInflation)</f>
        <v>208.25</v>
      </c>
      <c r="H75" s="265">
        <f t="shared" si="114"/>
        <v>212.41499999999999</v>
      </c>
      <c r="I75" s="265">
        <f t="shared" si="114"/>
        <v>216.66329999999999</v>
      </c>
      <c r="J75" s="265">
        <f t="shared" si="114"/>
        <v>220.996566</v>
      </c>
      <c r="K75" s="265">
        <f t="shared" si="114"/>
        <v>225.41649732000002</v>
      </c>
      <c r="L75" s="265">
        <f t="shared" si="114"/>
        <v>229.92482726640003</v>
      </c>
      <c r="M75" s="265">
        <f t="shared" si="114"/>
        <v>234.52332381172803</v>
      </c>
      <c r="N75" s="265">
        <f t="shared" si="114"/>
        <v>239.21379028796261</v>
      </c>
      <c r="O75" s="265">
        <f t="shared" si="114"/>
        <v>243.99806609372186</v>
      </c>
      <c r="P75" s="265">
        <f t="shared" si="114"/>
        <v>248.87802741559631</v>
      </c>
      <c r="Q75" s="265">
        <f t="shared" si="114"/>
        <v>253.85558796390825</v>
      </c>
      <c r="R75" s="265">
        <f t="shared" si="114"/>
        <v>258.93269972318643</v>
      </c>
      <c r="S75" s="265">
        <f t="shared" si="114"/>
        <v>264.11135371765016</v>
      </c>
      <c r="T75" s="265">
        <f t="shared" si="114"/>
        <v>269.39358079200315</v>
      </c>
      <c r="U75" s="265">
        <f t="shared" si="114"/>
        <v>274.78145240784323</v>
      </c>
      <c r="V75" s="265">
        <f t="shared" si="114"/>
        <v>280.27708145600008</v>
      </c>
      <c r="W75" s="265">
        <f t="shared" si="114"/>
        <v>285.88262308512009</v>
      </c>
      <c r="X75" s="265">
        <f t="shared" si="114"/>
        <v>291.6002755468225</v>
      </c>
      <c r="Y75" s="265">
        <f t="shared" si="114"/>
        <v>297.43228105775898</v>
      </c>
      <c r="Z75" s="265">
        <f t="shared" si="114"/>
        <v>303.38092667891419</v>
      </c>
      <c r="AA75" s="265">
        <f t="shared" si="114"/>
        <v>309.44854521249249</v>
      </c>
      <c r="AB75" s="265">
        <f t="shared" si="114"/>
        <v>315.63751611674235</v>
      </c>
      <c r="AC75" s="265">
        <f t="shared" si="114"/>
        <v>321.95026643907721</v>
      </c>
      <c r="AD75" s="265">
        <f t="shared" si="114"/>
        <v>328.38927176785876</v>
      </c>
      <c r="AE75" s="265">
        <f t="shared" si="114"/>
        <v>334.95705720321592</v>
      </c>
      <c r="AF75" s="265">
        <f t="shared" si="114"/>
        <v>341.65619834728022</v>
      </c>
      <c r="AG75" s="265">
        <f t="shared" si="114"/>
        <v>348.48932231422583</v>
      </c>
      <c r="AH75" s="265">
        <f t="shared" si="114"/>
        <v>355.45910876051033</v>
      </c>
      <c r="AI75" s="265">
        <f t="shared" si="66"/>
        <v>362.56829093572054</v>
      </c>
      <c r="AJ75" s="265">
        <f t="shared" si="67"/>
        <v>369.81965675443496</v>
      </c>
      <c r="AK75" s="12"/>
      <c r="AL75" s="12"/>
      <c r="AM75" s="12"/>
      <c r="AN75" s="12"/>
      <c r="AO75" s="12"/>
      <c r="AP75" s="12"/>
    </row>
    <row r="76" spans="1:42" x14ac:dyDescent="0.15">
      <c r="A76" s="529">
        <v>700400</v>
      </c>
      <c r="B76" s="457">
        <f t="shared" ca="1" si="63"/>
        <v>0</v>
      </c>
      <c r="C76" s="508" t="s">
        <v>293</v>
      </c>
      <c r="D76" s="134">
        <f ca="1">OFFSET('IE SUMMARY'!D52,0,MoveCount)</f>
        <v>0</v>
      </c>
      <c r="E76" s="265">
        <f ca="1">+D76*1.02</f>
        <v>0</v>
      </c>
      <c r="F76" s="326">
        <f ca="1">E76/12</f>
        <v>0</v>
      </c>
      <c r="G76" s="265">
        <f t="shared" ref="G76:AH76" ca="1" si="115">F76*(1+GlobalInflation)</f>
        <v>0</v>
      </c>
      <c r="H76" s="265">
        <f t="shared" ca="1" si="115"/>
        <v>0</v>
      </c>
      <c r="I76" s="265">
        <f t="shared" ca="1" si="115"/>
        <v>0</v>
      </c>
      <c r="J76" s="265">
        <f t="shared" ca="1" si="115"/>
        <v>0</v>
      </c>
      <c r="K76" s="265">
        <f t="shared" ca="1" si="115"/>
        <v>0</v>
      </c>
      <c r="L76" s="265">
        <f t="shared" ca="1" si="115"/>
        <v>0</v>
      </c>
      <c r="M76" s="265">
        <f t="shared" ca="1" si="115"/>
        <v>0</v>
      </c>
      <c r="N76" s="265">
        <f t="shared" ca="1" si="115"/>
        <v>0</v>
      </c>
      <c r="O76" s="265">
        <f t="shared" ca="1" si="115"/>
        <v>0</v>
      </c>
      <c r="P76" s="265">
        <f t="shared" ca="1" si="115"/>
        <v>0</v>
      </c>
      <c r="Q76" s="265">
        <f t="shared" ca="1" si="115"/>
        <v>0</v>
      </c>
      <c r="R76" s="265">
        <f t="shared" ca="1" si="115"/>
        <v>0</v>
      </c>
      <c r="S76" s="265">
        <f t="shared" ca="1" si="115"/>
        <v>0</v>
      </c>
      <c r="T76" s="265">
        <f t="shared" ca="1" si="115"/>
        <v>0</v>
      </c>
      <c r="U76" s="265">
        <f t="shared" ca="1" si="115"/>
        <v>0</v>
      </c>
      <c r="V76" s="265">
        <f t="shared" ca="1" si="115"/>
        <v>0</v>
      </c>
      <c r="W76" s="265">
        <f t="shared" ca="1" si="115"/>
        <v>0</v>
      </c>
      <c r="X76" s="265">
        <f t="shared" ca="1" si="115"/>
        <v>0</v>
      </c>
      <c r="Y76" s="265">
        <f t="shared" ca="1" si="115"/>
        <v>0</v>
      </c>
      <c r="Z76" s="265">
        <f t="shared" ca="1" si="115"/>
        <v>0</v>
      </c>
      <c r="AA76" s="265">
        <f t="shared" ca="1" si="115"/>
        <v>0</v>
      </c>
      <c r="AB76" s="265">
        <f t="shared" ca="1" si="115"/>
        <v>0</v>
      </c>
      <c r="AC76" s="265">
        <f t="shared" ca="1" si="115"/>
        <v>0</v>
      </c>
      <c r="AD76" s="265">
        <f t="shared" ca="1" si="115"/>
        <v>0</v>
      </c>
      <c r="AE76" s="265">
        <f t="shared" ca="1" si="115"/>
        <v>0</v>
      </c>
      <c r="AF76" s="265">
        <f t="shared" ca="1" si="115"/>
        <v>0</v>
      </c>
      <c r="AG76" s="265">
        <f t="shared" ca="1" si="115"/>
        <v>0</v>
      </c>
      <c r="AH76" s="265">
        <f t="shared" ca="1" si="115"/>
        <v>0</v>
      </c>
      <c r="AI76" s="265">
        <f t="shared" ca="1" si="66"/>
        <v>0</v>
      </c>
      <c r="AJ76" s="265">
        <f t="shared" ca="1" si="67"/>
        <v>0</v>
      </c>
      <c r="AK76" s="12"/>
      <c r="AL76" s="12"/>
      <c r="AM76" s="12"/>
      <c r="AN76" s="12"/>
      <c r="AO76" s="12"/>
      <c r="AP76" s="12"/>
    </row>
    <row r="77" spans="1:42" x14ac:dyDescent="0.15">
      <c r="A77" s="529">
        <v>506400</v>
      </c>
      <c r="B77" s="457">
        <f t="shared" si="63"/>
        <v>18</v>
      </c>
      <c r="C77" s="508" t="s">
        <v>294</v>
      </c>
      <c r="D77" s="134">
        <f ca="1">OFFSET('IE SUMMARY'!D53,0,MoveCount)</f>
        <v>1422</v>
      </c>
      <c r="E77" s="265">
        <f>12*(50+(1*NoOfSpaces))</f>
        <v>1800</v>
      </c>
      <c r="F77" s="326">
        <f>E77/12</f>
        <v>150</v>
      </c>
      <c r="G77" s="265">
        <f t="shared" ref="G77:AH77" si="116">F77*(1+GlobalInflation)</f>
        <v>153</v>
      </c>
      <c r="H77" s="265">
        <f t="shared" si="116"/>
        <v>156.06</v>
      </c>
      <c r="I77" s="265">
        <f t="shared" si="116"/>
        <v>159.18120000000002</v>
      </c>
      <c r="J77" s="265">
        <f t="shared" si="116"/>
        <v>162.36482400000003</v>
      </c>
      <c r="K77" s="265">
        <f t="shared" si="116"/>
        <v>165.61212048000004</v>
      </c>
      <c r="L77" s="265">
        <f t="shared" si="116"/>
        <v>168.92436288960005</v>
      </c>
      <c r="M77" s="265">
        <f t="shared" si="116"/>
        <v>172.30285014739206</v>
      </c>
      <c r="N77" s="265">
        <f t="shared" si="116"/>
        <v>175.7489071503399</v>
      </c>
      <c r="O77" s="265">
        <f t="shared" si="116"/>
        <v>179.2638852933467</v>
      </c>
      <c r="P77" s="265">
        <f t="shared" si="116"/>
        <v>182.84916299921363</v>
      </c>
      <c r="Q77" s="265">
        <f t="shared" si="116"/>
        <v>186.50614625919792</v>
      </c>
      <c r="R77" s="265">
        <f t="shared" si="116"/>
        <v>190.23626918438188</v>
      </c>
      <c r="S77" s="265">
        <f t="shared" si="116"/>
        <v>194.04099456806952</v>
      </c>
      <c r="T77" s="265">
        <f t="shared" si="116"/>
        <v>197.92181445943092</v>
      </c>
      <c r="U77" s="265">
        <f t="shared" si="116"/>
        <v>201.88025074861955</v>
      </c>
      <c r="V77" s="265">
        <f t="shared" si="116"/>
        <v>205.91785576359194</v>
      </c>
      <c r="W77" s="265">
        <f t="shared" si="116"/>
        <v>210.03621287886378</v>
      </c>
      <c r="X77" s="265">
        <f t="shared" si="116"/>
        <v>214.23693713644107</v>
      </c>
      <c r="Y77" s="265">
        <f t="shared" si="116"/>
        <v>218.52167587916989</v>
      </c>
      <c r="Z77" s="265">
        <f t="shared" si="116"/>
        <v>222.89210939675328</v>
      </c>
      <c r="AA77" s="265">
        <f t="shared" si="116"/>
        <v>227.34995158468834</v>
      </c>
      <c r="AB77" s="265">
        <f t="shared" si="116"/>
        <v>231.8969506163821</v>
      </c>
      <c r="AC77" s="265">
        <f t="shared" si="116"/>
        <v>236.53488962870975</v>
      </c>
      <c r="AD77" s="265">
        <f t="shared" si="116"/>
        <v>241.26558742128395</v>
      </c>
      <c r="AE77" s="265">
        <f t="shared" si="116"/>
        <v>246.09089916970964</v>
      </c>
      <c r="AF77" s="265">
        <f t="shared" si="116"/>
        <v>251.01271715310384</v>
      </c>
      <c r="AG77" s="265">
        <f t="shared" si="116"/>
        <v>256.03297149616594</v>
      </c>
      <c r="AH77" s="265">
        <f t="shared" si="116"/>
        <v>261.15363092608925</v>
      </c>
      <c r="AI77" s="265">
        <f t="shared" si="66"/>
        <v>266.37670354461102</v>
      </c>
      <c r="AJ77" s="265">
        <f t="shared" si="67"/>
        <v>271.70423761550325</v>
      </c>
      <c r="AK77" s="12"/>
      <c r="AL77" s="12"/>
      <c r="AM77" s="12"/>
      <c r="AN77" s="12"/>
      <c r="AO77" s="12"/>
      <c r="AP77" s="12"/>
    </row>
    <row r="78" spans="1:42" x14ac:dyDescent="0.15">
      <c r="A78" s="529">
        <v>560000</v>
      </c>
      <c r="B78" s="457">
        <f t="shared" si="63"/>
        <v>15</v>
      </c>
      <c r="C78" s="508" t="s">
        <v>295</v>
      </c>
      <c r="D78" s="134">
        <f ca="1">OFFSET('IE SUMMARY'!D54,0,MoveCount)</f>
        <v>4777</v>
      </c>
      <c r="E78" s="265">
        <v>1500</v>
      </c>
      <c r="F78" s="326">
        <f>E78/12</f>
        <v>125</v>
      </c>
      <c r="G78" s="265">
        <f t="shared" ref="G78:AH78" si="117">F78*(1+GlobalInflation)</f>
        <v>127.5</v>
      </c>
      <c r="H78" s="265">
        <f t="shared" si="117"/>
        <v>130.05000000000001</v>
      </c>
      <c r="I78" s="265">
        <f t="shared" si="117"/>
        <v>132.65100000000001</v>
      </c>
      <c r="J78" s="265">
        <f t="shared" si="117"/>
        <v>135.30402000000001</v>
      </c>
      <c r="K78" s="265">
        <f t="shared" si="117"/>
        <v>138.0101004</v>
      </c>
      <c r="L78" s="265">
        <f t="shared" si="117"/>
        <v>140.77030240799999</v>
      </c>
      <c r="M78" s="265">
        <f t="shared" si="117"/>
        <v>143.58570845616001</v>
      </c>
      <c r="N78" s="265">
        <f t="shared" si="117"/>
        <v>146.45742262528321</v>
      </c>
      <c r="O78" s="265">
        <f t="shared" si="117"/>
        <v>149.38657107778889</v>
      </c>
      <c r="P78" s="265">
        <f t="shared" si="117"/>
        <v>152.37430249934468</v>
      </c>
      <c r="Q78" s="265">
        <f t="shared" si="117"/>
        <v>155.42178854933158</v>
      </c>
      <c r="R78" s="265">
        <f t="shared" si="117"/>
        <v>158.53022432031821</v>
      </c>
      <c r="S78" s="265">
        <f t="shared" si="117"/>
        <v>161.70082880672459</v>
      </c>
      <c r="T78" s="265">
        <f t="shared" si="117"/>
        <v>164.93484538285909</v>
      </c>
      <c r="U78" s="265">
        <f t="shared" si="117"/>
        <v>168.23354229051628</v>
      </c>
      <c r="V78" s="265">
        <f t="shared" si="117"/>
        <v>171.59821313632662</v>
      </c>
      <c r="W78" s="265">
        <f t="shared" si="117"/>
        <v>175.03017739905314</v>
      </c>
      <c r="X78" s="265">
        <f t="shared" si="117"/>
        <v>178.5307809470342</v>
      </c>
      <c r="Y78" s="265">
        <f t="shared" si="117"/>
        <v>182.10139656597488</v>
      </c>
      <c r="Z78" s="265">
        <f t="shared" si="117"/>
        <v>185.74342449729437</v>
      </c>
      <c r="AA78" s="265">
        <f t="shared" si="117"/>
        <v>189.45829298724027</v>
      </c>
      <c r="AB78" s="265">
        <f t="shared" si="117"/>
        <v>193.24745884698507</v>
      </c>
      <c r="AC78" s="265">
        <f t="shared" si="117"/>
        <v>197.11240802392479</v>
      </c>
      <c r="AD78" s="265">
        <f t="shared" si="117"/>
        <v>201.05465618440329</v>
      </c>
      <c r="AE78" s="265">
        <f t="shared" si="117"/>
        <v>205.07574930809136</v>
      </c>
      <c r="AF78" s="265">
        <f t="shared" si="117"/>
        <v>209.17726429425318</v>
      </c>
      <c r="AG78" s="265">
        <f t="shared" si="117"/>
        <v>213.36080958013824</v>
      </c>
      <c r="AH78" s="265">
        <f t="shared" si="117"/>
        <v>217.62802577174099</v>
      </c>
      <c r="AI78" s="265">
        <f t="shared" si="66"/>
        <v>221.98058628717581</v>
      </c>
      <c r="AJ78" s="265">
        <f t="shared" si="67"/>
        <v>226.42019801291934</v>
      </c>
      <c r="AK78" s="12"/>
      <c r="AL78" s="12"/>
      <c r="AM78" s="12"/>
      <c r="AN78" s="12"/>
      <c r="AO78" s="12"/>
      <c r="AP78" s="12"/>
    </row>
    <row r="79" spans="1:42" x14ac:dyDescent="0.15">
      <c r="A79" s="529">
        <v>500000</v>
      </c>
      <c r="B79" s="457">
        <f t="shared" si="63"/>
        <v>240</v>
      </c>
      <c r="C79" s="508" t="str">
        <f>"Professional Mgmt ("&amp;TEXT(MgmtFeeLimit,"$0,0")&amp;"/mo or "&amp;TEXT(MgmtFee,"0.0%"&amp;")")</f>
        <v>Professional Mgmt ($2,000/mo or 5.0%)</v>
      </c>
      <c r="D79" s="134">
        <f ca="1">OFFSET('IE SUMMARY'!D55,0,MoveCount)</f>
        <v>78884</v>
      </c>
      <c r="E79" s="265">
        <f>F79*12</f>
        <v>24000</v>
      </c>
      <c r="F79" s="327">
        <f t="shared" ref="F79:AH79" si="118">IF(F53*MgmtFee&gt;MgmtFeeLimit,F53*MgmtFee,MgmtFeeLimit)</f>
        <v>2000</v>
      </c>
      <c r="G79" s="265">
        <f t="shared" si="118"/>
        <v>2271.8494999999998</v>
      </c>
      <c r="H79" s="265">
        <f t="shared" si="118"/>
        <v>2711.5764900000004</v>
      </c>
      <c r="I79" s="265">
        <f t="shared" si="118"/>
        <v>2815.4030198</v>
      </c>
      <c r="J79" s="265">
        <f t="shared" si="118"/>
        <v>2923.3626801959999</v>
      </c>
      <c r="K79" s="265">
        <f t="shared" si="118"/>
        <v>3035.6203977999207</v>
      </c>
      <c r="L79" s="265">
        <f t="shared" si="118"/>
        <v>3152.3476883159192</v>
      </c>
      <c r="M79" s="265">
        <f t="shared" si="118"/>
        <v>3273.7229199446374</v>
      </c>
      <c r="N79" s="265">
        <f t="shared" si="118"/>
        <v>3399.9315873204273</v>
      </c>
      <c r="O79" s="265">
        <f t="shared" si="118"/>
        <v>3531.166596402807</v>
      </c>
      <c r="P79" s="265">
        <f t="shared" si="118"/>
        <v>3667.628560760274</v>
      </c>
      <c r="Q79" s="265">
        <f t="shared" si="118"/>
        <v>3809.5261097020666</v>
      </c>
      <c r="R79" s="265">
        <f t="shared" si="118"/>
        <v>3957.0762087317598</v>
      </c>
      <c r="S79" s="265">
        <f t="shared" si="118"/>
        <v>4110.5044928154703</v>
      </c>
      <c r="T79" s="265">
        <f t="shared" si="118"/>
        <v>4270.0456129772201</v>
      </c>
      <c r="U79" s="265">
        <f t="shared" si="118"/>
        <v>4435.9435967544232</v>
      </c>
      <c r="V79" s="265">
        <f t="shared" si="118"/>
        <v>4608.4522230678758</v>
      </c>
      <c r="W79" s="265">
        <f t="shared" si="118"/>
        <v>4787.8354120827307</v>
      </c>
      <c r="X79" s="265">
        <f t="shared" si="118"/>
        <v>4974.3676306600246</v>
      </c>
      <c r="Y79" s="265">
        <f t="shared" si="118"/>
        <v>5168.3343140222878</v>
      </c>
      <c r="Z79" s="265">
        <f t="shared" si="118"/>
        <v>5370.0323042817608</v>
      </c>
      <c r="AA79" s="265">
        <f t="shared" si="118"/>
        <v>5579.770306505583</v>
      </c>
      <c r="AB79" s="265">
        <f t="shared" si="118"/>
        <v>5797.8693630194102</v>
      </c>
      <c r="AC79" s="265">
        <f t="shared" si="118"/>
        <v>6024.6633466788617</v>
      </c>
      <c r="AD79" s="265">
        <f t="shared" si="118"/>
        <v>6260.499473867465</v>
      </c>
      <c r="AE79" s="265">
        <f t="shared" si="118"/>
        <v>6505.7388380100419</v>
      </c>
      <c r="AF79" s="265">
        <f t="shared" si="118"/>
        <v>6760.7569644220785</v>
      </c>
      <c r="AG79" s="265">
        <f t="shared" si="118"/>
        <v>7025.9443873484306</v>
      </c>
      <c r="AH79" s="265">
        <f t="shared" si="118"/>
        <v>7301.7072500788245</v>
      </c>
      <c r="AI79" s="265">
        <f t="shared" ref="AI79:AJ79" si="119">IF(AI53*MgmtFee&gt;MgmtFeeLimit,AI53*MgmtFee,MgmtFeeLimit)</f>
        <v>7588.4679290631657</v>
      </c>
      <c r="AJ79" s="265">
        <f t="shared" si="119"/>
        <v>7886.6656829865024</v>
      </c>
      <c r="AK79" s="12"/>
      <c r="AL79" s="12"/>
      <c r="AM79" s="12"/>
      <c r="AN79" s="12"/>
      <c r="AO79" s="12"/>
      <c r="AP79" s="12"/>
    </row>
    <row r="80" spans="1:42" ht="14" thickBot="1" x14ac:dyDescent="0.2">
      <c r="A80" s="505"/>
      <c r="B80" s="593">
        <f t="shared" ca="1" si="63"/>
        <v>200.60013333333333</v>
      </c>
      <c r="C80" s="589" t="s">
        <v>296</v>
      </c>
      <c r="D80" s="590">
        <f ca="1">SUM(D56:D79)/12</f>
        <v>20766.666666666668</v>
      </c>
      <c r="E80" s="591">
        <f ca="1">F80</f>
        <v>20060.013333333332</v>
      </c>
      <c r="F80" s="595">
        <f t="shared" ref="F80:AH80" ca="1" si="120">SUM(F56:F79)</f>
        <v>20060.013333333332</v>
      </c>
      <c r="G80" s="595">
        <f t="shared" ca="1" si="120"/>
        <v>20693.063099999999</v>
      </c>
      <c r="H80" s="595">
        <f t="shared" ca="1" si="120"/>
        <v>21501.214362000002</v>
      </c>
      <c r="I80" s="595">
        <f t="shared" ca="1" si="120"/>
        <v>21980.833649240001</v>
      </c>
      <c r="J80" s="595">
        <f t="shared" ca="1" si="120"/>
        <v>22472.101922224807</v>
      </c>
      <c r="K80" s="595">
        <f t="shared" ca="1" si="120"/>
        <v>22975.334424669298</v>
      </c>
      <c r="L80" s="595">
        <f t="shared" ca="1" si="120"/>
        <v>23490.855995722686</v>
      </c>
      <c r="M80" s="595">
        <f t="shared" ca="1" si="120"/>
        <v>24019.001393499533</v>
      </c>
      <c r="N80" s="595">
        <f t="shared" ca="1" si="120"/>
        <v>24560.11563034643</v>
      </c>
      <c r="O80" s="595">
        <f t="shared" ca="1" si="120"/>
        <v>25114.554320289324</v>
      </c>
      <c r="P80" s="595">
        <f t="shared" ca="1" si="120"/>
        <v>25682.684039124524</v>
      </c>
      <c r="Q80" s="595">
        <f t="shared" ca="1" si="120"/>
        <v>26264.882697633606</v>
      </c>
      <c r="R80" s="595">
        <f t="shared" ca="1" si="120"/>
        <v>26861.539928421924</v>
      </c>
      <c r="S80" s="595">
        <f t="shared" ca="1" si="120"/>
        <v>27473.057486899444</v>
      </c>
      <c r="T80" s="595">
        <f t="shared" ca="1" si="120"/>
        <v>28099.849666942871</v>
      </c>
      <c r="U80" s="595">
        <f t="shared" ca="1" si="120"/>
        <v>28742.343731799378</v>
      </c>
      <c r="V80" s="595">
        <f t="shared" ca="1" si="120"/>
        <v>29400.980360813737</v>
      </c>
      <c r="W80" s="595">
        <f t="shared" ca="1" si="120"/>
        <v>30076.214112583515</v>
      </c>
      <c r="X80" s="595">
        <f t="shared" ca="1" si="120"/>
        <v>30768.513905170821</v>
      </c>
      <c r="Y80" s="595">
        <f t="shared" ca="1" si="120"/>
        <v>31478.363514023295</v>
      </c>
      <c r="Z80" s="595">
        <f t="shared" ca="1" si="120"/>
        <v>32206.262088282798</v>
      </c>
      <c r="AA80" s="595">
        <f t="shared" ca="1" si="120"/>
        <v>32952.724686186637</v>
      </c>
      <c r="AB80" s="595">
        <f t="shared" ca="1" si="120"/>
        <v>33718.282830294083</v>
      </c>
      <c r="AC80" s="595">
        <f t="shared" ca="1" si="120"/>
        <v>34503.485083299041</v>
      </c>
      <c r="AD80" s="595">
        <f t="shared" ca="1" si="120"/>
        <v>35308.897645220037</v>
      </c>
      <c r="AE80" s="595">
        <f t="shared" ca="1" si="120"/>
        <v>36135.104972789675</v>
      </c>
      <c r="AF80" s="595">
        <f t="shared" ca="1" si="120"/>
        <v>36982.710421897296</v>
      </c>
      <c r="AG80" s="595">
        <f t="shared" ca="1" si="120"/>
        <v>37852.336913973166</v>
      </c>
      <c r="AH80" s="595">
        <f t="shared" ca="1" si="120"/>
        <v>38744.627627236041</v>
      </c>
      <c r="AI80" s="595">
        <f t="shared" ref="AI80:AJ80" ca="1" si="121">SUM(AI56:AI79)</f>
        <v>39660.246713763539</v>
      </c>
      <c r="AJ80" s="595">
        <f t="shared" ca="1" si="121"/>
        <v>40599.880043380879</v>
      </c>
      <c r="AK80" s="505"/>
      <c r="AL80" s="505"/>
      <c r="AM80" s="505"/>
      <c r="AN80" s="505"/>
      <c r="AO80" s="505"/>
      <c r="AP80" s="505"/>
    </row>
    <row r="81" spans="2:78" ht="14" thickTop="1" x14ac:dyDescent="0.15">
      <c r="C81" s="14"/>
      <c r="D81" s="276" t="str">
        <f ca="1">TEXT(SUM(D56:D79),"0,0")&amp;"  ("&amp;TEXT((SUM(D56:D79)/D52),"0%")&amp;")"</f>
        <v>249,200  (35%)</v>
      </c>
      <c r="E81" s="325">
        <f ca="1">E80*12</f>
        <v>240720.15999999997</v>
      </c>
      <c r="F81" s="287" t="str">
        <f t="shared" ref="F81:K81" ca="1" si="122">"Ratio= "&amp;TEXT(F80/F53,"0%")</f>
        <v>Ratio= 55%</v>
      </c>
      <c r="G81" s="287" t="str">
        <f t="shared" ca="1" si="122"/>
        <v>Ratio= 46%</v>
      </c>
      <c r="H81" s="287" t="str">
        <f t="shared" ca="1" si="122"/>
        <v>Ratio= 40%</v>
      </c>
      <c r="I81" s="287" t="str">
        <f t="shared" ca="1" si="122"/>
        <v>Ratio= 39%</v>
      </c>
      <c r="J81" s="287" t="str">
        <f t="shared" ca="1" si="122"/>
        <v>Ratio= 38%</v>
      </c>
      <c r="K81" s="287" t="str">
        <f t="shared" ca="1" si="122"/>
        <v>Ratio= 38%</v>
      </c>
      <c r="L81" s="328"/>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505"/>
      <c r="AW81" s="505"/>
      <c r="AX81" s="505"/>
      <c r="AY81" s="505"/>
      <c r="AZ81" s="505"/>
      <c r="BA81" s="505"/>
      <c r="BB81" s="505"/>
      <c r="BC81" s="505"/>
      <c r="BD81" s="505"/>
      <c r="BE81" s="505"/>
      <c r="BF81" s="505"/>
      <c r="BG81" s="505"/>
      <c r="BH81" s="505"/>
      <c r="BI81" s="505"/>
      <c r="BJ81" s="505"/>
      <c r="BK81" s="505"/>
      <c r="BL81" s="505"/>
      <c r="BM81" s="505"/>
      <c r="BN81" s="505"/>
      <c r="BO81" s="505"/>
      <c r="BP81" s="505"/>
      <c r="BQ81" s="505"/>
      <c r="BR81" s="505"/>
      <c r="BS81" s="505"/>
      <c r="BT81" s="505"/>
      <c r="BU81" s="505"/>
      <c r="BV81" s="505"/>
      <c r="BW81" s="505"/>
      <c r="BX81" s="505"/>
      <c r="BY81" s="505"/>
      <c r="BZ81" s="505"/>
    </row>
    <row r="82" spans="2:78" ht="6.75" customHeight="1" x14ac:dyDescent="0.15">
      <c r="C82" s="14"/>
      <c r="D82" s="139"/>
      <c r="E82" s="323"/>
      <c r="F82" s="329"/>
      <c r="G82" s="329"/>
      <c r="H82" s="329"/>
      <c r="I82" s="329"/>
      <c r="J82" s="329"/>
      <c r="K82" s="505"/>
      <c r="L82" s="328"/>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5"/>
      <c r="AY82" s="505"/>
      <c r="AZ82" s="505"/>
      <c r="BA82" s="505"/>
      <c r="BB82" s="505"/>
      <c r="BC82" s="505"/>
      <c r="BD82" s="505"/>
      <c r="BE82" s="505"/>
      <c r="BF82" s="505"/>
      <c r="BG82" s="505"/>
      <c r="BH82" s="505"/>
      <c r="BI82" s="505"/>
      <c r="BJ82" s="505"/>
      <c r="BK82" s="505"/>
      <c r="BL82" s="505"/>
      <c r="BM82" s="505"/>
      <c r="BN82" s="505"/>
      <c r="BO82" s="505"/>
      <c r="BP82" s="505"/>
      <c r="BQ82" s="505"/>
      <c r="BR82" s="505"/>
      <c r="BS82" s="505"/>
      <c r="BT82" s="505"/>
      <c r="BU82" s="505"/>
      <c r="BV82" s="505"/>
      <c r="BW82" s="505"/>
      <c r="BX82" s="505"/>
      <c r="BY82" s="505"/>
      <c r="BZ82" s="505"/>
    </row>
    <row r="83" spans="2:78" x14ac:dyDescent="0.15">
      <c r="C83" s="11" t="s">
        <v>297</v>
      </c>
      <c r="D83" s="133">
        <f ca="1">(D53)-D80</f>
        <v>38691.166666666672</v>
      </c>
      <c r="E83" s="323">
        <f t="shared" ref="E83:AH83" ca="1" si="123">E53-E80</f>
        <v>16582.820000000003</v>
      </c>
      <c r="F83" s="265">
        <f t="shared" ca="1" si="123"/>
        <v>16582.820000000003</v>
      </c>
      <c r="G83" s="265">
        <f t="shared" ca="1" si="123"/>
        <v>24743.926899999999</v>
      </c>
      <c r="H83" s="265">
        <f t="shared" ca="1" si="123"/>
        <v>32730.315438000001</v>
      </c>
      <c r="I83" s="265">
        <f t="shared" ca="1" si="123"/>
        <v>34327.226746760003</v>
      </c>
      <c r="J83" s="265">
        <f t="shared" ca="1" si="123"/>
        <v>35995.151681695192</v>
      </c>
      <c r="K83" s="265">
        <f t="shared" ca="1" si="123"/>
        <v>37737.073531329108</v>
      </c>
      <c r="L83" s="265">
        <f t="shared" ca="1" si="123"/>
        <v>39556.09777059569</v>
      </c>
      <c r="M83" s="265">
        <f t="shared" ca="1" si="123"/>
        <v>41455.457005393211</v>
      </c>
      <c r="N83" s="265">
        <f t="shared" ca="1" si="123"/>
        <v>43438.516116062114</v>
      </c>
      <c r="O83" s="265">
        <f t="shared" ca="1" si="123"/>
        <v>45508.777607766817</v>
      </c>
      <c r="P83" s="265">
        <f t="shared" ca="1" si="123"/>
        <v>47669.887176080956</v>
      </c>
      <c r="Q83" s="265">
        <f t="shared" ca="1" si="123"/>
        <v>49925.639496407726</v>
      </c>
      <c r="R83" s="265">
        <f t="shared" ca="1" si="123"/>
        <v>52279.984246213273</v>
      </c>
      <c r="S83" s="265">
        <f t="shared" ca="1" si="123"/>
        <v>54737.032369409964</v>
      </c>
      <c r="T83" s="265">
        <f t="shared" ca="1" si="123"/>
        <v>57301.062592601535</v>
      </c>
      <c r="U83" s="265">
        <f t="shared" ca="1" si="123"/>
        <v>59976.528203289083</v>
      </c>
      <c r="V83" s="265">
        <f t="shared" ca="1" si="123"/>
        <v>62768.064100543772</v>
      </c>
      <c r="W83" s="265">
        <f t="shared" ca="1" si="123"/>
        <v>65680.494129071085</v>
      </c>
      <c r="X83" s="265">
        <f t="shared" ca="1" si="123"/>
        <v>68718.838708029652</v>
      </c>
      <c r="Y83" s="265">
        <f t="shared" ca="1" si="123"/>
        <v>71888.322766422454</v>
      </c>
      <c r="Z83" s="265">
        <f t="shared" ca="1" si="123"/>
        <v>75194.383997352415</v>
      </c>
      <c r="AA83" s="265">
        <f t="shared" ca="1" si="123"/>
        <v>78642.681443925016</v>
      </c>
      <c r="AB83" s="265">
        <f t="shared" ca="1" si="123"/>
        <v>82239.104430094099</v>
      </c>
      <c r="AC83" s="265">
        <f t="shared" ca="1" si="123"/>
        <v>85989.781850278174</v>
      </c>
      <c r="AD83" s="265">
        <f t="shared" ca="1" si="123"/>
        <v>89901.091832129256</v>
      </c>
      <c r="AE83" s="265">
        <f t="shared" ca="1" si="123"/>
        <v>93979.671787411149</v>
      </c>
      <c r="AF83" s="265">
        <f t="shared" ca="1" si="123"/>
        <v>98232.428866544273</v>
      </c>
      <c r="AG83" s="265">
        <f t="shared" ca="1" si="123"/>
        <v>102666.55083299543</v>
      </c>
      <c r="AH83" s="265">
        <f t="shared" ca="1" si="123"/>
        <v>107289.51737434044</v>
      </c>
      <c r="AI83" s="265">
        <f t="shared" ref="AI83:AJ83" ca="1" si="124">AI53-AI80</f>
        <v>112109.11186749977</v>
      </c>
      <c r="AJ83" s="265">
        <f t="shared" ca="1" si="124"/>
        <v>117133.43361634917</v>
      </c>
      <c r="AK83" s="535"/>
      <c r="AL83" s="535"/>
      <c r="AM83" s="535"/>
      <c r="AN83" s="535"/>
      <c r="AO83" s="535"/>
      <c r="AP83" s="535"/>
      <c r="AQ83" s="535"/>
      <c r="AR83" s="535"/>
      <c r="AS83" s="535"/>
      <c r="AT83" s="535"/>
      <c r="AU83" s="535"/>
      <c r="AV83" s="535"/>
      <c r="AW83" s="535"/>
      <c r="AX83" s="535"/>
      <c r="AY83" s="535"/>
      <c r="AZ83" s="535"/>
      <c r="BA83" s="535"/>
      <c r="BB83" s="535"/>
      <c r="BC83" s="535"/>
      <c r="BD83" s="535"/>
      <c r="BE83" s="535"/>
      <c r="BF83" s="535"/>
      <c r="BG83" s="535"/>
      <c r="BH83" s="535"/>
      <c r="BI83" s="535"/>
      <c r="BJ83" s="535"/>
      <c r="BK83" s="535"/>
      <c r="BL83" s="535"/>
      <c r="BM83" s="535"/>
      <c r="BN83" s="535"/>
      <c r="BO83" s="535"/>
      <c r="BP83" s="535"/>
      <c r="BQ83" s="535"/>
      <c r="BR83" s="535"/>
      <c r="BS83" s="535"/>
      <c r="BT83" s="535"/>
      <c r="BU83" s="535"/>
      <c r="BV83" s="535"/>
      <c r="BW83" s="535"/>
      <c r="BX83" s="535"/>
      <c r="BY83" s="535"/>
      <c r="BZ83" s="535"/>
    </row>
    <row r="84" spans="2:78" ht="4.5" customHeight="1" x14ac:dyDescent="0.15">
      <c r="C84" s="505"/>
      <c r="D84" s="133"/>
      <c r="E84" s="330"/>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535"/>
      <c r="AL84" s="535"/>
      <c r="AM84" s="535"/>
      <c r="AN84" s="535"/>
      <c r="AO84" s="535"/>
      <c r="AP84" s="535"/>
      <c r="AQ84" s="535"/>
      <c r="AR84" s="535"/>
      <c r="AS84" s="535"/>
      <c r="AT84" s="535"/>
      <c r="AU84" s="535"/>
      <c r="AV84" s="535"/>
      <c r="AW84" s="535"/>
      <c r="AX84" s="535"/>
      <c r="AY84" s="535"/>
      <c r="AZ84" s="535"/>
      <c r="BA84" s="535"/>
      <c r="BB84" s="535"/>
      <c r="BC84" s="535"/>
      <c r="BD84" s="535"/>
      <c r="BE84" s="535"/>
      <c r="BF84" s="535"/>
      <c r="BG84" s="535"/>
      <c r="BH84" s="535"/>
      <c r="BI84" s="535"/>
      <c r="BJ84" s="535"/>
      <c r="BK84" s="535"/>
      <c r="BL84" s="535"/>
      <c r="BM84" s="535"/>
      <c r="BN84" s="535"/>
      <c r="BO84" s="535"/>
      <c r="BP84" s="535"/>
      <c r="BQ84" s="535"/>
      <c r="BR84" s="535"/>
      <c r="BS84" s="535"/>
      <c r="BT84" s="535"/>
      <c r="BU84" s="535"/>
      <c r="BV84" s="535"/>
      <c r="BW84" s="535"/>
      <c r="BX84" s="535"/>
      <c r="BY84" s="535"/>
      <c r="BZ84" s="535"/>
    </row>
    <row r="85" spans="2:78" ht="14" thickBot="1" x14ac:dyDescent="0.2">
      <c r="B85" s="593">
        <f ca="1">E85/NoOfSpaces</f>
        <v>1989.9384000000002</v>
      </c>
      <c r="C85" s="580" t="s">
        <v>298</v>
      </c>
      <c r="D85" s="596">
        <f t="shared" ref="D85:AH85" ca="1" si="125">D83*12</f>
        <v>464294.00000000006</v>
      </c>
      <c r="E85" s="597">
        <f t="shared" ca="1" si="125"/>
        <v>198993.84000000003</v>
      </c>
      <c r="F85" s="598">
        <f t="shared" ca="1" si="125"/>
        <v>198993.84000000003</v>
      </c>
      <c r="G85" s="598">
        <f t="shared" ca="1" si="125"/>
        <v>296927.12280000001</v>
      </c>
      <c r="H85" s="598">
        <f t="shared" ca="1" si="125"/>
        <v>392763.785256</v>
      </c>
      <c r="I85" s="598">
        <f t="shared" ca="1" si="125"/>
        <v>411926.72096112004</v>
      </c>
      <c r="J85" s="598">
        <f t="shared" ca="1" si="125"/>
        <v>431941.8201803423</v>
      </c>
      <c r="K85" s="598">
        <f t="shared" ca="1" si="125"/>
        <v>452844.8823759493</v>
      </c>
      <c r="L85" s="598">
        <f t="shared" ca="1" si="125"/>
        <v>474673.17324714828</v>
      </c>
      <c r="M85" s="598">
        <f t="shared" ca="1" si="125"/>
        <v>497465.48406471853</v>
      </c>
      <c r="N85" s="598">
        <f t="shared" ca="1" si="125"/>
        <v>521262.19339274534</v>
      </c>
      <c r="O85" s="598">
        <f t="shared" ca="1" si="125"/>
        <v>546105.33129320177</v>
      </c>
      <c r="P85" s="598">
        <f t="shared" ca="1" si="125"/>
        <v>572038.64611297147</v>
      </c>
      <c r="Q85" s="598">
        <f t="shared" ca="1" si="125"/>
        <v>599107.67395689269</v>
      </c>
      <c r="R85" s="598">
        <f t="shared" ca="1" si="125"/>
        <v>627359.81095455925</v>
      </c>
      <c r="S85" s="598">
        <f t="shared" ca="1" si="125"/>
        <v>656844.38843291951</v>
      </c>
      <c r="T85" s="598">
        <f t="shared" ca="1" si="125"/>
        <v>687612.75111121847</v>
      </c>
      <c r="U85" s="598">
        <f t="shared" ca="1" si="125"/>
        <v>719718.33843946899</v>
      </c>
      <c r="V85" s="598">
        <f t="shared" ca="1" si="125"/>
        <v>753216.76920652529</v>
      </c>
      <c r="W85" s="598">
        <f t="shared" ca="1" si="125"/>
        <v>788165.92954885308</v>
      </c>
      <c r="X85" s="598">
        <f t="shared" ca="1" si="125"/>
        <v>824626.06449635583</v>
      </c>
      <c r="Y85" s="598">
        <f t="shared" ca="1" si="125"/>
        <v>862659.87319706939</v>
      </c>
      <c r="Z85" s="598">
        <f t="shared" ca="1" si="125"/>
        <v>902332.60796822899</v>
      </c>
      <c r="AA85" s="598">
        <f t="shared" ca="1" si="125"/>
        <v>943712.17732710019</v>
      </c>
      <c r="AB85" s="598">
        <f t="shared" ca="1" si="125"/>
        <v>986869.25316112919</v>
      </c>
      <c r="AC85" s="598">
        <f t="shared" ca="1" si="125"/>
        <v>1031877.3822033381</v>
      </c>
      <c r="AD85" s="598">
        <f t="shared" ca="1" si="125"/>
        <v>1078813.101985551</v>
      </c>
      <c r="AE85" s="598">
        <f t="shared" ca="1" si="125"/>
        <v>1127756.0614489338</v>
      </c>
      <c r="AF85" s="598">
        <f t="shared" ca="1" si="125"/>
        <v>1178789.1463985313</v>
      </c>
      <c r="AG85" s="598">
        <f t="shared" ca="1" si="125"/>
        <v>1231998.6099959451</v>
      </c>
      <c r="AH85" s="598">
        <f t="shared" ca="1" si="125"/>
        <v>1287474.2084920853</v>
      </c>
      <c r="AI85" s="598">
        <f t="shared" ref="AI85:AJ85" ca="1" si="126">AI83*12</f>
        <v>1345309.3424099972</v>
      </c>
      <c r="AJ85" s="598">
        <f t="shared" ca="1" si="126"/>
        <v>1405601.20339619</v>
      </c>
      <c r="AK85" s="535"/>
      <c r="AL85" s="535"/>
      <c r="AM85" s="535"/>
      <c r="AN85" s="535"/>
      <c r="AO85" s="535"/>
      <c r="AP85" s="535"/>
      <c r="AQ85" s="535"/>
      <c r="AR85" s="535"/>
      <c r="AS85" s="535"/>
      <c r="AT85" s="535"/>
      <c r="AU85" s="535"/>
      <c r="AV85" s="535"/>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5"/>
      <c r="BZ85" s="535"/>
    </row>
    <row r="86" spans="2:78" ht="14" thickTop="1" x14ac:dyDescent="0.15">
      <c r="C86" s="14"/>
      <c r="D86" s="505"/>
      <c r="E86" s="505"/>
      <c r="F86" s="271"/>
      <c r="G86" s="16"/>
      <c r="H86" s="16"/>
      <c r="I86" s="16"/>
      <c r="J86" s="16"/>
      <c r="K86" s="16"/>
      <c r="L86" s="16"/>
      <c r="M86" s="16"/>
      <c r="N86" s="16"/>
      <c r="O86" s="16"/>
      <c r="P86" s="16"/>
      <c r="Q86" s="16"/>
      <c r="R86" s="16"/>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5"/>
      <c r="BZ86" s="535"/>
    </row>
    <row r="87" spans="2:78" x14ac:dyDescent="0.15">
      <c r="C87" s="14"/>
      <c r="D87" s="505"/>
      <c r="E87" s="316" t="s">
        <v>299</v>
      </c>
      <c r="F87" s="312">
        <f t="shared" ref="F87:M87" ca="1" si="127">+F85/$D$6</f>
        <v>3.7475302963776179E-2</v>
      </c>
      <c r="G87" s="312">
        <f t="shared" ca="1" si="127"/>
        <v>5.5918484135450489E-2</v>
      </c>
      <c r="H87" s="312">
        <f t="shared" ca="1" si="127"/>
        <v>7.396682151401332E-2</v>
      </c>
      <c r="I87" s="312">
        <f t="shared" ca="1" si="127"/>
        <v>7.7575660969670529E-2</v>
      </c>
      <c r="J87" s="312">
        <f t="shared" ca="1" si="127"/>
        <v>8.1344983211456473E-2</v>
      </c>
      <c r="K87" s="312">
        <f t="shared" ca="1" si="127"/>
        <v>8.5281530134974456E-2</v>
      </c>
      <c r="L87" s="312">
        <f t="shared" ca="1" si="127"/>
        <v>8.9392319763334865E-2</v>
      </c>
      <c r="M87" s="312">
        <f t="shared" ca="1" si="127"/>
        <v>9.3684657421289494E-2</v>
      </c>
      <c r="N87" s="16"/>
      <c r="O87" s="16"/>
      <c r="P87" s="16"/>
      <c r="Q87" s="16"/>
      <c r="R87" s="16"/>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5"/>
      <c r="BZ87" s="535"/>
    </row>
    <row r="88" spans="2:78" s="60" customFormat="1" ht="12" hidden="1" x14ac:dyDescent="0.15">
      <c r="B88" s="454"/>
      <c r="C88" s="279"/>
      <c r="E88" s="316" t="s">
        <v>299</v>
      </c>
      <c r="F88" s="312">
        <f ca="1">+F85/($D$6-SUM(F85-F85))</f>
        <v>3.7475302963776179E-2</v>
      </c>
      <c r="G88" s="312">
        <f ca="1">+G85/($D$6-SUM($F$85:F85))</f>
        <v>5.809563568356526E-2</v>
      </c>
      <c r="H88" s="312">
        <f ca="1">+H85/($D$6-SUM($F$85:G85))</f>
        <v>8.1586493078785988E-2</v>
      </c>
      <c r="I88" s="312">
        <f ca="1">+I85/($D$6-SUM($F$85:H85))</f>
        <v>9.316837729772591E-2</v>
      </c>
      <c r="J88" s="312">
        <f ca="1">+J85/($D$6-SUM($F$85:I85))</f>
        <v>0.10773260578484195</v>
      </c>
      <c r="K88" s="312">
        <f ca="1">+K85/($D$6-SUM($F$85:J85))</f>
        <v>0.1265832819536262</v>
      </c>
      <c r="L88" s="312">
        <f ca="1">+L85/($D$6-SUM($F$85:K85))</f>
        <v>0.15191479595452032</v>
      </c>
      <c r="M88" s="312">
        <f ca="1">+M85/($D$6-SUM($F$85:L85))</f>
        <v>0.18772791371433714</v>
      </c>
      <c r="N88" s="280"/>
      <c r="O88" s="281"/>
      <c r="P88" s="280"/>
      <c r="Q88" s="280"/>
      <c r="R88" s="280"/>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x14ac:dyDescent="0.15">
      <c r="C89" s="14"/>
      <c r="D89" s="221" t="s">
        <v>300</v>
      </c>
      <c r="E89" s="221" t="s">
        <v>301</v>
      </c>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5"/>
      <c r="BZ89" s="535"/>
    </row>
    <row r="90" spans="2:78" x14ac:dyDescent="0.15">
      <c r="C90" s="269"/>
      <c r="D90" s="742" t="s">
        <v>302</v>
      </c>
      <c r="E90" s="743" t="s">
        <v>302</v>
      </c>
      <c r="F90" s="219">
        <v>1</v>
      </c>
      <c r="G90" s="219">
        <f t="shared" ref="G90:AH90" si="128">F90+1</f>
        <v>2</v>
      </c>
      <c r="H90" s="219">
        <f t="shared" si="128"/>
        <v>3</v>
      </c>
      <c r="I90" s="219">
        <f t="shared" si="128"/>
        <v>4</v>
      </c>
      <c r="J90" s="219">
        <f t="shared" si="128"/>
        <v>5</v>
      </c>
      <c r="K90" s="219">
        <f t="shared" si="128"/>
        <v>6</v>
      </c>
      <c r="L90" s="219">
        <f t="shared" si="128"/>
        <v>7</v>
      </c>
      <c r="M90" s="219">
        <f t="shared" si="128"/>
        <v>8</v>
      </c>
      <c r="N90" s="219">
        <f t="shared" si="128"/>
        <v>9</v>
      </c>
      <c r="O90" s="219">
        <f t="shared" si="128"/>
        <v>10</v>
      </c>
      <c r="P90" s="219">
        <f t="shared" si="128"/>
        <v>11</v>
      </c>
      <c r="Q90" s="219">
        <f t="shared" si="128"/>
        <v>12</v>
      </c>
      <c r="R90" s="219">
        <f t="shared" si="128"/>
        <v>13</v>
      </c>
      <c r="S90" s="219">
        <f t="shared" si="128"/>
        <v>14</v>
      </c>
      <c r="T90" s="219">
        <f t="shared" si="128"/>
        <v>15</v>
      </c>
      <c r="U90" s="219">
        <f t="shared" si="128"/>
        <v>16</v>
      </c>
      <c r="V90" s="219">
        <f t="shared" si="128"/>
        <v>17</v>
      </c>
      <c r="W90" s="219">
        <f t="shared" si="128"/>
        <v>18</v>
      </c>
      <c r="X90" s="219">
        <f t="shared" si="128"/>
        <v>19</v>
      </c>
      <c r="Y90" s="219">
        <f t="shared" si="128"/>
        <v>20</v>
      </c>
      <c r="Z90" s="219">
        <f t="shared" si="128"/>
        <v>21</v>
      </c>
      <c r="AA90" s="219">
        <f t="shared" si="128"/>
        <v>22</v>
      </c>
      <c r="AB90" s="219">
        <f t="shared" si="128"/>
        <v>23</v>
      </c>
      <c r="AC90" s="219">
        <f t="shared" si="128"/>
        <v>24</v>
      </c>
      <c r="AD90" s="219">
        <f t="shared" si="128"/>
        <v>25</v>
      </c>
      <c r="AE90" s="219">
        <f t="shared" si="128"/>
        <v>26</v>
      </c>
      <c r="AF90" s="219">
        <f t="shared" si="128"/>
        <v>27</v>
      </c>
      <c r="AG90" s="219">
        <f t="shared" si="128"/>
        <v>28</v>
      </c>
      <c r="AH90" s="219">
        <f t="shared" si="128"/>
        <v>29</v>
      </c>
      <c r="AI90" s="219">
        <f t="shared" ref="AI90" si="129">AH90+1</f>
        <v>30</v>
      </c>
      <c r="AJ90" s="219">
        <f t="shared" ref="AJ90" si="130">AI90+1</f>
        <v>31</v>
      </c>
      <c r="AK90" s="535"/>
      <c r="AL90" s="535"/>
      <c r="AM90" s="535"/>
      <c r="AN90" s="535"/>
      <c r="AO90" s="535"/>
      <c r="AP90" s="535"/>
      <c r="AQ90" s="535"/>
      <c r="AR90" s="535"/>
      <c r="AS90" s="535"/>
      <c r="AT90" s="535"/>
      <c r="AU90" s="535"/>
      <c r="AV90" s="535"/>
      <c r="AW90" s="535"/>
      <c r="AX90" s="535"/>
      <c r="AY90" s="535"/>
      <c r="AZ90" s="535"/>
      <c r="BA90" s="535"/>
      <c r="BB90" s="535"/>
      <c r="BC90" s="535"/>
      <c r="BD90" s="535"/>
      <c r="BE90" s="535"/>
      <c r="BF90" s="535"/>
      <c r="BG90" s="535"/>
      <c r="BH90" s="535"/>
      <c r="BI90" s="535"/>
      <c r="BJ90" s="535"/>
      <c r="BK90" s="535"/>
      <c r="BL90" s="535"/>
      <c r="BM90" s="535"/>
      <c r="BN90" s="535"/>
      <c r="BO90" s="535"/>
      <c r="BP90" s="535"/>
      <c r="BQ90" s="535"/>
      <c r="BR90" s="535"/>
      <c r="BS90" s="535"/>
      <c r="BT90" s="535"/>
      <c r="BU90" s="535"/>
      <c r="BV90" s="535"/>
      <c r="BW90" s="535"/>
      <c r="BX90" s="535"/>
      <c r="BY90" s="535"/>
      <c r="BZ90" s="535"/>
    </row>
    <row r="91" spans="2:78" x14ac:dyDescent="0.15">
      <c r="C91" s="11" t="s">
        <v>303</v>
      </c>
      <c r="D91" s="286">
        <f>+InitialLoan/Purchase_Price</f>
        <v>0.60842105263157897</v>
      </c>
      <c r="E91" s="286">
        <v>0.65</v>
      </c>
      <c r="F91" s="220" t="str">
        <f>IF(F93&gt;0,SUM(F92:F93),"")</f>
        <v/>
      </c>
      <c r="G91" s="220" t="str">
        <f t="shared" ref="G91" si="131">IF(G93&lt;&gt;0,SUM(G92:G93),IF(H93&lt;&gt;0,"Refinance",""))</f>
        <v/>
      </c>
      <c r="H91" s="220" t="str">
        <f t="shared" ref="H91" si="132">IF(H93&lt;&gt;0,SUM(H92:H93),IF(I93&lt;&gt;0,"Refinance",""))</f>
        <v/>
      </c>
      <c r="I91" s="220" t="str">
        <f t="shared" ref="I91" si="133">IF(I93&lt;&gt;0,SUM(I92:I93),IF(J93&lt;&gt;0,"Refinance",""))</f>
        <v/>
      </c>
      <c r="J91" s="220" t="str">
        <f ca="1">IF(J93&lt;&gt;0,SUM(J92:J93),IF(K93&lt;&gt;0,"Refinance",""))</f>
        <v>Refinance</v>
      </c>
      <c r="K91" s="220">
        <f t="shared" ref="K91" ca="1" si="134">IF(K93&lt;&gt;0,SUM(K92:K93),IF(L93&lt;&gt;0,"Refinance",""))</f>
        <v>4319418.2018034225</v>
      </c>
      <c r="L91" s="220" t="str">
        <f t="shared" ref="L91" si="135">IF(L93&lt;&gt;0,SUM(L92:L93),IF(M93&lt;&gt;0,"Refinance",""))</f>
        <v/>
      </c>
      <c r="M91" s="220" t="str">
        <f t="shared" ref="M91" si="136">IF(M93&lt;&gt;0,SUM(M92:M93),IF(N93&lt;&gt;0,"Refinance",""))</f>
        <v/>
      </c>
      <c r="N91" s="220" t="str">
        <f t="shared" ref="N91" si="137">IF(N93&lt;&gt;0,SUM(N92:N93),IF(O93&lt;&gt;0,"Refinance",""))</f>
        <v/>
      </c>
      <c r="O91" s="220" t="str">
        <f t="shared" ref="O91" si="138">IF(O93&lt;&gt;0,SUM(O92:O93),IF(P93&lt;&gt;0,"Refinance",""))</f>
        <v/>
      </c>
      <c r="P91" s="220" t="str">
        <f t="shared" ref="P91" si="139">IF(P93&lt;&gt;0,SUM(P92:P93),IF(Q93&lt;&gt;0,"Refinance",""))</f>
        <v/>
      </c>
      <c r="Q91" s="220" t="str">
        <f t="shared" ref="Q91" si="140">IF(Q93&lt;&gt;0,SUM(Q92:Q93),IF(R93&lt;&gt;0,"Refinance",""))</f>
        <v/>
      </c>
      <c r="R91" s="220" t="str">
        <f t="shared" ref="R91" si="141">IF(R93&lt;&gt;0,SUM(R92:R93),IF(S93&lt;&gt;0,"Refinance",""))</f>
        <v/>
      </c>
      <c r="S91" s="220" t="str">
        <f t="shared" ref="S91" si="142">IF(S93&lt;&gt;0,SUM(S92:S93),IF(T93&lt;&gt;0,"Refinance",""))</f>
        <v/>
      </c>
      <c r="T91" s="220" t="str">
        <f t="shared" ref="T91" si="143">IF(T93&lt;&gt;0,SUM(T92:T93),IF(U93&lt;&gt;0,"Refinance",""))</f>
        <v/>
      </c>
      <c r="U91" s="220" t="str">
        <f t="shared" ref="U91" si="144">IF(U93&lt;&gt;0,SUM(U92:U93),IF(V93&lt;&gt;0,"Refinance",""))</f>
        <v/>
      </c>
      <c r="V91" s="220" t="str">
        <f t="shared" ref="V91" si="145">IF(V93&lt;&gt;0,SUM(V92:V93),IF(W93&lt;&gt;0,"Refinance",""))</f>
        <v/>
      </c>
      <c r="W91" s="220" t="str">
        <f t="shared" ref="W91" si="146">IF(W93&lt;&gt;0,SUM(W92:W93),IF(X93&lt;&gt;0,"Refinance",""))</f>
        <v/>
      </c>
      <c r="X91" s="220" t="str">
        <f t="shared" ref="X91" si="147">IF(X93&lt;&gt;0,SUM(X92:X93),IF(Y93&lt;&gt;0,"Refinance",""))</f>
        <v/>
      </c>
      <c r="Y91" s="220" t="str">
        <f t="shared" ref="Y91" si="148">IF(Y93&lt;&gt;0,SUM(Y92:Y93),IF(Z93&lt;&gt;0,"Refinance",""))</f>
        <v/>
      </c>
      <c r="Z91" s="220" t="str">
        <f t="shared" ref="Z91" si="149">IF(Z93&lt;&gt;0,SUM(Z92:Z93),IF(AA93&lt;&gt;0,"Refinance",""))</f>
        <v/>
      </c>
      <c r="AA91" s="220" t="str">
        <f t="shared" ref="AA91" si="150">IF(AA93&lt;&gt;0,SUM(AA92:AA93),IF(AB93&lt;&gt;0,"Refinance",""))</f>
        <v/>
      </c>
      <c r="AB91" s="220" t="str">
        <f t="shared" ref="AB91" si="151">IF(AB93&lt;&gt;0,SUM(AB92:AB93),IF(AC93&lt;&gt;0,"Refinance",""))</f>
        <v/>
      </c>
      <c r="AC91" s="220" t="str">
        <f t="shared" ref="AC91" si="152">IF(AC93&lt;&gt;0,SUM(AC92:AC93),IF(AD93&lt;&gt;0,"Refinance",""))</f>
        <v/>
      </c>
      <c r="AD91" s="220" t="str">
        <f t="shared" ref="AD91" si="153">IF(AD93&lt;&gt;0,SUM(AD92:AD93),IF(AE93&lt;&gt;0,"Refinance",""))</f>
        <v/>
      </c>
      <c r="AE91" s="220" t="str">
        <f t="shared" ref="AE91" si="154">IF(AE93&lt;&gt;0,SUM(AE92:AE93),IF(AF93&lt;&gt;0,"Refinance",""))</f>
        <v/>
      </c>
      <c r="AF91" s="220" t="str">
        <f t="shared" ref="AF91" si="155">IF(AF93&lt;&gt;0,SUM(AF92:AF93),IF(AG93&lt;&gt;0,"Refinance",""))</f>
        <v/>
      </c>
      <c r="AG91" s="220" t="str">
        <f t="shared" ref="AG91" si="156">IF(AG93&lt;&gt;0,SUM(AG92:AG93),IF(AH93&lt;&gt;0,"Refinance",""))</f>
        <v/>
      </c>
      <c r="AH91" s="220" t="str">
        <f>IF(AH93&lt;&gt;0,SUM(AH92:AH93),IF(AJ93&lt;&gt;0,"Refinance",""))</f>
        <v/>
      </c>
      <c r="AI91" s="220" t="str">
        <f t="shared" ref="AI91:AJ91" si="157">IF(AI93&lt;&gt;0,SUM(AI92:AI93),IF(AK93&lt;&gt;0,"Refinance",""))</f>
        <v/>
      </c>
      <c r="AJ91" s="220" t="str">
        <f t="shared" si="157"/>
        <v/>
      </c>
      <c r="AK91" s="535"/>
      <c r="AL91" s="535"/>
      <c r="AM91" s="535"/>
      <c r="AN91" s="535"/>
      <c r="AO91" s="535"/>
      <c r="AP91" s="535"/>
      <c r="AQ91" s="535"/>
      <c r="AR91" s="535"/>
      <c r="AS91" s="535"/>
      <c r="AT91" s="535"/>
      <c r="AU91" s="535"/>
      <c r="AV91" s="535"/>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5"/>
      <c r="BU91" s="535"/>
      <c r="BV91" s="535"/>
      <c r="BW91" s="535"/>
      <c r="BX91" s="535"/>
      <c r="BY91" s="535"/>
      <c r="BZ91" s="535"/>
    </row>
    <row r="92" spans="2:78" x14ac:dyDescent="0.15">
      <c r="C92" s="32" t="s">
        <v>304</v>
      </c>
      <c r="D92" s="742" t="s">
        <v>305</v>
      </c>
      <c r="E92" s="742" t="s">
        <v>305</v>
      </c>
      <c r="F92" s="33">
        <v>2890000</v>
      </c>
      <c r="G92" s="33">
        <f t="shared" ref="G92" si="158">F97</f>
        <v>2890000</v>
      </c>
      <c r="H92" s="33">
        <f t="shared" ref="H92" si="159">G97</f>
        <v>2890000</v>
      </c>
      <c r="I92" s="33">
        <f t="shared" ref="I92" si="160">H97</f>
        <v>2858854.8812853061</v>
      </c>
      <c r="J92" s="33">
        <f t="shared" ref="J92" si="161">I97</f>
        <v>2825674.7664680597</v>
      </c>
      <c r="K92" s="33">
        <f t="shared" ref="K92" si="162">J97</f>
        <v>2790326.6905987505</v>
      </c>
      <c r="L92" s="33">
        <f t="shared" ref="L92" ca="1" si="163">K97</f>
        <v>4273416.9824675694</v>
      </c>
      <c r="M92" s="33">
        <f t="shared" ref="M92" ca="1" si="164">L97</f>
        <v>4224382.0785523914</v>
      </c>
      <c r="N92" s="33">
        <f t="shared" ref="N92" ca="1" si="165">M97</f>
        <v>4172113.4248800566</v>
      </c>
      <c r="O92" s="33">
        <f t="shared" ref="O92" ca="1" si="166">N97</f>
        <v>4116397.7623910601</v>
      </c>
      <c r="P92" s="33">
        <f t="shared" ref="P92" ca="1" si="167">O97</f>
        <v>4057007.7680352111</v>
      </c>
      <c r="Q92" s="33">
        <f t="shared" ref="Q92" ca="1" si="168">P97</f>
        <v>3993701.1272807484</v>
      </c>
      <c r="R92" s="33">
        <f t="shared" ref="R92" ca="1" si="169">Q97</f>
        <v>3926219.5454573641</v>
      </c>
      <c r="S92" s="33">
        <f t="shared" ref="S92" ca="1" si="170">R97</f>
        <v>3854287.6938993563</v>
      </c>
      <c r="T92" s="33">
        <f t="shared" ref="T92" ca="1" si="171">S97</f>
        <v>3777612.0865891222</v>
      </c>
      <c r="U92" s="33">
        <f t="shared" ref="U92" ca="1" si="172">T97</f>
        <v>3695879.8827176266</v>
      </c>
      <c r="V92" s="33">
        <f t="shared" ref="V92" ca="1" si="173">U97</f>
        <v>3608757.6102762306</v>
      </c>
      <c r="W92" s="33">
        <f t="shared" ref="W92" ca="1" si="174">V97</f>
        <v>3515889.8054720587</v>
      </c>
      <c r="X92" s="33">
        <f t="shared" ref="X92" ca="1" si="175">W97</f>
        <v>3416897.562415645</v>
      </c>
      <c r="Y92" s="33">
        <f t="shared" ref="Y92" ca="1" si="176">X97</f>
        <v>3311376.9871635004</v>
      </c>
      <c r="Z92" s="33">
        <f t="shared" ref="Z92" ca="1" si="177">Y97</f>
        <v>3198897.5498080086</v>
      </c>
      <c r="AA92" s="33">
        <f t="shared" ref="AA92" ca="1" si="178">Z97</f>
        <v>3079000.3278910834</v>
      </c>
      <c r="AB92" s="33">
        <f t="shared" ref="AB92" ca="1" si="179">AA97</f>
        <v>2951196.133974616</v>
      </c>
      <c r="AC92" s="33">
        <f t="shared" ref="AC92" ca="1" si="180">AB97</f>
        <v>2814963.5197280948</v>
      </c>
      <c r="AD92" s="33">
        <f t="shared" ref="AD92" ca="1" si="181">AC97</f>
        <v>2669746.648389962</v>
      </c>
      <c r="AE92" s="33">
        <f t="shared" ref="AE92" ca="1" si="182">AD97</f>
        <v>2514953.0269222278</v>
      </c>
      <c r="AF92" s="33">
        <f t="shared" ref="AF92" ca="1" si="183">AE97</f>
        <v>2349951.0886054081</v>
      </c>
      <c r="AG92" s="33">
        <f t="shared" ref="AG92" ca="1" si="184">AF97</f>
        <v>2174067.616210632</v>
      </c>
      <c r="AH92" s="33">
        <f t="shared" ref="AH92" ca="1" si="185">AG97</f>
        <v>1986584.9952353216</v>
      </c>
      <c r="AI92" s="33">
        <f t="shared" ref="AI92" ca="1" si="186">AH97</f>
        <v>1786738.2859954829</v>
      </c>
      <c r="AJ92" s="33">
        <f t="shared" ref="AJ92" ca="1" si="187">AI97</f>
        <v>1573712.102628588</v>
      </c>
      <c r="AK92" s="535"/>
      <c r="AL92" s="535"/>
      <c r="AM92" s="535"/>
      <c r="AN92" s="535"/>
      <c r="AO92" s="535"/>
      <c r="AP92" s="535"/>
      <c r="AQ92" s="535"/>
      <c r="AR92" s="535"/>
      <c r="AS92" s="535"/>
      <c r="AT92" s="535"/>
      <c r="AU92" s="535"/>
      <c r="AV92" s="535"/>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535"/>
      <c r="BV92" s="535"/>
      <c r="BW92" s="535"/>
      <c r="BX92" s="535"/>
      <c r="BY92" s="535"/>
      <c r="BZ92" s="535"/>
    </row>
    <row r="93" spans="2:78" x14ac:dyDescent="0.15">
      <c r="C93" s="508" t="s">
        <v>304</v>
      </c>
      <c r="D93" s="282">
        <v>360</v>
      </c>
      <c r="E93" s="282">
        <v>360</v>
      </c>
      <c r="F93" s="33"/>
      <c r="G93" s="275">
        <f>IF(G90=$D$97+1,(F102*$E$91)-G92,IF(G90=$E$97+1,(F102*$E$91)-G92,0))</f>
        <v>0</v>
      </c>
      <c r="H93" s="275">
        <f t="shared" ref="H93:M93" si="188">IF(H90=$D$97+1,(G102*$E$91)-H92,IF(H90=$E$97+1,(G102*$E$91)-H92,0))</f>
        <v>0</v>
      </c>
      <c r="I93" s="275">
        <f t="shared" si="188"/>
        <v>0</v>
      </c>
      <c r="J93" s="275">
        <f>IF(J90=$D$97+1,(I102*$E$91)-J92,IF(J90=$E$97+1,(I102*$E$91)-J92,0))</f>
        <v>0</v>
      </c>
      <c r="K93" s="275">
        <f t="shared" ca="1" si="188"/>
        <v>1529091.511204672</v>
      </c>
      <c r="L93" s="275">
        <f t="shared" si="188"/>
        <v>0</v>
      </c>
      <c r="M93" s="275">
        <f t="shared" si="188"/>
        <v>0</v>
      </c>
      <c r="N93" s="275">
        <f t="shared" ref="N93" si="189">IF(N90=$D$97+1,(M102*$E$91)-N92,IF(N90=$E$97+1,(M102*$E$91)-N92,0))</f>
        <v>0</v>
      </c>
      <c r="O93" s="275">
        <f t="shared" ref="O93" si="190">IF(O90=$D$97+1,(N102*$E$91)-O92,IF(O90=$E$97+1,(N102*$E$91)-O92,0))</f>
        <v>0</v>
      </c>
      <c r="P93" s="275">
        <f t="shared" ref="P93" si="191">IF(P90=$D$97+1,(O102*$E$91)-P92,IF(P90=$E$97+1,(O102*$E$91)-P92,0))</f>
        <v>0</v>
      </c>
      <c r="Q93" s="275">
        <f t="shared" ref="Q93" si="192">IF(Q90=$D$97+1,(P102*$E$91)-Q92,IF(Q90=$E$97+1,(P102*$E$91)-Q92,0))</f>
        <v>0</v>
      </c>
      <c r="R93" s="275">
        <f t="shared" ref="R93" si="193">IF(R90=$D$97+1,(Q102*$E$91)-R92,IF(R90=$E$97+1,(Q102*$E$91)-R92,0))</f>
        <v>0</v>
      </c>
      <c r="S93" s="275">
        <f t="shared" ref="S93" si="194">IF(S90=$D$97+1,(R102*$E$91)-S92,IF(S90=$E$97+1,(R102*$E$91)-S92,0))</f>
        <v>0</v>
      </c>
      <c r="T93" s="275">
        <f t="shared" ref="T93" si="195">IF(T90=$D$97+1,(S102*$E$91)-T92,IF(T90=$E$97+1,(S102*$E$91)-T92,0))</f>
        <v>0</v>
      </c>
      <c r="U93" s="275">
        <f t="shared" ref="U93" si="196">IF(U90=$D$97+1,(T102*$E$91)-U92,IF(U90=$E$97+1,(T102*$E$91)-U92,0))</f>
        <v>0</v>
      </c>
      <c r="V93" s="275">
        <f t="shared" ref="V93" si="197">IF(V90=$D$97+1,(U102*$E$91)-V92,IF(V90=$E$97+1,(U102*$E$91)-V92,0))</f>
        <v>0</v>
      </c>
      <c r="W93" s="275">
        <f t="shared" ref="W93" si="198">IF(W90=$D$97+1,(V102*$E$91)-W92,IF(W90=$E$97+1,(V102*$E$91)-W92,0))</f>
        <v>0</v>
      </c>
      <c r="X93" s="275">
        <f t="shared" ref="X93" si="199">IF(X90=$D$97+1,(W102*$E$91)-X92,IF(X90=$E$97+1,(W102*$E$91)-X92,0))</f>
        <v>0</v>
      </c>
      <c r="Y93" s="275">
        <f t="shared" ref="Y93" si="200">IF(Y90=$D$97+1,(X102*$E$91)-Y92,IF(Y90=$E$97+1,(X102*$E$91)-Y92,0))</f>
        <v>0</v>
      </c>
      <c r="Z93" s="275">
        <f t="shared" ref="Z93" si="201">IF(Z90=$D$97+1,(Y102*$E$91)-Z92,IF(Z90=$E$97+1,(Y102*$E$91)-Z92,0))</f>
        <v>0</v>
      </c>
      <c r="AA93" s="275">
        <f t="shared" ref="AA93" si="202">IF(AA90=$D$97+1,(Z102*$E$91)-AA92,IF(AA90=$E$97+1,(Z102*$E$91)-AA92,0))</f>
        <v>0</v>
      </c>
      <c r="AB93" s="275">
        <f t="shared" ref="AB93" si="203">IF(AB90=$D$97+1,(AA102*$E$91)-AB92,IF(AB90=$E$97+1,(AA102*$E$91)-AB92,0))</f>
        <v>0</v>
      </c>
      <c r="AC93" s="275">
        <f t="shared" ref="AC93" si="204">IF(AC90=$D$97+1,(AB102*$E$91)-AC92,IF(AC90=$E$97+1,(AB102*$E$91)-AC92,0))</f>
        <v>0</v>
      </c>
      <c r="AD93" s="275">
        <f t="shared" ref="AD93" si="205">IF(AD90=$D$97+1,(AC102*$E$91)-AD92,IF(AD90=$E$97+1,(AC102*$E$91)-AD92,0))</f>
        <v>0</v>
      </c>
      <c r="AE93" s="275">
        <f t="shared" ref="AE93" si="206">IF(AE90=$D$97+1,(AD102*$E$91)-AE92,IF(AE90=$E$97+1,(AD102*$E$91)-AE92,0))</f>
        <v>0</v>
      </c>
      <c r="AF93" s="275">
        <f t="shared" ref="AF93" si="207">IF(AF90=$D$97+1,(AE102*$E$91)-AF92,IF(AF90=$E$97+1,(AE102*$E$91)-AF92,0))</f>
        <v>0</v>
      </c>
      <c r="AG93" s="275">
        <f t="shared" ref="AG93" si="208">IF(AG90=$D$97+1,(AF102*$E$91)-AG92,IF(AG90=$E$97+1,(AF102*$E$91)-AG92,0))</f>
        <v>0</v>
      </c>
      <c r="AH93" s="275">
        <f t="shared" ref="AH93" si="209">IF(AH90=$D$97+1,(AG102*$E$91)-AH92,IF(AH90=$E$97+1,(AG102*$E$91)-AH92,0))</f>
        <v>0</v>
      </c>
      <c r="AI93" s="275">
        <f t="shared" ref="AI93" si="210">IF(AI90=$D$97+1,(AH102*$E$91)-AI92,IF(AI90=$E$97+1,(AH102*$E$91)-AI92,0))</f>
        <v>0</v>
      </c>
      <c r="AJ93" s="275">
        <f t="shared" ref="AJ93" si="211">IF(AJ90=$D$97+1,(AI102*$E$91)-AJ92,IF(AJ90=$E$97+1,(AI102*$E$91)-AJ92,0))</f>
        <v>0</v>
      </c>
      <c r="AK93" s="535"/>
      <c r="AL93" s="535"/>
      <c r="AM93" s="535"/>
      <c r="AN93" s="535"/>
      <c r="AO93" s="535"/>
      <c r="AP93" s="535"/>
      <c r="AQ93" s="535"/>
      <c r="AR93" s="535"/>
      <c r="AS93" s="535"/>
      <c r="AT93" s="535"/>
      <c r="AU93" s="535"/>
      <c r="AV93" s="535"/>
      <c r="AW93" s="535"/>
      <c r="AX93" s="535"/>
      <c r="AY93" s="535"/>
      <c r="AZ93" s="535"/>
      <c r="BA93" s="535"/>
      <c r="BB93" s="535"/>
      <c r="BC93" s="535"/>
      <c r="BD93" s="535"/>
      <c r="BE93" s="535"/>
      <c r="BF93" s="535"/>
      <c r="BG93" s="535"/>
      <c r="BH93" s="535"/>
      <c r="BI93" s="535"/>
      <c r="BJ93" s="535"/>
      <c r="BK93" s="535"/>
      <c r="BL93" s="535"/>
      <c r="BM93" s="535"/>
      <c r="BN93" s="535"/>
      <c r="BO93" s="535"/>
      <c r="BP93" s="535"/>
      <c r="BQ93" s="535"/>
      <c r="BR93" s="535"/>
      <c r="BS93" s="535"/>
      <c r="BT93" s="535"/>
      <c r="BU93" s="535"/>
      <c r="BV93" s="535"/>
      <c r="BW93" s="535"/>
      <c r="BX93" s="535"/>
      <c r="BY93" s="535"/>
      <c r="BZ93" s="535"/>
    </row>
    <row r="94" spans="2:78" x14ac:dyDescent="0.15">
      <c r="C94" s="32" t="s">
        <v>306</v>
      </c>
      <c r="D94" s="742" t="s">
        <v>307</v>
      </c>
      <c r="E94" s="742" t="s">
        <v>307</v>
      </c>
      <c r="F94" s="33">
        <f>IF(D100&lt;F90,-PMT((($D$95/360)*365.25/12),$D$93,InitialLoan,,0)*12,F96)</f>
        <v>188830.19166666668</v>
      </c>
      <c r="G94" s="275">
        <f t="shared" ref="G94:AJ94" si="212">IF(G90&gt;$E$97,-PMT((($E$95/360)*365.25/12),$E$93,INDEX($F$91:$AH$91,1,$E$97+1),,0)*12,IF(G90&gt;$D$97,-PMT((($E$95/360)*365.25/12),$E$93,INDEX($F$91:$AH$91,1,$D$97+1),,0)*12,IF($D$100&gt;=G90,G96,-PMT((($D$95/360)*365.25/12),$D$93,InitialLoan,,0)*12)))</f>
        <v>188830.19166666668</v>
      </c>
      <c r="H94" s="275">
        <f t="shared" si="212"/>
        <v>219975.31038136044</v>
      </c>
      <c r="I94" s="275">
        <f t="shared" si="212"/>
        <v>219975.31038136044</v>
      </c>
      <c r="J94" s="275">
        <f t="shared" si="212"/>
        <v>219975.31038136044</v>
      </c>
      <c r="K94" s="275">
        <f t="shared" ca="1" si="212"/>
        <v>330857.85095686791</v>
      </c>
      <c r="L94" s="275">
        <f t="shared" ca="1" si="212"/>
        <v>330857.85095686791</v>
      </c>
      <c r="M94" s="275">
        <f t="shared" ca="1" si="212"/>
        <v>330857.85095686791</v>
      </c>
      <c r="N94" s="275">
        <f t="shared" ca="1" si="212"/>
        <v>330857.85095686791</v>
      </c>
      <c r="O94" s="275">
        <f t="shared" ca="1" si="212"/>
        <v>330857.85095686791</v>
      </c>
      <c r="P94" s="275">
        <f t="shared" ca="1" si="212"/>
        <v>330857.85095686791</v>
      </c>
      <c r="Q94" s="275">
        <f t="shared" ca="1" si="212"/>
        <v>330857.85095686791</v>
      </c>
      <c r="R94" s="275">
        <f t="shared" ca="1" si="212"/>
        <v>330857.85095686791</v>
      </c>
      <c r="S94" s="275">
        <f t="shared" ca="1" si="212"/>
        <v>330857.85095686791</v>
      </c>
      <c r="T94" s="275">
        <f t="shared" ca="1" si="212"/>
        <v>330857.85095686791</v>
      </c>
      <c r="U94" s="275">
        <f t="shared" ca="1" si="212"/>
        <v>330857.85095686791</v>
      </c>
      <c r="V94" s="275">
        <f t="shared" ca="1" si="212"/>
        <v>330857.85095686791</v>
      </c>
      <c r="W94" s="275">
        <f t="shared" ca="1" si="212"/>
        <v>330857.85095686791</v>
      </c>
      <c r="X94" s="275">
        <f t="shared" ca="1" si="212"/>
        <v>330857.85095686791</v>
      </c>
      <c r="Y94" s="275">
        <f t="shared" ca="1" si="212"/>
        <v>330857.85095686791</v>
      </c>
      <c r="Z94" s="275">
        <f t="shared" ca="1" si="212"/>
        <v>330857.85095686791</v>
      </c>
      <c r="AA94" s="275">
        <f t="shared" ca="1" si="212"/>
        <v>330857.85095686791</v>
      </c>
      <c r="AB94" s="275">
        <f t="shared" ca="1" si="212"/>
        <v>330857.85095686791</v>
      </c>
      <c r="AC94" s="275">
        <f t="shared" ca="1" si="212"/>
        <v>330857.85095686791</v>
      </c>
      <c r="AD94" s="275">
        <f t="shared" ca="1" si="212"/>
        <v>330857.85095686791</v>
      </c>
      <c r="AE94" s="275">
        <f t="shared" ca="1" si="212"/>
        <v>330857.85095686791</v>
      </c>
      <c r="AF94" s="275">
        <f t="shared" ca="1" si="212"/>
        <v>330857.85095686791</v>
      </c>
      <c r="AG94" s="275">
        <f t="shared" ca="1" si="212"/>
        <v>330857.85095686791</v>
      </c>
      <c r="AH94" s="275">
        <f t="shared" ca="1" si="212"/>
        <v>330857.85095686791</v>
      </c>
      <c r="AI94" s="275">
        <f t="shared" ca="1" si="212"/>
        <v>330857.85095686791</v>
      </c>
      <c r="AJ94" s="275">
        <f t="shared" ca="1" si="212"/>
        <v>330857.85095686791</v>
      </c>
      <c r="AK94" s="535"/>
      <c r="AL94" s="535"/>
      <c r="AM94" s="535"/>
      <c r="AN94" s="535"/>
      <c r="AO94" s="535"/>
      <c r="AP94" s="535"/>
      <c r="AQ94" s="535"/>
      <c r="AR94" s="535"/>
      <c r="AS94" s="535"/>
      <c r="AT94" s="535"/>
      <c r="AU94" s="535"/>
      <c r="AV94" s="535"/>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5"/>
      <c r="BZ94" s="535"/>
    </row>
    <row r="95" spans="2:78" x14ac:dyDescent="0.15">
      <c r="C95" s="32" t="s">
        <v>308</v>
      </c>
      <c r="D95" s="284">
        <f>4.04%+2.4%</f>
        <v>6.4399999999999999E-2</v>
      </c>
      <c r="E95" s="285">
        <v>6.5000000000000002E-2</v>
      </c>
      <c r="F95" s="33">
        <f t="shared" ref="F95" si="213">F94-F96</f>
        <v>0</v>
      </c>
      <c r="G95" s="33">
        <f t="shared" ref="G95:AH95" si="214">G94-G96</f>
        <v>0</v>
      </c>
      <c r="H95" s="33">
        <f t="shared" si="214"/>
        <v>31145.118714693759</v>
      </c>
      <c r="I95" s="33">
        <f t="shared" si="214"/>
        <v>33180.114817246271</v>
      </c>
      <c r="J95" s="33">
        <f t="shared" si="214"/>
        <v>35348.075869309454</v>
      </c>
      <c r="K95" s="33">
        <f t="shared" ca="1" si="214"/>
        <v>46001.219335852598</v>
      </c>
      <c r="L95" s="33">
        <f t="shared" ca="1" si="214"/>
        <v>49034.903915178496</v>
      </c>
      <c r="M95" s="33">
        <f t="shared" ca="1" si="214"/>
        <v>52268.653672334622</v>
      </c>
      <c r="N95" s="33">
        <f t="shared" ca="1" si="214"/>
        <v>55715.662488996633</v>
      </c>
      <c r="O95" s="33">
        <f t="shared" ca="1" si="214"/>
        <v>59389.994355849107</v>
      </c>
      <c r="P95" s="33">
        <f t="shared" ca="1" si="214"/>
        <v>63306.640754462453</v>
      </c>
      <c r="Q95" s="33">
        <f t="shared" ca="1" si="214"/>
        <v>67481.581823384331</v>
      </c>
      <c r="R95" s="33">
        <f t="shared" ca="1" si="214"/>
        <v>71931.851558007766</v>
      </c>
      <c r="S95" s="33">
        <f t="shared" ca="1" si="214"/>
        <v>76675.607310234278</v>
      </c>
      <c r="T95" s="33">
        <f t="shared" ca="1" si="214"/>
        <v>81732.203871495673</v>
      </c>
      <c r="U95" s="33">
        <f t="shared" ca="1" si="214"/>
        <v>87122.272441396053</v>
      </c>
      <c r="V95" s="33">
        <f t="shared" ca="1" si="214"/>
        <v>92867.804804171872</v>
      </c>
      <c r="W95" s="33">
        <f t="shared" ca="1" si="214"/>
        <v>98992.243056413688</v>
      </c>
      <c r="X95" s="33">
        <f t="shared" ca="1" si="214"/>
        <v>105520.57525214445</v>
      </c>
      <c r="Y95" s="33">
        <f t="shared" ca="1" si="214"/>
        <v>112479.43735549162</v>
      </c>
      <c r="Z95" s="33">
        <f t="shared" ca="1" si="214"/>
        <v>119897.22191692516</v>
      </c>
      <c r="AA95" s="33">
        <f t="shared" ca="1" si="214"/>
        <v>127804.19391646737</v>
      </c>
      <c r="AB95" s="33">
        <f t="shared" ca="1" si="214"/>
        <v>136232.61424652109</v>
      </c>
      <c r="AC95" s="33">
        <f t="shared" ca="1" si="214"/>
        <v>145216.8713381328</v>
      </c>
      <c r="AD95" s="33">
        <f t="shared" ca="1" si="214"/>
        <v>154793.62146773405</v>
      </c>
      <c r="AE95" s="33">
        <f t="shared" ca="1" si="214"/>
        <v>165001.93831681972</v>
      </c>
      <c r="AF95" s="33">
        <f t="shared" ca="1" si="214"/>
        <v>175883.47239477583</v>
      </c>
      <c r="AG95" s="33">
        <f t="shared" ca="1" si="214"/>
        <v>187482.62097531048</v>
      </c>
      <c r="AH95" s="33">
        <f t="shared" ca="1" si="214"/>
        <v>199846.70923983853</v>
      </c>
      <c r="AI95" s="33">
        <f t="shared" ref="AI95:AJ95" ca="1" si="215">AI94-AI96</f>
        <v>213026.18336689495</v>
      </c>
      <c r="AJ95" s="33">
        <f t="shared" ca="1" si="215"/>
        <v>227074.81635539301</v>
      </c>
      <c r="AK95" s="535"/>
      <c r="AL95" s="535"/>
      <c r="AM95" s="535"/>
      <c r="AN95" s="535"/>
      <c r="AO95" s="535"/>
      <c r="AP95" s="535"/>
      <c r="AQ95" s="535"/>
      <c r="AR95" s="535"/>
      <c r="AS95" s="535"/>
      <c r="AT95" s="535"/>
      <c r="AU95" s="535"/>
      <c r="AV95" s="535"/>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5"/>
      <c r="BZ95" s="535"/>
    </row>
    <row r="96" spans="2:78" x14ac:dyDescent="0.15">
      <c r="C96" s="32" t="s">
        <v>309</v>
      </c>
      <c r="D96" s="742" t="s">
        <v>310</v>
      </c>
      <c r="E96" s="742" t="s">
        <v>311</v>
      </c>
      <c r="F96" s="33">
        <f>IF(F90&gt;=$D$97+1,(F92+F93)*(($E$95/360)*365.25),(F92+F93)*(($D$95/360)*365.25))</f>
        <v>188830.19166666668</v>
      </c>
      <c r="G96" s="33">
        <f t="shared" ref="G96:AH96" si="216">IF(G90&gt;=$D$97+1,(G92+G93)*(($E$95/360)*365.25),(G92+G93)*(($D$95/360)*365.25))</f>
        <v>188830.19166666668</v>
      </c>
      <c r="H96" s="33">
        <f t="shared" si="216"/>
        <v>188830.19166666668</v>
      </c>
      <c r="I96" s="33">
        <f t="shared" si="216"/>
        <v>186795.19556411417</v>
      </c>
      <c r="J96" s="33">
        <f t="shared" si="216"/>
        <v>184627.23451205099</v>
      </c>
      <c r="K96" s="33">
        <f t="shared" ca="1" si="216"/>
        <v>284856.63162101532</v>
      </c>
      <c r="L96" s="33">
        <f t="shared" ca="1" si="216"/>
        <v>281822.94704168942</v>
      </c>
      <c r="M96" s="33">
        <f t="shared" ca="1" si="216"/>
        <v>278589.19728453329</v>
      </c>
      <c r="N96" s="33">
        <f t="shared" ca="1" si="216"/>
        <v>275142.18846787128</v>
      </c>
      <c r="O96" s="33">
        <f t="shared" ca="1" si="216"/>
        <v>271467.85660101881</v>
      </c>
      <c r="P96" s="33">
        <f t="shared" ca="1" si="216"/>
        <v>267551.21020240546</v>
      </c>
      <c r="Q96" s="33">
        <f t="shared" ca="1" si="216"/>
        <v>263376.26913348358</v>
      </c>
      <c r="R96" s="33">
        <f t="shared" ca="1" si="216"/>
        <v>258925.99939886015</v>
      </c>
      <c r="S96" s="33">
        <f t="shared" ca="1" si="216"/>
        <v>254182.24364663364</v>
      </c>
      <c r="T96" s="33">
        <f t="shared" ca="1" si="216"/>
        <v>249125.64708537224</v>
      </c>
      <c r="U96" s="33">
        <f t="shared" ca="1" si="216"/>
        <v>243735.57851547186</v>
      </c>
      <c r="V96" s="33">
        <f t="shared" ca="1" si="216"/>
        <v>237990.04615269604</v>
      </c>
      <c r="W96" s="33">
        <f t="shared" ca="1" si="216"/>
        <v>231865.60790045423</v>
      </c>
      <c r="X96" s="33">
        <f t="shared" ca="1" si="216"/>
        <v>225337.27570472346</v>
      </c>
      <c r="Y96" s="33">
        <f t="shared" ca="1" si="216"/>
        <v>218378.41360137629</v>
      </c>
      <c r="Z96" s="33">
        <f t="shared" ca="1" si="216"/>
        <v>210960.62903994275</v>
      </c>
      <c r="AA96" s="33">
        <f t="shared" ca="1" si="216"/>
        <v>203053.65704040055</v>
      </c>
      <c r="AB96" s="33">
        <f t="shared" ca="1" si="216"/>
        <v>194625.23671034683</v>
      </c>
      <c r="AC96" s="33">
        <f t="shared" ca="1" si="216"/>
        <v>185640.97961873512</v>
      </c>
      <c r="AD96" s="33">
        <f t="shared" ca="1" si="216"/>
        <v>176064.22948913387</v>
      </c>
      <c r="AE96" s="33">
        <f t="shared" ca="1" si="216"/>
        <v>165855.91264004819</v>
      </c>
      <c r="AF96" s="33">
        <f t="shared" ca="1" si="216"/>
        <v>154974.37856209208</v>
      </c>
      <c r="AG96" s="33">
        <f t="shared" ca="1" si="216"/>
        <v>143375.22998155744</v>
      </c>
      <c r="AH96" s="33">
        <f t="shared" ca="1" si="216"/>
        <v>131011.1417170294</v>
      </c>
      <c r="AI96" s="33">
        <f t="shared" ref="AI96:AJ96" ca="1" si="217">IF(AI90&gt;=$D$97+1,(AI92+AI93)*(($E$95/360)*365.25),(AI92+AI93)*(($D$95/360)*365.25))</f>
        <v>117831.66758997296</v>
      </c>
      <c r="AJ96" s="33">
        <f t="shared" ca="1" si="217"/>
        <v>103783.03460147491</v>
      </c>
      <c r="AK96" s="535"/>
      <c r="AL96" s="535"/>
      <c r="AM96" s="535"/>
      <c r="AN96" s="535"/>
      <c r="AO96" s="535"/>
      <c r="AP96" s="535"/>
      <c r="AQ96" s="535"/>
      <c r="AR96" s="535"/>
      <c r="AS96" s="535"/>
      <c r="AT96" s="535"/>
      <c r="AU96" s="535"/>
      <c r="AV96" s="535"/>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5"/>
      <c r="BZ96" s="535"/>
    </row>
    <row r="97" spans="3:78" ht="14" thickBot="1" x14ac:dyDescent="0.2">
      <c r="C97" s="32" t="s">
        <v>312</v>
      </c>
      <c r="D97" s="283">
        <v>5</v>
      </c>
      <c r="E97" s="282">
        <v>31</v>
      </c>
      <c r="F97" s="599">
        <f t="shared" ref="F97:AH97" si="218">F92-F95+F93</f>
        <v>2890000</v>
      </c>
      <c r="G97" s="600">
        <f t="shared" si="218"/>
        <v>2890000</v>
      </c>
      <c r="H97" s="600">
        <f t="shared" si="218"/>
        <v>2858854.8812853061</v>
      </c>
      <c r="I97" s="600">
        <f t="shared" si="218"/>
        <v>2825674.7664680597</v>
      </c>
      <c r="J97" s="600">
        <f t="shared" si="218"/>
        <v>2790326.6905987505</v>
      </c>
      <c r="K97" s="601">
        <f t="shared" ca="1" si="218"/>
        <v>4273416.9824675694</v>
      </c>
      <c r="L97" s="601">
        <f t="shared" ca="1" si="218"/>
        <v>4224382.0785523914</v>
      </c>
      <c r="M97" s="601">
        <f t="shared" ca="1" si="218"/>
        <v>4172113.4248800566</v>
      </c>
      <c r="N97" s="601">
        <f t="shared" ca="1" si="218"/>
        <v>4116397.7623910601</v>
      </c>
      <c r="O97" s="601">
        <f t="shared" ca="1" si="218"/>
        <v>4057007.7680352111</v>
      </c>
      <c r="P97" s="601">
        <f t="shared" ca="1" si="218"/>
        <v>3993701.1272807484</v>
      </c>
      <c r="Q97" s="601">
        <f t="shared" ca="1" si="218"/>
        <v>3926219.5454573641</v>
      </c>
      <c r="R97" s="601">
        <f t="shared" ca="1" si="218"/>
        <v>3854287.6938993563</v>
      </c>
      <c r="S97" s="601">
        <f t="shared" ca="1" si="218"/>
        <v>3777612.0865891222</v>
      </c>
      <c r="T97" s="601">
        <f t="shared" ca="1" si="218"/>
        <v>3695879.8827176266</v>
      </c>
      <c r="U97" s="601">
        <f t="shared" ca="1" si="218"/>
        <v>3608757.6102762306</v>
      </c>
      <c r="V97" s="601">
        <f t="shared" ca="1" si="218"/>
        <v>3515889.8054720587</v>
      </c>
      <c r="W97" s="601">
        <f t="shared" ca="1" si="218"/>
        <v>3416897.562415645</v>
      </c>
      <c r="X97" s="601">
        <f t="shared" ca="1" si="218"/>
        <v>3311376.9871635004</v>
      </c>
      <c r="Y97" s="601">
        <f t="shared" ca="1" si="218"/>
        <v>3198897.5498080086</v>
      </c>
      <c r="Z97" s="601">
        <f t="shared" ca="1" si="218"/>
        <v>3079000.3278910834</v>
      </c>
      <c r="AA97" s="601">
        <f t="shared" ca="1" si="218"/>
        <v>2951196.133974616</v>
      </c>
      <c r="AB97" s="601">
        <f t="shared" ca="1" si="218"/>
        <v>2814963.5197280948</v>
      </c>
      <c r="AC97" s="601">
        <f t="shared" ca="1" si="218"/>
        <v>2669746.648389962</v>
      </c>
      <c r="AD97" s="601">
        <f t="shared" ca="1" si="218"/>
        <v>2514953.0269222278</v>
      </c>
      <c r="AE97" s="601">
        <f t="shared" ca="1" si="218"/>
        <v>2349951.0886054081</v>
      </c>
      <c r="AF97" s="601">
        <f t="shared" ca="1" si="218"/>
        <v>2174067.616210632</v>
      </c>
      <c r="AG97" s="601">
        <f t="shared" ca="1" si="218"/>
        <v>1986584.9952353216</v>
      </c>
      <c r="AH97" s="601">
        <f t="shared" ca="1" si="218"/>
        <v>1786738.2859954829</v>
      </c>
      <c r="AI97" s="601">
        <f t="shared" ref="AI97:AJ97" ca="1" si="219">AI92-AI95+AI93</f>
        <v>1573712.102628588</v>
      </c>
      <c r="AJ97" s="601">
        <f t="shared" ca="1" si="219"/>
        <v>1346637.2862731949</v>
      </c>
      <c r="AK97" s="535"/>
      <c r="AL97" s="535"/>
      <c r="AM97" s="535"/>
      <c r="AN97" s="535"/>
      <c r="AO97" s="535"/>
      <c r="AP97" s="535"/>
      <c r="AQ97" s="535"/>
      <c r="AR97" s="535"/>
      <c r="AS97" s="535"/>
      <c r="AT97" s="535"/>
      <c r="AU97" s="535"/>
      <c r="AV97" s="535"/>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5"/>
      <c r="BU97" s="535"/>
      <c r="BV97" s="535"/>
      <c r="BW97" s="535"/>
      <c r="BX97" s="535"/>
      <c r="BY97" s="535"/>
      <c r="BZ97" s="535"/>
    </row>
    <row r="98" spans="3:78" ht="14" thickTop="1" x14ac:dyDescent="0.15">
      <c r="C98" s="505"/>
      <c r="D98" s="742" t="s">
        <v>313</v>
      </c>
      <c r="E98" s="222" t="s">
        <v>314</v>
      </c>
      <c r="F98" s="223">
        <f t="shared" ref="F98:L98" ca="1" si="220">F83/(F94/12)</f>
        <v>1.0538242758937342</v>
      </c>
      <c r="G98" s="223">
        <f t="shared" ca="1" si="220"/>
        <v>1.5724557613337165</v>
      </c>
      <c r="H98" s="223">
        <f t="shared" ca="1" si="220"/>
        <v>1.7854903105947875</v>
      </c>
      <c r="I98" s="223">
        <f t="shared" ca="1" si="220"/>
        <v>1.872604340218831</v>
      </c>
      <c r="J98" s="223">
        <f t="shared" ca="1" si="220"/>
        <v>1.9635922751126291</v>
      </c>
      <c r="K98" s="223">
        <f ca="1">J83/(K94/12)</f>
        <v>1.3055208420508424</v>
      </c>
      <c r="L98" s="223">
        <f t="shared" ca="1" si="220"/>
        <v>1.4346740507270863</v>
      </c>
      <c r="M98" s="223">
        <f ca="1">L83/(M94/12)</f>
        <v>1.4346740507270863</v>
      </c>
      <c r="N98" s="223">
        <f t="shared" ref="N98:AH98" ca="1" si="221">N83/(N94/12)</f>
        <v>1.5754868499726167</v>
      </c>
      <c r="O98" s="223">
        <f t="shared" ca="1" si="221"/>
        <v>1.6505738936338388</v>
      </c>
      <c r="P98" s="223">
        <f t="shared" ca="1" si="221"/>
        <v>1.7289559382030348</v>
      </c>
      <c r="Q98" s="223">
        <f t="shared" ca="1" si="221"/>
        <v>1.8107706140997544</v>
      </c>
      <c r="R98" s="223">
        <f t="shared" ca="1" si="221"/>
        <v>1.8961611735679944</v>
      </c>
      <c r="S98" s="223">
        <f t="shared" ca="1" si="221"/>
        <v>1.9852767178813255</v>
      </c>
      <c r="T98" s="223">
        <f t="shared" ca="1" si="221"/>
        <v>2.0782724336828826</v>
      </c>
      <c r="U98" s="223">
        <f t="shared" ca="1" si="221"/>
        <v>2.1753098388265073</v>
      </c>
      <c r="V98" s="223">
        <f t="shared" ca="1" si="221"/>
        <v>2.2765570381000808</v>
      </c>
      <c r="W98" s="223">
        <f t="shared" ca="1" si="221"/>
        <v>2.3821889892272852</v>
      </c>
      <c r="X98" s="223">
        <f t="shared" ca="1" si="221"/>
        <v>2.4923877795599223</v>
      </c>
      <c r="Y98" s="223">
        <f t="shared" ca="1" si="221"/>
        <v>2.607342913889414</v>
      </c>
      <c r="Z98" s="223">
        <f t="shared" ca="1" si="221"/>
        <v>2.7272516138233063</v>
      </c>
      <c r="AA98" s="223">
        <f t="shared" ca="1" si="221"/>
        <v>2.8523191291903984</v>
      </c>
      <c r="AB98" s="223">
        <f t="shared" ca="1" si="221"/>
        <v>2.9827590619567368</v>
      </c>
      <c r="AC98" s="223">
        <f t="shared" ca="1" si="221"/>
        <v>3.118793703153981</v>
      </c>
      <c r="AD98" s="223">
        <f t="shared" ca="1" si="221"/>
        <v>3.2606543833417749</v>
      </c>
      <c r="AE98" s="223">
        <f t="shared" ca="1" si="221"/>
        <v>3.4085818371465906</v>
      </c>
      <c r="AF98" s="223">
        <f t="shared" ca="1" si="221"/>
        <v>3.5628265824413017</v>
      </c>
      <c r="AG98" s="223">
        <f t="shared" ca="1" si="221"/>
        <v>3.7236493147522558</v>
      </c>
      <c r="AH98" s="223">
        <f t="shared" ca="1" si="221"/>
        <v>3.8913213175041932</v>
      </c>
      <c r="AI98" s="223">
        <f t="shared" ref="AI98:AJ98" ca="1" si="222">AI83/(AI94/12)</f>
        <v>4.0661248887377246</v>
      </c>
      <c r="AJ98" s="223">
        <f t="shared" ca="1" si="222"/>
        <v>4.2483537849595425</v>
      </c>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5"/>
      <c r="BZ98" s="535"/>
    </row>
    <row r="99" spans="3:78" hidden="1" x14ac:dyDescent="0.15">
      <c r="C99" s="270" t="s">
        <v>315</v>
      </c>
      <c r="D99" s="333"/>
      <c r="E99" s="222" t="s">
        <v>316</v>
      </c>
      <c r="F99" s="223">
        <f t="shared" ref="F99:AJ99" ca="1" si="223">(F83+((F106+F107)/12))/(F94/12)</f>
        <v>1.8631228242411624</v>
      </c>
      <c r="G99" s="223">
        <f t="shared" ca="1" si="223"/>
        <v>2.4911594838095934</v>
      </c>
      <c r="H99" s="223">
        <f t="shared" ca="1" si="223"/>
        <v>2.574119724046906</v>
      </c>
      <c r="I99" s="223">
        <f t="shared" ca="1" si="223"/>
        <v>2.6612337536709498</v>
      </c>
      <c r="J99" s="223">
        <f t="shared" ca="1" si="223"/>
        <v>2.7522216885647479</v>
      </c>
      <c r="K99" s="223">
        <f t="shared" ca="1" si="223"/>
        <v>1.8930301353423216</v>
      </c>
      <c r="L99" s="223">
        <f t="shared" ca="1" si="223"/>
        <v>1.9590049665517661</v>
      </c>
      <c r="M99" s="223">
        <f t="shared" ca="1" si="223"/>
        <v>2.0278934960264423</v>
      </c>
      <c r="N99" s="223">
        <f t="shared" ca="1" si="223"/>
        <v>2.0998177657972965</v>
      </c>
      <c r="O99" s="223">
        <f t="shared" ca="1" si="223"/>
        <v>2.1749048094585186</v>
      </c>
      <c r="P99" s="223">
        <f t="shared" ca="1" si="223"/>
        <v>1.7289559382030348</v>
      </c>
      <c r="Q99" s="223">
        <f t="shared" ca="1" si="223"/>
        <v>1.8107706140997544</v>
      </c>
      <c r="R99" s="223">
        <f t="shared" ca="1" si="223"/>
        <v>1.8961611735679944</v>
      </c>
      <c r="S99" s="223">
        <f t="shared" ca="1" si="223"/>
        <v>1.9852767178813255</v>
      </c>
      <c r="T99" s="223">
        <f t="shared" ca="1" si="223"/>
        <v>2.0782724336828826</v>
      </c>
      <c r="U99" s="223">
        <f t="shared" ca="1" si="223"/>
        <v>2.1753098388265073</v>
      </c>
      <c r="V99" s="223">
        <f t="shared" ca="1" si="223"/>
        <v>2.2765570381000808</v>
      </c>
      <c r="W99" s="223">
        <f t="shared" ca="1" si="223"/>
        <v>2.3821889892272852</v>
      </c>
      <c r="X99" s="223">
        <f t="shared" ca="1" si="223"/>
        <v>2.4923877795599223</v>
      </c>
      <c r="Y99" s="223">
        <f t="shared" ca="1" si="223"/>
        <v>2.607342913889414</v>
      </c>
      <c r="Z99" s="223">
        <f t="shared" ca="1" si="223"/>
        <v>2.7272516138233063</v>
      </c>
      <c r="AA99" s="223">
        <f t="shared" ca="1" si="223"/>
        <v>2.8523191291903984</v>
      </c>
      <c r="AB99" s="223">
        <f t="shared" ca="1" si="223"/>
        <v>2.9827590619567368</v>
      </c>
      <c r="AC99" s="223">
        <f t="shared" ca="1" si="223"/>
        <v>3.118793703153981</v>
      </c>
      <c r="AD99" s="223">
        <f t="shared" ca="1" si="223"/>
        <v>3.2606543833417749</v>
      </c>
      <c r="AE99" s="223">
        <f t="shared" ca="1" si="223"/>
        <v>3.4085818371465906</v>
      </c>
      <c r="AF99" s="223">
        <f t="shared" ca="1" si="223"/>
        <v>3.5628265824413017</v>
      </c>
      <c r="AG99" s="223">
        <f t="shared" ca="1" si="223"/>
        <v>3.7236493147522558</v>
      </c>
      <c r="AH99" s="223">
        <f t="shared" ca="1" si="223"/>
        <v>3.8913213175041932</v>
      </c>
      <c r="AI99" s="223">
        <f t="shared" ca="1" si="223"/>
        <v>4.0661248887377246</v>
      </c>
      <c r="AJ99" s="223">
        <f t="shared" ca="1" si="223"/>
        <v>4.2483537849595425</v>
      </c>
      <c r="AK99" s="535"/>
      <c r="AL99" s="535"/>
      <c r="AM99" s="535"/>
      <c r="AN99" s="535"/>
      <c r="AO99" s="535"/>
      <c r="AP99" s="535"/>
      <c r="AQ99" s="535"/>
      <c r="AR99" s="535"/>
      <c r="AS99" s="535"/>
      <c r="AT99" s="535"/>
      <c r="AU99" s="535"/>
      <c r="AV99" s="535"/>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5"/>
      <c r="BZ99" s="535"/>
    </row>
    <row r="100" spans="3:78" x14ac:dyDescent="0.15">
      <c r="C100" s="334" t="str">
        <f>IF(D100&gt;D97,"IO Years cannont be greater than 1st Refi Year","")</f>
        <v/>
      </c>
      <c r="D100" s="282">
        <v>2</v>
      </c>
      <c r="E100" s="222"/>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535"/>
      <c r="AL100" s="535"/>
      <c r="AM100" s="535"/>
      <c r="AN100" s="535"/>
      <c r="AO100" s="535"/>
      <c r="AP100" s="535"/>
      <c r="AQ100" s="535"/>
      <c r="AR100" s="535"/>
      <c r="AS100" s="535"/>
      <c r="AT100" s="535"/>
      <c r="AU100" s="535"/>
      <c r="AV100" s="535"/>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5"/>
      <c r="BZ100" s="535"/>
    </row>
    <row r="101" spans="3:78" x14ac:dyDescent="0.15">
      <c r="C101" s="505"/>
      <c r="D101" s="28"/>
      <c r="E101" s="1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535"/>
      <c r="AL101" s="535"/>
      <c r="AM101" s="535"/>
      <c r="AN101" s="535"/>
      <c r="AO101" s="535"/>
      <c r="AP101" s="535"/>
      <c r="AQ101" s="535"/>
      <c r="AR101" s="535"/>
      <c r="AS101" s="535"/>
      <c r="AT101" s="535"/>
      <c r="AU101" s="535"/>
      <c r="AV101" s="535"/>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5"/>
      <c r="BZ101" s="535"/>
    </row>
    <row r="102" spans="3:78" x14ac:dyDescent="0.15">
      <c r="C102" s="36" t="s">
        <v>317</v>
      </c>
      <c r="D102" s="602" t="s">
        <v>318</v>
      </c>
      <c r="E102" s="603">
        <v>6.5000000000000002E-2</v>
      </c>
      <c r="F102" s="140">
        <f t="shared" ref="F102:AH102" ca="1" si="224">(F85/$E$102)</f>
        <v>3061443.6923076925</v>
      </c>
      <c r="G102" s="140">
        <f t="shared" ca="1" si="224"/>
        <v>4568109.5815384611</v>
      </c>
      <c r="H102" s="140">
        <f t="shared" ca="1" si="224"/>
        <v>6042519.7731692307</v>
      </c>
      <c r="I102" s="140">
        <f t="shared" ca="1" si="224"/>
        <v>6337334.1686326154</v>
      </c>
      <c r="J102" s="140">
        <f t="shared" ca="1" si="224"/>
        <v>6645258.7720052656</v>
      </c>
      <c r="K102" s="140">
        <f t="shared" ca="1" si="224"/>
        <v>6966844.3442453733</v>
      </c>
      <c r="L102" s="140">
        <f t="shared" ca="1" si="224"/>
        <v>7302664.2038022811</v>
      </c>
      <c r="M102" s="140">
        <f t="shared" ca="1" si="224"/>
        <v>7653315.1394572081</v>
      </c>
      <c r="N102" s="140">
        <f t="shared" ca="1" si="224"/>
        <v>8019418.3598883897</v>
      </c>
      <c r="O102" s="140">
        <f t="shared" ca="1" si="224"/>
        <v>8401620.481433874</v>
      </c>
      <c r="P102" s="140">
        <f t="shared" ca="1" si="224"/>
        <v>8800594.5555841755</v>
      </c>
      <c r="Q102" s="140">
        <f t="shared" ca="1" si="224"/>
        <v>9217041.1377983484</v>
      </c>
      <c r="R102" s="140">
        <f t="shared" ca="1" si="224"/>
        <v>9651689.3993009105</v>
      </c>
      <c r="S102" s="140">
        <f t="shared" ca="1" si="224"/>
        <v>10105298.283583377</v>
      </c>
      <c r="T102" s="140">
        <f t="shared" ca="1" si="224"/>
        <v>10578657.70940336</v>
      </c>
      <c r="U102" s="140">
        <f t="shared" ca="1" si="224"/>
        <v>11072589.822145676</v>
      </c>
      <c r="V102" s="140">
        <f t="shared" ca="1" si="224"/>
        <v>11587950.295485005</v>
      </c>
      <c r="W102" s="140">
        <f t="shared" ca="1" si="224"/>
        <v>12125629.68536697</v>
      </c>
      <c r="X102" s="140">
        <f t="shared" ca="1" si="224"/>
        <v>12686554.838405473</v>
      </c>
      <c r="Y102" s="140">
        <f t="shared" ca="1" si="224"/>
        <v>13271690.35687799</v>
      </c>
      <c r="Z102" s="140">
        <f t="shared" ca="1" si="224"/>
        <v>13882040.122588137</v>
      </c>
      <c r="AA102" s="140">
        <f t="shared" ca="1" si="224"/>
        <v>14518648.881955387</v>
      </c>
      <c r="AB102" s="140">
        <f t="shared" ca="1" si="224"/>
        <v>15182603.894786602</v>
      </c>
      <c r="AC102" s="140">
        <f t="shared" ca="1" si="224"/>
        <v>15875036.649282124</v>
      </c>
      <c r="AD102" s="140">
        <f t="shared" ca="1" si="224"/>
        <v>16597124.645931553</v>
      </c>
      <c r="AE102" s="140">
        <f t="shared" ca="1" si="224"/>
        <v>17350093.25306052</v>
      </c>
      <c r="AF102" s="140">
        <f t="shared" ca="1" si="224"/>
        <v>18135217.636900481</v>
      </c>
      <c r="AG102" s="140">
        <f t="shared" ca="1" si="224"/>
        <v>18953824.769168384</v>
      </c>
      <c r="AH102" s="140">
        <f t="shared" ca="1" si="224"/>
        <v>19807295.51526285</v>
      </c>
      <c r="AI102" s="140">
        <f t="shared" ref="AI102:AJ102" ca="1" si="225">(AI85/$E$102)</f>
        <v>20697066.806307651</v>
      </c>
      <c r="AJ102" s="140">
        <f t="shared" ca="1" si="225"/>
        <v>21624633.898402922</v>
      </c>
      <c r="AK102" s="535"/>
      <c r="AL102" s="535"/>
      <c r="AM102" s="535"/>
      <c r="AN102" s="535"/>
      <c r="AO102" s="535"/>
      <c r="AP102" s="535"/>
      <c r="AQ102" s="535"/>
      <c r="AR102" s="535"/>
      <c r="AS102" s="535"/>
      <c r="AT102" s="535"/>
      <c r="AU102" s="535"/>
      <c r="AV102" s="535"/>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5"/>
      <c r="BZ102" s="535"/>
    </row>
    <row r="103" spans="3:78" x14ac:dyDescent="0.15">
      <c r="C103" s="35">
        <f>3058000+5162000-8290000</f>
        <v>-70000</v>
      </c>
      <c r="D103" s="28"/>
      <c r="E103" s="505"/>
      <c r="F103" s="315" t="str">
        <f t="shared" ref="F103:AH103" ca="1" si="226">"$/Sp="&amp;TEXT(ROUND((F102/NoOfSpaces),-2),"$0,0")</f>
        <v>$/Sp=$30,600</v>
      </c>
      <c r="G103" s="315" t="str">
        <f t="shared" ca="1" si="226"/>
        <v>$/Sp=$45,700</v>
      </c>
      <c r="H103" s="315" t="str">
        <f t="shared" ca="1" si="226"/>
        <v>$/Sp=$60,400</v>
      </c>
      <c r="I103" s="315" t="str">
        <f t="shared" ca="1" si="226"/>
        <v>$/Sp=$63,400</v>
      </c>
      <c r="J103" s="315" t="str">
        <f t="shared" ca="1" si="226"/>
        <v>$/Sp=$66,500</v>
      </c>
      <c r="K103" s="315" t="str">
        <f t="shared" ca="1" si="226"/>
        <v>$/Sp=$69,700</v>
      </c>
      <c r="L103" s="315" t="str">
        <f t="shared" ca="1" si="226"/>
        <v>$/Sp=$73,000</v>
      </c>
      <c r="M103" s="315" t="str">
        <f t="shared" ca="1" si="226"/>
        <v>$/Sp=$76,500</v>
      </c>
      <c r="N103" s="315" t="str">
        <f t="shared" ca="1" si="226"/>
        <v>$/Sp=$80,200</v>
      </c>
      <c r="O103" s="315" t="str">
        <f t="shared" ca="1" si="226"/>
        <v>$/Sp=$84,000</v>
      </c>
      <c r="P103" s="315" t="str">
        <f t="shared" ca="1" si="226"/>
        <v>$/Sp=$88,000</v>
      </c>
      <c r="Q103" s="315" t="str">
        <f t="shared" ca="1" si="226"/>
        <v>$/Sp=$92,200</v>
      </c>
      <c r="R103" s="315" t="str">
        <f t="shared" ca="1" si="226"/>
        <v>$/Sp=$96,500</v>
      </c>
      <c r="S103" s="315" t="str">
        <f t="shared" ca="1" si="226"/>
        <v>$/Sp=$101,100</v>
      </c>
      <c r="T103" s="315" t="str">
        <f t="shared" ca="1" si="226"/>
        <v>$/Sp=$105,800</v>
      </c>
      <c r="U103" s="315" t="str">
        <f t="shared" ca="1" si="226"/>
        <v>$/Sp=$110,700</v>
      </c>
      <c r="V103" s="315" t="str">
        <f t="shared" ca="1" si="226"/>
        <v>$/Sp=$115,900</v>
      </c>
      <c r="W103" s="315" t="str">
        <f t="shared" ca="1" si="226"/>
        <v>$/Sp=$121,300</v>
      </c>
      <c r="X103" s="315" t="str">
        <f t="shared" ca="1" si="226"/>
        <v>$/Sp=$126,900</v>
      </c>
      <c r="Y103" s="315" t="str">
        <f t="shared" ca="1" si="226"/>
        <v>$/Sp=$132,700</v>
      </c>
      <c r="Z103" s="315" t="str">
        <f t="shared" ca="1" si="226"/>
        <v>$/Sp=$138,800</v>
      </c>
      <c r="AA103" s="315" t="str">
        <f t="shared" ca="1" si="226"/>
        <v>$/Sp=$145,200</v>
      </c>
      <c r="AB103" s="315" t="str">
        <f t="shared" ca="1" si="226"/>
        <v>$/Sp=$151,800</v>
      </c>
      <c r="AC103" s="315" t="str">
        <f t="shared" ca="1" si="226"/>
        <v>$/Sp=$158,800</v>
      </c>
      <c r="AD103" s="315" t="str">
        <f t="shared" ca="1" si="226"/>
        <v>$/Sp=$166,000</v>
      </c>
      <c r="AE103" s="315" t="str">
        <f t="shared" ca="1" si="226"/>
        <v>$/Sp=$173,500</v>
      </c>
      <c r="AF103" s="315" t="str">
        <f t="shared" ca="1" si="226"/>
        <v>$/Sp=$181,400</v>
      </c>
      <c r="AG103" s="315" t="str">
        <f t="shared" ca="1" si="226"/>
        <v>$/Sp=$189,500</v>
      </c>
      <c r="AH103" s="315" t="str">
        <f t="shared" ca="1" si="226"/>
        <v>$/Sp=$198,100</v>
      </c>
      <c r="AI103" s="315" t="str">
        <f t="shared" ref="AI103:AJ103" ca="1" si="227">"$/Sp="&amp;TEXT(ROUND((AI102/NoOfSpaces),-2),"$0,0")</f>
        <v>$/Sp=$207,000</v>
      </c>
      <c r="AJ103" s="315" t="str">
        <f t="shared" ca="1" si="227"/>
        <v>$/Sp=$216,200</v>
      </c>
      <c r="AK103" s="535"/>
      <c r="AL103" s="535"/>
      <c r="AM103" s="535"/>
      <c r="AN103" s="535"/>
      <c r="AO103" s="535"/>
      <c r="AP103" s="535"/>
      <c r="AQ103" s="535"/>
      <c r="AR103" s="535"/>
      <c r="AS103" s="535"/>
      <c r="AT103" s="535"/>
      <c r="AU103" s="535"/>
      <c r="AV103" s="535"/>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5"/>
      <c r="BZ103" s="535"/>
    </row>
    <row r="104" spans="3:78" x14ac:dyDescent="0.15">
      <c r="C104" s="508" t="s">
        <v>53</v>
      </c>
      <c r="D104" s="28"/>
      <c r="E104" s="505"/>
      <c r="F104" s="12">
        <f t="shared" ref="F104:AH104" ca="1" si="228">F85-F94</f>
        <v>10163.648333333345</v>
      </c>
      <c r="G104" s="12">
        <f t="shared" ca="1" si="228"/>
        <v>108096.93113333333</v>
      </c>
      <c r="H104" s="12">
        <f t="shared" ca="1" si="228"/>
        <v>172788.47487463956</v>
      </c>
      <c r="I104" s="12">
        <f t="shared" ca="1" si="228"/>
        <v>191951.4105797596</v>
      </c>
      <c r="J104" s="12">
        <f t="shared" ca="1" si="228"/>
        <v>211966.50979898186</v>
      </c>
      <c r="K104" s="12">
        <f t="shared" ca="1" si="228"/>
        <v>121987.03141908138</v>
      </c>
      <c r="L104" s="12">
        <f t="shared" ca="1" si="228"/>
        <v>143815.32229028037</v>
      </c>
      <c r="M104" s="12">
        <f t="shared" ca="1" si="228"/>
        <v>166607.63310785062</v>
      </c>
      <c r="N104" s="12">
        <f t="shared" ca="1" si="228"/>
        <v>190404.34243587742</v>
      </c>
      <c r="O104" s="12">
        <f t="shared" ca="1" si="228"/>
        <v>215247.48033633386</v>
      </c>
      <c r="P104" s="12">
        <f t="shared" ca="1" si="228"/>
        <v>241180.79515610356</v>
      </c>
      <c r="Q104" s="12">
        <f t="shared" ca="1" si="228"/>
        <v>268249.82300002477</v>
      </c>
      <c r="R104" s="12">
        <f t="shared" ca="1" si="228"/>
        <v>296501.95999769133</v>
      </c>
      <c r="S104" s="12">
        <f t="shared" ca="1" si="228"/>
        <v>325986.5374760516</v>
      </c>
      <c r="T104" s="12">
        <f t="shared" ca="1" si="228"/>
        <v>356754.90015435056</v>
      </c>
      <c r="U104" s="12">
        <f t="shared" ca="1" si="228"/>
        <v>388860.48748260108</v>
      </c>
      <c r="V104" s="12">
        <f t="shared" ca="1" si="228"/>
        <v>422358.91824965738</v>
      </c>
      <c r="W104" s="12">
        <f t="shared" ca="1" si="228"/>
        <v>457308.07859198516</v>
      </c>
      <c r="X104" s="12">
        <f t="shared" ca="1" si="228"/>
        <v>493768.21353948792</v>
      </c>
      <c r="Y104" s="12">
        <f t="shared" ca="1" si="228"/>
        <v>531802.02224020148</v>
      </c>
      <c r="Z104" s="12">
        <f t="shared" ca="1" si="228"/>
        <v>571474.75701136107</v>
      </c>
      <c r="AA104" s="12">
        <f t="shared" ca="1" si="228"/>
        <v>612854.32637023227</v>
      </c>
      <c r="AB104" s="12">
        <f t="shared" ca="1" si="228"/>
        <v>656011.40220426128</v>
      </c>
      <c r="AC104" s="12">
        <f t="shared" ca="1" si="228"/>
        <v>701019.53124647017</v>
      </c>
      <c r="AD104" s="12">
        <f t="shared" ca="1" si="228"/>
        <v>747955.25102868304</v>
      </c>
      <c r="AE104" s="12">
        <f t="shared" ca="1" si="228"/>
        <v>796898.21049206587</v>
      </c>
      <c r="AF104" s="12">
        <f t="shared" ca="1" si="228"/>
        <v>847931.29544166336</v>
      </c>
      <c r="AG104" s="12">
        <f t="shared" ca="1" si="228"/>
        <v>901140.75903907721</v>
      </c>
      <c r="AH104" s="12">
        <f t="shared" ca="1" si="228"/>
        <v>956616.35753521742</v>
      </c>
      <c r="AI104" s="12">
        <f t="shared" ref="AI104:AJ104" ca="1" si="229">AI85-AI94</f>
        <v>1014451.4914531293</v>
      </c>
      <c r="AJ104" s="12">
        <f t="shared" ca="1" si="229"/>
        <v>1074743.352439322</v>
      </c>
      <c r="AK104" s="535"/>
      <c r="AL104" s="535"/>
      <c r="AM104" s="535"/>
      <c r="AN104" s="535"/>
      <c r="AO104" s="535"/>
      <c r="AP104" s="535"/>
      <c r="AQ104" s="535"/>
      <c r="AR104" s="535"/>
      <c r="AS104" s="535"/>
      <c r="AT104" s="535"/>
      <c r="AU104" s="535"/>
      <c r="AV104" s="535"/>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5"/>
      <c r="BZ104" s="535"/>
    </row>
    <row r="105" spans="3:78" x14ac:dyDescent="0.15">
      <c r="C105" s="508" t="s">
        <v>54</v>
      </c>
      <c r="D105" s="28" t="s">
        <v>319</v>
      </c>
      <c r="E105" s="703">
        <v>39900</v>
      </c>
      <c r="F105" s="141">
        <v>0</v>
      </c>
      <c r="G105" s="141">
        <v>0</v>
      </c>
      <c r="H105" s="141">
        <v>0</v>
      </c>
      <c r="I105" s="141">
        <v>0</v>
      </c>
      <c r="J105" s="141">
        <v>0</v>
      </c>
      <c r="K105" s="141">
        <v>0</v>
      </c>
      <c r="L105" s="141">
        <v>0</v>
      </c>
      <c r="M105" s="141">
        <v>0</v>
      </c>
      <c r="N105" s="141">
        <v>0</v>
      </c>
      <c r="O105" s="141">
        <v>0</v>
      </c>
      <c r="P105" s="141">
        <v>0</v>
      </c>
      <c r="Q105" s="141">
        <v>0</v>
      </c>
      <c r="R105" s="141">
        <v>0</v>
      </c>
      <c r="S105" s="141">
        <v>0</v>
      </c>
      <c r="T105" s="141">
        <v>0</v>
      </c>
      <c r="U105" s="141">
        <v>0</v>
      </c>
      <c r="V105" s="141">
        <v>0</v>
      </c>
      <c r="W105" s="141">
        <v>0</v>
      </c>
      <c r="X105" s="141">
        <v>0</v>
      </c>
      <c r="Y105" s="141">
        <v>0</v>
      </c>
      <c r="Z105" s="141">
        <v>0</v>
      </c>
      <c r="AA105" s="141">
        <v>0</v>
      </c>
      <c r="AB105" s="141">
        <v>0</v>
      </c>
      <c r="AC105" s="141">
        <v>0</v>
      </c>
      <c r="AD105" s="141">
        <v>0</v>
      </c>
      <c r="AE105" s="141">
        <v>0</v>
      </c>
      <c r="AF105" s="141">
        <v>0</v>
      </c>
      <c r="AG105" s="141">
        <v>0</v>
      </c>
      <c r="AH105" s="141">
        <v>0</v>
      </c>
      <c r="AI105" s="141">
        <v>0</v>
      </c>
      <c r="AJ105" s="141">
        <v>0</v>
      </c>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5"/>
      <c r="BZ105" s="535"/>
    </row>
    <row r="106" spans="3:78" x14ac:dyDescent="0.15">
      <c r="C106" s="508" t="s">
        <v>320</v>
      </c>
      <c r="D106" s="28"/>
      <c r="E106" s="505"/>
      <c r="F106" s="141">
        <f>O23</f>
        <v>152820</v>
      </c>
      <c r="G106" s="141">
        <f>P23*73+F106</f>
        <v>173479</v>
      </c>
      <c r="H106" s="141">
        <f t="shared" ref="H106:K106" si="230">Q23*73+G106</f>
        <v>173479</v>
      </c>
      <c r="I106" s="141">
        <f t="shared" si="230"/>
        <v>173479</v>
      </c>
      <c r="J106" s="141">
        <f t="shared" si="230"/>
        <v>173479</v>
      </c>
      <c r="K106" s="141">
        <f t="shared" si="230"/>
        <v>173479</v>
      </c>
      <c r="L106" s="141">
        <f t="shared" ref="L106" si="231">U23*73+K106</f>
        <v>173479</v>
      </c>
      <c r="M106" s="141">
        <f t="shared" ref="M106" si="232">V23*73+L106</f>
        <v>173479</v>
      </c>
      <c r="N106" s="141">
        <f t="shared" ref="N106" si="233">W23*73+M106</f>
        <v>173479</v>
      </c>
      <c r="O106" s="141">
        <f t="shared" ref="O106" si="234">X23*73+N106</f>
        <v>173479</v>
      </c>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535"/>
      <c r="AL106" s="535"/>
      <c r="AM106" s="535"/>
      <c r="AN106" s="535"/>
      <c r="AO106" s="535"/>
      <c r="AP106" s="535"/>
      <c r="AQ106" s="535"/>
      <c r="AR106" s="535"/>
      <c r="AS106" s="535"/>
      <c r="AT106" s="535"/>
      <c r="AU106" s="535"/>
      <c r="AV106" s="535"/>
      <c r="AW106" s="535"/>
      <c r="AX106" s="535"/>
      <c r="AY106" s="535"/>
      <c r="AZ106" s="535"/>
      <c r="BA106" s="535"/>
      <c r="BB106" s="535"/>
      <c r="BC106" s="535"/>
      <c r="BD106" s="535"/>
      <c r="BE106" s="535"/>
      <c r="BF106" s="535"/>
      <c r="BG106" s="535"/>
      <c r="BH106" s="535"/>
      <c r="BI106" s="535"/>
      <c r="BJ106" s="535"/>
      <c r="BK106" s="535"/>
      <c r="BL106" s="535"/>
      <c r="BM106" s="535"/>
      <c r="BN106" s="535"/>
      <c r="BO106" s="535"/>
      <c r="BP106" s="535"/>
      <c r="BQ106" s="535"/>
      <c r="BR106" s="535"/>
      <c r="BS106" s="535"/>
      <c r="BT106" s="535"/>
      <c r="BU106" s="535"/>
      <c r="BV106" s="535"/>
      <c r="BW106" s="535"/>
      <c r="BX106" s="535"/>
      <c r="BY106" s="535"/>
      <c r="BZ106" s="535"/>
    </row>
    <row r="107" spans="3:78" x14ac:dyDescent="0.15">
      <c r="C107" s="508" t="s">
        <v>321</v>
      </c>
      <c r="D107" s="28"/>
      <c r="E107" s="505"/>
      <c r="F107" s="141">
        <v>0</v>
      </c>
      <c r="G107" s="141">
        <v>0</v>
      </c>
      <c r="H107" s="141">
        <v>0</v>
      </c>
      <c r="I107" s="141">
        <v>0</v>
      </c>
      <c r="J107" s="141">
        <v>0</v>
      </c>
      <c r="K107" s="141">
        <v>0</v>
      </c>
      <c r="L107" s="141">
        <v>0</v>
      </c>
      <c r="M107" s="141">
        <v>0</v>
      </c>
      <c r="N107" s="141">
        <v>0</v>
      </c>
      <c r="O107" s="141">
        <v>0</v>
      </c>
      <c r="P107" s="141">
        <v>0</v>
      </c>
      <c r="Q107" s="141">
        <v>0</v>
      </c>
      <c r="R107" s="141">
        <v>0</v>
      </c>
      <c r="S107" s="141">
        <v>0</v>
      </c>
      <c r="T107" s="141">
        <v>0</v>
      </c>
      <c r="U107" s="141">
        <v>0</v>
      </c>
      <c r="V107" s="141">
        <v>0</v>
      </c>
      <c r="W107" s="141">
        <v>0</v>
      </c>
      <c r="X107" s="141">
        <v>0</v>
      </c>
      <c r="Y107" s="141">
        <v>0</v>
      </c>
      <c r="Z107" s="141">
        <v>0</v>
      </c>
      <c r="AA107" s="141">
        <v>0</v>
      </c>
      <c r="AB107" s="141">
        <v>0</v>
      </c>
      <c r="AC107" s="141">
        <v>0</v>
      </c>
      <c r="AD107" s="141">
        <v>0</v>
      </c>
      <c r="AE107" s="141">
        <v>0</v>
      </c>
      <c r="AF107" s="141">
        <v>0</v>
      </c>
      <c r="AG107" s="141">
        <v>0</v>
      </c>
      <c r="AH107" s="141">
        <v>0</v>
      </c>
      <c r="AI107" s="141">
        <v>0</v>
      </c>
      <c r="AJ107" s="141">
        <v>0</v>
      </c>
      <c r="AK107" s="535"/>
      <c r="AL107" s="535"/>
      <c r="AM107" s="535"/>
      <c r="AN107" s="535"/>
      <c r="AO107" s="535"/>
      <c r="AP107" s="535"/>
      <c r="AQ107" s="535"/>
      <c r="AR107" s="535"/>
      <c r="AS107" s="535"/>
      <c r="AT107" s="535"/>
      <c r="AU107" s="535"/>
      <c r="AV107" s="535"/>
      <c r="AW107" s="535"/>
      <c r="AX107" s="535"/>
      <c r="AY107" s="535"/>
      <c r="AZ107" s="535"/>
      <c r="BA107" s="535"/>
      <c r="BB107" s="535"/>
      <c r="BC107" s="535"/>
      <c r="BD107" s="535"/>
      <c r="BE107" s="535"/>
      <c r="BF107" s="535"/>
      <c r="BG107" s="535"/>
      <c r="BH107" s="535"/>
      <c r="BI107" s="535"/>
      <c r="BJ107" s="535"/>
      <c r="BK107" s="535"/>
      <c r="BL107" s="535"/>
      <c r="BM107" s="535"/>
      <c r="BN107" s="535"/>
      <c r="BO107" s="535"/>
      <c r="BP107" s="535"/>
      <c r="BQ107" s="535"/>
      <c r="BR107" s="535"/>
      <c r="BS107" s="535"/>
      <c r="BT107" s="535"/>
      <c r="BU107" s="535"/>
      <c r="BV107" s="535"/>
      <c r="BW107" s="535"/>
      <c r="BX107" s="535"/>
      <c r="BY107" s="535"/>
      <c r="BZ107" s="535"/>
    </row>
    <row r="108" spans="3:78" x14ac:dyDescent="0.15">
      <c r="C108" s="508" t="s">
        <v>166</v>
      </c>
      <c r="D108" s="28"/>
      <c r="E108" s="141">
        <f>-AcquisitionFee*Purchase_Price</f>
        <v>0</v>
      </c>
      <c r="F108" s="141">
        <v>0</v>
      </c>
      <c r="G108" s="141">
        <v>0</v>
      </c>
      <c r="H108" s="141">
        <v>0</v>
      </c>
      <c r="I108" s="141">
        <v>0</v>
      </c>
      <c r="J108" s="141">
        <v>0</v>
      </c>
      <c r="K108" s="141">
        <v>0</v>
      </c>
      <c r="L108" s="141">
        <v>0</v>
      </c>
      <c r="M108" s="141">
        <v>0</v>
      </c>
      <c r="N108" s="141">
        <v>0</v>
      </c>
      <c r="O108" s="141">
        <v>0</v>
      </c>
      <c r="P108" s="141">
        <v>0</v>
      </c>
      <c r="Q108" s="141">
        <v>0</v>
      </c>
      <c r="R108" s="141">
        <v>0</v>
      </c>
      <c r="S108" s="141">
        <v>0</v>
      </c>
      <c r="T108" s="141">
        <v>0</v>
      </c>
      <c r="U108" s="141">
        <v>0</v>
      </c>
      <c r="V108" s="141">
        <v>0</v>
      </c>
      <c r="W108" s="141">
        <v>0</v>
      </c>
      <c r="X108" s="141">
        <v>0</v>
      </c>
      <c r="Y108" s="141">
        <v>0</v>
      </c>
      <c r="Z108" s="141">
        <v>0</v>
      </c>
      <c r="AA108" s="141">
        <v>0</v>
      </c>
      <c r="AB108" s="141">
        <v>0</v>
      </c>
      <c r="AC108" s="141">
        <v>0</v>
      </c>
      <c r="AD108" s="141">
        <v>0</v>
      </c>
      <c r="AE108" s="141">
        <v>0</v>
      </c>
      <c r="AF108" s="141">
        <v>0</v>
      </c>
      <c r="AG108" s="141">
        <v>0</v>
      </c>
      <c r="AH108" s="141">
        <v>0</v>
      </c>
      <c r="AI108" s="141">
        <v>0</v>
      </c>
      <c r="AJ108" s="141">
        <v>0</v>
      </c>
      <c r="AK108" s="535"/>
      <c r="AL108" s="535"/>
      <c r="AM108" s="535"/>
      <c r="AN108" s="535"/>
      <c r="AO108" s="535"/>
      <c r="AP108" s="535"/>
      <c r="AQ108" s="535"/>
      <c r="AR108" s="535"/>
      <c r="AS108" s="535"/>
      <c r="AT108" s="535"/>
      <c r="AU108" s="535"/>
      <c r="AV108" s="535"/>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5"/>
      <c r="BZ108" s="535"/>
    </row>
    <row r="109" spans="3:78" x14ac:dyDescent="0.15">
      <c r="C109" s="508" t="s">
        <v>170</v>
      </c>
      <c r="D109" s="28"/>
      <c r="E109" s="505"/>
      <c r="F109" s="141">
        <f t="shared" ref="F109:AJ109" si="235">$E$115*AssetMgmtFee</f>
        <v>0</v>
      </c>
      <c r="G109" s="141">
        <f t="shared" si="235"/>
        <v>0</v>
      </c>
      <c r="H109" s="141">
        <f t="shared" si="235"/>
        <v>0</v>
      </c>
      <c r="I109" s="141">
        <f t="shared" si="235"/>
        <v>0</v>
      </c>
      <c r="J109" s="141">
        <f t="shared" si="235"/>
        <v>0</v>
      </c>
      <c r="K109" s="141">
        <f t="shared" si="235"/>
        <v>0</v>
      </c>
      <c r="L109" s="141">
        <f t="shared" si="235"/>
        <v>0</v>
      </c>
      <c r="M109" s="141">
        <f t="shared" si="235"/>
        <v>0</v>
      </c>
      <c r="N109" s="141">
        <f t="shared" si="235"/>
        <v>0</v>
      </c>
      <c r="O109" s="141">
        <f t="shared" si="235"/>
        <v>0</v>
      </c>
      <c r="P109" s="141">
        <f t="shared" si="235"/>
        <v>0</v>
      </c>
      <c r="Q109" s="141">
        <f t="shared" si="235"/>
        <v>0</v>
      </c>
      <c r="R109" s="141">
        <f t="shared" si="235"/>
        <v>0</v>
      </c>
      <c r="S109" s="141">
        <f t="shared" si="235"/>
        <v>0</v>
      </c>
      <c r="T109" s="141">
        <f t="shared" si="235"/>
        <v>0</v>
      </c>
      <c r="U109" s="141">
        <f t="shared" si="235"/>
        <v>0</v>
      </c>
      <c r="V109" s="141">
        <f t="shared" si="235"/>
        <v>0</v>
      </c>
      <c r="W109" s="141">
        <f t="shared" si="235"/>
        <v>0</v>
      </c>
      <c r="X109" s="141">
        <f t="shared" si="235"/>
        <v>0</v>
      </c>
      <c r="Y109" s="141">
        <f t="shared" si="235"/>
        <v>0</v>
      </c>
      <c r="Z109" s="141">
        <f t="shared" si="235"/>
        <v>0</v>
      </c>
      <c r="AA109" s="141">
        <f t="shared" si="235"/>
        <v>0</v>
      </c>
      <c r="AB109" s="141">
        <f t="shared" si="235"/>
        <v>0</v>
      </c>
      <c r="AC109" s="141">
        <f t="shared" si="235"/>
        <v>0</v>
      </c>
      <c r="AD109" s="141">
        <f t="shared" si="235"/>
        <v>0</v>
      </c>
      <c r="AE109" s="141">
        <f t="shared" si="235"/>
        <v>0</v>
      </c>
      <c r="AF109" s="141">
        <f t="shared" si="235"/>
        <v>0</v>
      </c>
      <c r="AG109" s="141">
        <f t="shared" si="235"/>
        <v>0</v>
      </c>
      <c r="AH109" s="141">
        <f t="shared" si="235"/>
        <v>0</v>
      </c>
      <c r="AI109" s="141">
        <f t="shared" si="235"/>
        <v>0</v>
      </c>
      <c r="AJ109" s="141">
        <f t="shared" si="235"/>
        <v>0</v>
      </c>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5"/>
      <c r="BZ109" s="535"/>
    </row>
    <row r="110" spans="3:78" x14ac:dyDescent="0.15">
      <c r="C110" s="508" t="s">
        <v>175</v>
      </c>
      <c r="D110" s="28"/>
      <c r="E110" s="505"/>
      <c r="F110" s="141">
        <f t="shared" ref="F110:AJ110" si="236">IF(F91="Refinance",-G91*RefinanceFee,0)</f>
        <v>0</v>
      </c>
      <c r="G110" s="141">
        <f t="shared" si="236"/>
        <v>0</v>
      </c>
      <c r="H110" s="141">
        <f t="shared" si="236"/>
        <v>0</v>
      </c>
      <c r="I110" s="141">
        <f t="shared" si="236"/>
        <v>0</v>
      </c>
      <c r="J110" s="141">
        <f t="shared" ca="1" si="236"/>
        <v>0</v>
      </c>
      <c r="K110" s="141">
        <f t="shared" ca="1" si="236"/>
        <v>0</v>
      </c>
      <c r="L110" s="141">
        <f t="shared" si="236"/>
        <v>0</v>
      </c>
      <c r="M110" s="141">
        <f t="shared" si="236"/>
        <v>0</v>
      </c>
      <c r="N110" s="141">
        <f t="shared" si="236"/>
        <v>0</v>
      </c>
      <c r="O110" s="141">
        <f t="shared" si="236"/>
        <v>0</v>
      </c>
      <c r="P110" s="141">
        <f t="shared" si="236"/>
        <v>0</v>
      </c>
      <c r="Q110" s="141">
        <f t="shared" si="236"/>
        <v>0</v>
      </c>
      <c r="R110" s="141">
        <f t="shared" si="236"/>
        <v>0</v>
      </c>
      <c r="S110" s="141">
        <f t="shared" si="236"/>
        <v>0</v>
      </c>
      <c r="T110" s="141">
        <f t="shared" si="236"/>
        <v>0</v>
      </c>
      <c r="U110" s="141">
        <f t="shared" si="236"/>
        <v>0</v>
      </c>
      <c r="V110" s="141">
        <f t="shared" si="236"/>
        <v>0</v>
      </c>
      <c r="W110" s="141">
        <f t="shared" si="236"/>
        <v>0</v>
      </c>
      <c r="X110" s="141">
        <f t="shared" si="236"/>
        <v>0</v>
      </c>
      <c r="Y110" s="141">
        <f t="shared" si="236"/>
        <v>0</v>
      </c>
      <c r="Z110" s="141">
        <f t="shared" si="236"/>
        <v>0</v>
      </c>
      <c r="AA110" s="141">
        <f t="shared" si="236"/>
        <v>0</v>
      </c>
      <c r="AB110" s="141">
        <f t="shared" si="236"/>
        <v>0</v>
      </c>
      <c r="AC110" s="141">
        <f t="shared" si="236"/>
        <v>0</v>
      </c>
      <c r="AD110" s="141">
        <f t="shared" si="236"/>
        <v>0</v>
      </c>
      <c r="AE110" s="141">
        <f t="shared" si="236"/>
        <v>0</v>
      </c>
      <c r="AF110" s="141">
        <f t="shared" si="236"/>
        <v>0</v>
      </c>
      <c r="AG110" s="141">
        <f t="shared" si="236"/>
        <v>0</v>
      </c>
      <c r="AH110" s="141">
        <f t="shared" si="236"/>
        <v>0</v>
      </c>
      <c r="AI110" s="141">
        <f t="shared" si="236"/>
        <v>0</v>
      </c>
      <c r="AJ110" s="141">
        <f t="shared" si="236"/>
        <v>0</v>
      </c>
      <c r="AK110" s="535"/>
      <c r="AL110" s="535"/>
      <c r="AM110" s="535"/>
      <c r="AN110" s="535"/>
      <c r="AO110" s="535"/>
      <c r="AP110" s="535"/>
      <c r="AQ110" s="535"/>
      <c r="AR110" s="535"/>
      <c r="AS110" s="535"/>
      <c r="AT110" s="535"/>
      <c r="AU110" s="535"/>
      <c r="AV110" s="535"/>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5"/>
      <c r="BZ110" s="535"/>
    </row>
    <row r="111" spans="3:78" x14ac:dyDescent="0.15">
      <c r="C111" s="508"/>
      <c r="D111" s="28"/>
      <c r="E111" s="505"/>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535"/>
      <c r="AL111" s="535"/>
      <c r="AM111" s="535"/>
      <c r="AN111" s="535"/>
      <c r="AO111" s="535"/>
      <c r="AP111" s="535"/>
      <c r="AQ111" s="535"/>
      <c r="AR111" s="535"/>
      <c r="AS111" s="535"/>
      <c r="AT111" s="535"/>
      <c r="AU111" s="535"/>
      <c r="AV111" s="535"/>
      <c r="AW111" s="535"/>
      <c r="AX111" s="535"/>
      <c r="AY111" s="535"/>
      <c r="AZ111" s="535"/>
      <c r="BA111" s="535"/>
      <c r="BB111" s="535"/>
      <c r="BC111" s="535"/>
      <c r="BD111" s="535"/>
      <c r="BE111" s="535"/>
      <c r="BF111" s="535"/>
      <c r="BG111" s="535"/>
      <c r="BH111" s="535"/>
      <c r="BI111" s="535"/>
      <c r="BJ111" s="535"/>
      <c r="BK111" s="535"/>
      <c r="BL111" s="535"/>
      <c r="BM111" s="535"/>
      <c r="BN111" s="535"/>
      <c r="BO111" s="535"/>
      <c r="BP111" s="535"/>
      <c r="BQ111" s="535"/>
      <c r="BR111" s="535"/>
      <c r="BS111" s="535"/>
      <c r="BT111" s="535"/>
      <c r="BU111" s="535"/>
      <c r="BV111" s="535"/>
      <c r="BW111" s="535"/>
      <c r="BX111" s="535"/>
      <c r="BY111" s="535"/>
      <c r="BZ111" s="535"/>
    </row>
    <row r="112" spans="3:78" x14ac:dyDescent="0.15">
      <c r="C112" s="508"/>
      <c r="D112" s="28"/>
      <c r="E112" s="505"/>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535"/>
      <c r="AL112" s="535"/>
      <c r="AM112" s="535"/>
      <c r="AN112" s="535"/>
      <c r="AO112" s="535"/>
      <c r="AP112" s="535"/>
      <c r="AQ112" s="535"/>
      <c r="AR112" s="535"/>
      <c r="AS112" s="535"/>
      <c r="AT112" s="535"/>
      <c r="AU112" s="535"/>
      <c r="AV112" s="535"/>
      <c r="AW112" s="535"/>
      <c r="AX112" s="535"/>
      <c r="AY112" s="535"/>
      <c r="AZ112" s="535"/>
      <c r="BA112" s="535"/>
      <c r="BB112" s="535"/>
      <c r="BC112" s="535"/>
      <c r="BD112" s="535"/>
      <c r="BE112" s="535"/>
      <c r="BF112" s="535"/>
      <c r="BG112" s="535"/>
      <c r="BH112" s="535"/>
      <c r="BI112" s="535"/>
      <c r="BJ112" s="535"/>
      <c r="BK112" s="535"/>
      <c r="BL112" s="535"/>
      <c r="BM112" s="535"/>
      <c r="BN112" s="535"/>
      <c r="BO112" s="535"/>
      <c r="BP112" s="535"/>
      <c r="BQ112" s="535"/>
      <c r="BR112" s="535"/>
      <c r="BS112" s="535"/>
      <c r="BT112" s="535"/>
      <c r="BU112" s="535"/>
      <c r="BV112" s="535"/>
      <c r="BW112" s="535"/>
      <c r="BX112" s="535"/>
      <c r="BY112" s="535"/>
      <c r="BZ112" s="535"/>
    </row>
    <row r="113" spans="2:78" x14ac:dyDescent="0.15">
      <c r="C113" s="508" t="s">
        <v>322</v>
      </c>
      <c r="D113" s="28"/>
      <c r="E113" s="505"/>
      <c r="F113" s="141">
        <f>+G93</f>
        <v>0</v>
      </c>
      <c r="G113" s="141">
        <f>+H93</f>
        <v>0</v>
      </c>
      <c r="H113" s="141">
        <f>+I93</f>
        <v>0</v>
      </c>
      <c r="I113" s="141">
        <f t="shared" ref="I113:AG113" si="237">J93</f>
        <v>0</v>
      </c>
      <c r="J113" s="141">
        <f t="shared" ca="1" si="237"/>
        <v>1529091.511204672</v>
      </c>
      <c r="K113" s="141">
        <f t="shared" si="237"/>
        <v>0</v>
      </c>
      <c r="L113" s="141">
        <f t="shared" si="237"/>
        <v>0</v>
      </c>
      <c r="M113" s="141">
        <f t="shared" si="237"/>
        <v>0</v>
      </c>
      <c r="N113" s="141">
        <f t="shared" si="237"/>
        <v>0</v>
      </c>
      <c r="O113" s="141">
        <f t="shared" si="237"/>
        <v>0</v>
      </c>
      <c r="P113" s="141">
        <f t="shared" si="237"/>
        <v>0</v>
      </c>
      <c r="Q113" s="141">
        <f t="shared" si="237"/>
        <v>0</v>
      </c>
      <c r="R113" s="141">
        <f t="shared" si="237"/>
        <v>0</v>
      </c>
      <c r="S113" s="141">
        <f t="shared" si="237"/>
        <v>0</v>
      </c>
      <c r="T113" s="141">
        <f t="shared" si="237"/>
        <v>0</v>
      </c>
      <c r="U113" s="141">
        <f t="shared" si="237"/>
        <v>0</v>
      </c>
      <c r="V113" s="141">
        <f t="shared" si="237"/>
        <v>0</v>
      </c>
      <c r="W113" s="141">
        <f t="shared" si="237"/>
        <v>0</v>
      </c>
      <c r="X113" s="141">
        <f t="shared" si="237"/>
        <v>0</v>
      </c>
      <c r="Y113" s="141">
        <f t="shared" si="237"/>
        <v>0</v>
      </c>
      <c r="Z113" s="141">
        <f t="shared" si="237"/>
        <v>0</v>
      </c>
      <c r="AA113" s="141">
        <f t="shared" si="237"/>
        <v>0</v>
      </c>
      <c r="AB113" s="141">
        <f t="shared" si="237"/>
        <v>0</v>
      </c>
      <c r="AC113" s="141">
        <f t="shared" si="237"/>
        <v>0</v>
      </c>
      <c r="AD113" s="141">
        <f t="shared" si="237"/>
        <v>0</v>
      </c>
      <c r="AE113" s="141">
        <f t="shared" si="237"/>
        <v>0</v>
      </c>
      <c r="AF113" s="141">
        <f t="shared" si="237"/>
        <v>0</v>
      </c>
      <c r="AG113" s="141">
        <f t="shared" si="237"/>
        <v>0</v>
      </c>
      <c r="AH113" s="141">
        <f>AJ93</f>
        <v>0</v>
      </c>
      <c r="AI113" s="141">
        <f>AK93</f>
        <v>0</v>
      </c>
      <c r="AJ113" s="141">
        <f>AL93</f>
        <v>0</v>
      </c>
      <c r="AK113" s="535"/>
      <c r="AL113" s="535"/>
      <c r="AM113" s="535"/>
      <c r="AN113" s="535"/>
      <c r="AO113" s="535"/>
      <c r="AP113" s="535"/>
      <c r="AQ113" s="535"/>
      <c r="AR113" s="535"/>
      <c r="AS113" s="535"/>
      <c r="AT113" s="535"/>
      <c r="AU113" s="535"/>
      <c r="AV113" s="535"/>
      <c r="AW113" s="535"/>
      <c r="AX113" s="535"/>
      <c r="AY113" s="535"/>
      <c r="AZ113" s="535"/>
      <c r="BA113" s="535"/>
      <c r="BB113" s="535"/>
      <c r="BC113" s="535"/>
      <c r="BD113" s="535"/>
      <c r="BE113" s="535"/>
      <c r="BF113" s="535"/>
      <c r="BG113" s="535"/>
      <c r="BH113" s="535"/>
      <c r="BI113" s="535"/>
      <c r="BJ113" s="535"/>
      <c r="BK113" s="535"/>
      <c r="BL113" s="535"/>
      <c r="BM113" s="535"/>
      <c r="BN113" s="535"/>
      <c r="BO113" s="535"/>
      <c r="BP113" s="535"/>
      <c r="BQ113" s="535"/>
      <c r="BR113" s="535"/>
      <c r="BS113" s="535"/>
      <c r="BT113" s="535"/>
      <c r="BU113" s="535"/>
      <c r="BV113" s="535"/>
      <c r="BW113" s="535"/>
      <c r="BX113" s="535"/>
      <c r="BY113" s="535"/>
      <c r="BZ113" s="535"/>
    </row>
    <row r="114" spans="2:78" x14ac:dyDescent="0.15">
      <c r="C114" s="508" t="s">
        <v>323</v>
      </c>
      <c r="D114" s="28"/>
      <c r="E114" s="95"/>
      <c r="F114" s="141">
        <v>0</v>
      </c>
      <c r="G114" s="141">
        <v>0</v>
      </c>
      <c r="H114" s="141">
        <v>0</v>
      </c>
      <c r="I114" s="141">
        <v>0</v>
      </c>
      <c r="J114" s="141">
        <v>0</v>
      </c>
      <c r="K114" s="141">
        <v>0</v>
      </c>
      <c r="L114" s="141">
        <v>0</v>
      </c>
      <c r="M114" s="141">
        <v>0</v>
      </c>
      <c r="N114" s="141">
        <v>0</v>
      </c>
      <c r="O114" s="141">
        <v>0</v>
      </c>
      <c r="P114" s="141">
        <v>0</v>
      </c>
      <c r="Q114" s="141">
        <v>0</v>
      </c>
      <c r="R114" s="141">
        <v>0</v>
      </c>
      <c r="S114" s="141">
        <v>0</v>
      </c>
      <c r="T114" s="141">
        <v>0</v>
      </c>
      <c r="U114" s="141">
        <v>0</v>
      </c>
      <c r="V114" s="141">
        <v>0</v>
      </c>
      <c r="W114" s="141">
        <v>0</v>
      </c>
      <c r="X114" s="141">
        <v>0</v>
      </c>
      <c r="Y114" s="141">
        <v>0</v>
      </c>
      <c r="Z114" s="141">
        <v>0</v>
      </c>
      <c r="AA114" s="141">
        <v>0</v>
      </c>
      <c r="AB114" s="141">
        <v>0</v>
      </c>
      <c r="AC114" s="141">
        <v>0</v>
      </c>
      <c r="AD114" s="141">
        <v>0</v>
      </c>
      <c r="AE114" s="141">
        <v>0</v>
      </c>
      <c r="AF114" s="141">
        <v>0</v>
      </c>
      <c r="AG114" s="141">
        <v>0</v>
      </c>
      <c r="AH114" s="141">
        <v>0</v>
      </c>
      <c r="AI114" s="141">
        <v>0</v>
      </c>
      <c r="AJ114" s="141">
        <f ca="1">AJ102-AJ97</f>
        <v>20277996.612129726</v>
      </c>
      <c r="AK114" s="535"/>
      <c r="AL114" s="535"/>
      <c r="AM114" s="535"/>
      <c r="AN114" s="535"/>
      <c r="AO114" s="535"/>
      <c r="AP114" s="535"/>
      <c r="AQ114" s="535"/>
      <c r="AR114" s="535"/>
      <c r="AS114" s="535"/>
      <c r="AT114" s="535"/>
      <c r="AU114" s="535"/>
      <c r="AV114" s="535"/>
      <c r="AW114" s="535"/>
      <c r="AX114" s="535"/>
      <c r="AY114" s="535"/>
      <c r="AZ114" s="535"/>
      <c r="BA114" s="535"/>
      <c r="BB114" s="535"/>
      <c r="BC114" s="535"/>
      <c r="BD114" s="535"/>
      <c r="BE114" s="535"/>
      <c r="BF114" s="535"/>
      <c r="BG114" s="535"/>
      <c r="BH114" s="535"/>
      <c r="BI114" s="535"/>
      <c r="BJ114" s="535"/>
      <c r="BK114" s="535"/>
      <c r="BL114" s="535"/>
      <c r="BM114" s="535"/>
      <c r="BN114" s="535"/>
      <c r="BO114" s="535"/>
      <c r="BP114" s="535"/>
      <c r="BQ114" s="535"/>
      <c r="BR114" s="535"/>
      <c r="BS114" s="535"/>
      <c r="BT114" s="535"/>
      <c r="BU114" s="535"/>
      <c r="BV114" s="535"/>
      <c r="BW114" s="535"/>
      <c r="BX114" s="535"/>
      <c r="BY114" s="535"/>
      <c r="BZ114" s="535"/>
    </row>
    <row r="115" spans="2:78" ht="14" thickBot="1" x14ac:dyDescent="0.2">
      <c r="C115" s="580" t="s">
        <v>324</v>
      </c>
      <c r="D115" s="604"/>
      <c r="E115" s="605">
        <f>-(D6-F92)+E108</f>
        <v>-2419999.5</v>
      </c>
      <c r="F115" s="605">
        <f t="shared" ref="F115:AJ115" ca="1" si="238">SUM(F104:F114)</f>
        <v>162983.64833333335</v>
      </c>
      <c r="G115" s="605">
        <f t="shared" ca="1" si="238"/>
        <v>281575.93113333336</v>
      </c>
      <c r="H115" s="605">
        <f t="shared" ca="1" si="238"/>
        <v>346267.47487463953</v>
      </c>
      <c r="I115" s="605">
        <f t="shared" ca="1" si="238"/>
        <v>365430.41057975963</v>
      </c>
      <c r="J115" s="605">
        <f t="shared" ca="1" si="238"/>
        <v>1914537.0210036538</v>
      </c>
      <c r="K115" s="605">
        <f t="shared" ca="1" si="238"/>
        <v>295466.03141908138</v>
      </c>
      <c r="L115" s="605">
        <f t="shared" ca="1" si="238"/>
        <v>317294.32229028037</v>
      </c>
      <c r="M115" s="605">
        <f t="shared" ca="1" si="238"/>
        <v>340086.63310785062</v>
      </c>
      <c r="N115" s="605">
        <f t="shared" ca="1" si="238"/>
        <v>363883.34243587742</v>
      </c>
      <c r="O115" s="605">
        <f t="shared" ca="1" si="238"/>
        <v>388726.48033633386</v>
      </c>
      <c r="P115" s="605">
        <f t="shared" ca="1" si="238"/>
        <v>241180.79515610356</v>
      </c>
      <c r="Q115" s="605">
        <f t="shared" ca="1" si="238"/>
        <v>268249.82300002477</v>
      </c>
      <c r="R115" s="605">
        <f t="shared" ca="1" si="238"/>
        <v>296501.95999769133</v>
      </c>
      <c r="S115" s="605">
        <f t="shared" ca="1" si="238"/>
        <v>325986.5374760516</v>
      </c>
      <c r="T115" s="605">
        <f t="shared" ca="1" si="238"/>
        <v>356754.90015435056</v>
      </c>
      <c r="U115" s="605">
        <f t="shared" ca="1" si="238"/>
        <v>388860.48748260108</v>
      </c>
      <c r="V115" s="605">
        <f t="shared" ca="1" si="238"/>
        <v>422358.91824965738</v>
      </c>
      <c r="W115" s="605">
        <f t="shared" ca="1" si="238"/>
        <v>457308.07859198516</v>
      </c>
      <c r="X115" s="605">
        <f t="shared" ca="1" si="238"/>
        <v>493768.21353948792</v>
      </c>
      <c r="Y115" s="605">
        <f t="shared" ca="1" si="238"/>
        <v>531802.02224020148</v>
      </c>
      <c r="Z115" s="605">
        <f t="shared" ca="1" si="238"/>
        <v>571474.75701136107</v>
      </c>
      <c r="AA115" s="605">
        <f t="shared" ca="1" si="238"/>
        <v>612854.32637023227</v>
      </c>
      <c r="AB115" s="605">
        <f t="shared" ca="1" si="238"/>
        <v>656011.40220426128</v>
      </c>
      <c r="AC115" s="605">
        <f t="shared" ca="1" si="238"/>
        <v>701019.53124647017</v>
      </c>
      <c r="AD115" s="605">
        <f t="shared" ca="1" si="238"/>
        <v>747955.25102868304</v>
      </c>
      <c r="AE115" s="605">
        <f t="shared" ca="1" si="238"/>
        <v>796898.21049206587</v>
      </c>
      <c r="AF115" s="605">
        <f t="shared" ca="1" si="238"/>
        <v>847931.29544166336</v>
      </c>
      <c r="AG115" s="605">
        <f t="shared" ca="1" si="238"/>
        <v>901140.75903907721</v>
      </c>
      <c r="AH115" s="605">
        <f t="shared" ca="1" si="238"/>
        <v>956616.35753521742</v>
      </c>
      <c r="AI115" s="605">
        <f t="shared" ca="1" si="238"/>
        <v>1014451.4914531293</v>
      </c>
      <c r="AJ115" s="605">
        <f t="shared" ca="1" si="238"/>
        <v>21352739.964569047</v>
      </c>
      <c r="AK115" s="535"/>
      <c r="AL115" s="535"/>
      <c r="AM115" s="535"/>
      <c r="AN115" s="535"/>
      <c r="AO115" s="535"/>
      <c r="AP115" s="535"/>
      <c r="AQ115" s="535"/>
      <c r="AR115" s="535"/>
      <c r="AS115" s="535"/>
      <c r="AT115" s="535"/>
      <c r="AU115" s="535"/>
      <c r="AV115" s="535"/>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5"/>
      <c r="BZ115" s="535"/>
    </row>
    <row r="116" spans="2:78" ht="14" thickTop="1" x14ac:dyDescent="0.15">
      <c r="B116" s="702"/>
      <c r="C116" s="14"/>
      <c r="D116" s="14"/>
      <c r="E116" s="292" t="s">
        <v>325</v>
      </c>
      <c r="F116" s="272">
        <f t="shared" ref="F116:AH116" ca="1" si="239">F115/-$E$115</f>
        <v>6.7348628928780088E-2</v>
      </c>
      <c r="G116" s="272">
        <f t="shared" ca="1" si="239"/>
        <v>0.11635371459098788</v>
      </c>
      <c r="H116" s="272">
        <f t="shared" ca="1" si="239"/>
        <v>0.14308576298244671</v>
      </c>
      <c r="I116" s="272">
        <f t="shared" ca="1" si="239"/>
        <v>0.15100433309170502</v>
      </c>
      <c r="J116" s="272">
        <f t="shared" ca="1" si="239"/>
        <v>0.791131163871585</v>
      </c>
      <c r="K116" s="272">
        <f t="shared" ca="1" si="239"/>
        <v>0.12209342663875813</v>
      </c>
      <c r="L116" s="272">
        <f t="shared" ca="1" si="239"/>
        <v>0.13111338340783971</v>
      </c>
      <c r="M116" s="272">
        <f t="shared" ca="1" si="239"/>
        <v>0.14053169560896628</v>
      </c>
      <c r="N116" s="272">
        <f t="shared" ca="1" si="239"/>
        <v>0.15036504860264535</v>
      </c>
      <c r="O116" s="272">
        <f t="shared" ca="1" si="239"/>
        <v>0.160630810186669</v>
      </c>
      <c r="P116" s="272">
        <f t="shared" ca="1" si="239"/>
        <v>9.9661506192915972E-2</v>
      </c>
      <c r="Q116" s="272">
        <f t="shared" ca="1" si="239"/>
        <v>0.11084705719981544</v>
      </c>
      <c r="R116" s="272">
        <f t="shared" ca="1" si="239"/>
        <v>0.12252149638778492</v>
      </c>
      <c r="S116" s="272">
        <f t="shared" ca="1" si="239"/>
        <v>0.13470520860688259</v>
      </c>
      <c r="T116" s="272">
        <f t="shared" ca="1" si="239"/>
        <v>0.1474194106876264</v>
      </c>
      <c r="U116" s="272">
        <f t="shared" ca="1" si="239"/>
        <v>0.16068618505193952</v>
      </c>
      <c r="V116" s="272">
        <f t="shared" ca="1" si="239"/>
        <v>0.17452851467517136</v>
      </c>
      <c r="W116" s="272">
        <f t="shared" ca="1" si="239"/>
        <v>0.18897031945336565</v>
      </c>
      <c r="X116" s="272">
        <f t="shared" ca="1" si="239"/>
        <v>0.20403649403212187</v>
      </c>
      <c r="Y116" s="272">
        <f t="shared" ca="1" si="239"/>
        <v>0.21975294715565086</v>
      </c>
      <c r="Z116" s="272">
        <f t="shared" ca="1" si="239"/>
        <v>0.23614664259697618</v>
      </c>
      <c r="AA116" s="272">
        <f t="shared" ca="1" si="239"/>
        <v>0.25324564173266656</v>
      </c>
      <c r="AB116" s="272">
        <f t="shared" ca="1" si="239"/>
        <v>0.27107914782803105</v>
      </c>
      <c r="AC116" s="272">
        <f t="shared" ca="1" si="239"/>
        <v>0.28967755210134144</v>
      </c>
      <c r="AD116" s="272">
        <f t="shared" ca="1" si="239"/>
        <v>0.30907248163839829</v>
      </c>
      <c r="AE116" s="272">
        <f t="shared" ca="1" si="239"/>
        <v>0.32929684923160762</v>
      </c>
      <c r="AF116" s="272">
        <f t="shared" ca="1" si="239"/>
        <v>0.35038490522070909</v>
      </c>
      <c r="AG116" s="272">
        <f t="shared" ca="1" si="239"/>
        <v>0.37237229141538136</v>
      </c>
      <c r="AH116" s="272">
        <f t="shared" ca="1" si="239"/>
        <v>0.39529609718316777</v>
      </c>
      <c r="AI116" s="272">
        <f t="shared" ref="AI116:AJ116" ca="1" si="240">AI115/-$E$115</f>
        <v>0.41919491778949924</v>
      </c>
      <c r="AJ116" s="272">
        <f t="shared" ca="1" si="240"/>
        <v>8.82344808937731</v>
      </c>
      <c r="AK116" s="535"/>
      <c r="AL116" s="535"/>
      <c r="AM116" s="535"/>
      <c r="AN116" s="535"/>
      <c r="AO116" s="535"/>
      <c r="AP116" s="535"/>
      <c r="AQ116" s="535"/>
      <c r="AR116" s="535"/>
      <c r="AS116" s="535"/>
      <c r="AT116" s="535"/>
      <c r="AU116" s="535"/>
      <c r="AV116" s="535"/>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5"/>
      <c r="BZ116" s="535"/>
    </row>
    <row r="117" spans="2:78" x14ac:dyDescent="0.15">
      <c r="C117" s="11" t="s">
        <v>326</v>
      </c>
      <c r="D117" s="37">
        <f ca="1">IRR(E115:AJ115)</f>
        <v>0.18873688279894396</v>
      </c>
      <c r="E117" s="505"/>
      <c r="F117" s="535"/>
      <c r="G117" s="273" t="str">
        <f ca="1">"Cumm.= "&amp;TEXT((SUM($F116:G116)),"0.0%")</f>
        <v>Cumm.= 18.4%</v>
      </c>
      <c r="H117" s="273" t="str">
        <f ca="1">"Cumm.= "&amp;TEXT((SUM($F116:H116)),"0.0%")</f>
        <v>Cumm.= 32.7%</v>
      </c>
      <c r="I117" s="273" t="str">
        <f ca="1">"Cumm.= "&amp;TEXT((SUM($F116:I116)),"0.0%")</f>
        <v>Cumm.= 47.8%</v>
      </c>
      <c r="J117" s="273" t="str">
        <f ca="1">"Cumm.= "&amp;TEXT((SUM($F116:J116)),"0.0%")</f>
        <v>Cumm.= 126.9%</v>
      </c>
      <c r="K117" s="273" t="str">
        <f ca="1">"Cumm.= "&amp;TEXT((SUM($F116:K116)),"0.0%")</f>
        <v>Cumm.= 139.1%</v>
      </c>
      <c r="L117" s="273" t="str">
        <f ca="1">"Cumm.= "&amp;TEXT((SUM($F116:L116)),"0.0%")</f>
        <v>Cumm.= 152.2%</v>
      </c>
      <c r="M117" s="273" t="str">
        <f ca="1">"Cumm.= "&amp;TEXT((SUM($F116:M116)),"0.0%")</f>
        <v>Cumm.= 166.3%</v>
      </c>
      <c r="N117" s="273" t="str">
        <f ca="1">"Cumm.= "&amp;TEXT((SUM($F116:N116)),"0.0%")</f>
        <v>Cumm.= 181.3%</v>
      </c>
      <c r="O117" s="273" t="str">
        <f ca="1">"Cumm.= "&amp;TEXT((SUM($F116:O116)),"0.0%")</f>
        <v>Cumm.= 197.4%</v>
      </c>
      <c r="P117" s="273" t="str">
        <f ca="1">"Cumm.= "&amp;TEXT((SUM($F116:P116)),"0.0%")</f>
        <v>Cumm.= 207.3%</v>
      </c>
      <c r="Q117" s="273" t="str">
        <f ca="1">"Cumm.= "&amp;TEXT((SUM($F116:Q116)),"0.0%")</f>
        <v>Cumm.= 218.4%</v>
      </c>
      <c r="R117" s="273" t="str">
        <f ca="1">"Cumm.= "&amp;TEXT((SUM($F116:R116)),"0.0%")</f>
        <v>Cumm.= 230.7%</v>
      </c>
      <c r="S117" s="273" t="str">
        <f ca="1">"Cumm.= "&amp;TEXT((SUM($F116:S116)),"0.0%")</f>
        <v>Cumm.= 244.1%</v>
      </c>
      <c r="T117" s="273" t="str">
        <f ca="1">"Cumm.= "&amp;TEXT((SUM($F116:T116)),"0.0%")</f>
        <v>Cumm.= 258.9%</v>
      </c>
      <c r="U117" s="273" t="str">
        <f ca="1">"Cumm.= "&amp;TEXT((SUM($F116:U116)),"0.0%")</f>
        <v>Cumm.= 274.9%</v>
      </c>
      <c r="V117" s="273" t="str">
        <f ca="1">"Cumm.= "&amp;TEXT((SUM($F116:V116)),"0.0%")</f>
        <v>Cumm.= 292.4%</v>
      </c>
      <c r="W117" s="273" t="str">
        <f ca="1">"Cumm.= "&amp;TEXT((SUM($F116:W116)),"0.0%")</f>
        <v>Cumm.= 311.3%</v>
      </c>
      <c r="X117" s="273" t="str">
        <f ca="1">"Cumm.= "&amp;TEXT((SUM($F116:X116)),"0.0%")</f>
        <v>Cumm.= 331.7%</v>
      </c>
      <c r="Y117" s="273" t="str">
        <f ca="1">"Cumm.= "&amp;TEXT((SUM($F116:Y116)),"0.0%")</f>
        <v>Cumm.= 353.7%</v>
      </c>
      <c r="Z117" s="273" t="str">
        <f ca="1">"Cumm.= "&amp;TEXT((SUM($F116:Z116)),"0.0%")</f>
        <v>Cumm.= 377.3%</v>
      </c>
      <c r="AA117" s="273" t="str">
        <f ca="1">"Cumm.= "&amp;TEXT((SUM($F116:AA116)),"0.0%")</f>
        <v>Cumm.= 402.6%</v>
      </c>
      <c r="AB117" s="273" t="str">
        <f ca="1">"Cumm.= "&amp;TEXT((SUM($F116:AB116)),"0.0%")</f>
        <v>Cumm.= 429.7%</v>
      </c>
      <c r="AC117" s="273" t="str">
        <f ca="1">"Cumm.= "&amp;TEXT((SUM($F116:AC116)),"0.0%")</f>
        <v>Cumm.= 458.7%</v>
      </c>
      <c r="AD117" s="273" t="str">
        <f ca="1">"Cumm.= "&amp;TEXT((SUM($F116:AD116)),"0.0%")</f>
        <v>Cumm.= 489.6%</v>
      </c>
      <c r="AE117" s="273" t="str">
        <f ca="1">"Cumm.= "&amp;TEXT((SUM($F116:AE116)),"0.0%")</f>
        <v>Cumm.= 522.5%</v>
      </c>
      <c r="AF117" s="273" t="str">
        <f ca="1">"Cumm.= "&amp;TEXT((SUM($F116:AF116)),"0.0%")</f>
        <v>Cumm.= 557.6%</v>
      </c>
      <c r="AG117" s="273" t="str">
        <f ca="1">"Cumm.= "&amp;TEXT((SUM($F116:AG116)),"0.0%")</f>
        <v>Cumm.= 594.8%</v>
      </c>
      <c r="AH117" s="273" t="str">
        <f ca="1">"Cumm.= "&amp;TEXT((SUM($F116:AH116)),"0.0%")</f>
        <v>Cumm.= 634.3%</v>
      </c>
      <c r="AI117" s="273" t="str">
        <f ca="1">"Cumm.= "&amp;TEXT((SUM($F116:AI116)),"0.0%")</f>
        <v>Cumm.= 676.3%</v>
      </c>
      <c r="AJ117" s="273" t="str">
        <f ca="1">"Cumm.= "&amp;TEXT((SUM($F116:AJ116)),"0.0%")</f>
        <v>Cumm.= 1558.6%</v>
      </c>
      <c r="AK117" s="535"/>
      <c r="AL117" s="535"/>
      <c r="AM117" s="535"/>
      <c r="AN117" s="535"/>
      <c r="AO117" s="535"/>
      <c r="AP117" s="535"/>
      <c r="AQ117" s="535"/>
      <c r="AR117" s="535"/>
      <c r="AS117" s="535"/>
      <c r="AT117" s="535"/>
      <c r="AU117" s="535"/>
      <c r="AV117" s="535"/>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5"/>
      <c r="BZ117" s="535"/>
    </row>
    <row r="118" spans="2:78" x14ac:dyDescent="0.15">
      <c r="C118" s="11"/>
      <c r="D118" s="28"/>
      <c r="E118" s="37"/>
      <c r="F118" s="535"/>
      <c r="G118" s="535"/>
      <c r="H118" s="535"/>
      <c r="I118" s="535"/>
      <c r="J118" s="535"/>
      <c r="K118" s="535"/>
      <c r="L118" s="535"/>
      <c r="M118" s="535"/>
      <c r="N118" s="535"/>
      <c r="O118" s="535"/>
      <c r="P118" s="274"/>
      <c r="Q118" s="535"/>
      <c r="R118" s="535"/>
      <c r="S118" s="535"/>
      <c r="T118" s="535"/>
      <c r="U118" s="535"/>
      <c r="V118" s="535"/>
      <c r="W118" s="535"/>
      <c r="X118" s="535"/>
      <c r="Y118" s="535"/>
      <c r="Z118" s="535"/>
      <c r="AA118" s="535"/>
      <c r="AB118" s="535"/>
      <c r="AC118" s="535"/>
      <c r="AD118" s="535"/>
      <c r="AE118" s="535"/>
      <c r="AF118" s="535"/>
      <c r="AG118" s="535"/>
      <c r="AH118" s="535"/>
      <c r="AI118" s="535"/>
      <c r="AJ118" s="535"/>
      <c r="AK118" s="535"/>
      <c r="AL118" s="535"/>
      <c r="AM118" s="535"/>
      <c r="AN118" s="535"/>
      <c r="AO118" s="535"/>
      <c r="AP118" s="535"/>
      <c r="AQ118" s="535"/>
      <c r="AR118" s="535"/>
      <c r="AS118" s="535"/>
      <c r="AT118" s="535"/>
      <c r="AU118" s="535"/>
      <c r="AV118" s="535"/>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5"/>
      <c r="BU118" s="535"/>
      <c r="BV118" s="535"/>
      <c r="BW118" s="535"/>
      <c r="BX118" s="535"/>
      <c r="BY118" s="535"/>
      <c r="BZ118" s="535"/>
    </row>
    <row r="119" spans="2:78" x14ac:dyDescent="0.15">
      <c r="C119" s="11" t="s">
        <v>327</v>
      </c>
      <c r="D119"/>
      <c r="E119" s="33"/>
      <c r="F119" s="33"/>
      <c r="G119" s="33"/>
      <c r="H119" s="33"/>
      <c r="I119" s="33"/>
      <c r="J119" s="33"/>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5"/>
      <c r="AL119" s="535"/>
      <c r="AM119" s="535"/>
      <c r="AN119" s="535"/>
      <c r="AO119" s="535"/>
      <c r="AP119" s="535"/>
      <c r="AQ119" s="535"/>
      <c r="AR119" s="535"/>
      <c r="AS119" s="535"/>
      <c r="AT119" s="535"/>
      <c r="AU119" s="535"/>
      <c r="AV119" s="535"/>
      <c r="AW119" s="535"/>
      <c r="AX119" s="535"/>
      <c r="AY119" s="535"/>
      <c r="AZ119" s="535"/>
      <c r="BA119" s="535"/>
      <c r="BB119" s="535"/>
      <c r="BC119" s="535"/>
      <c r="BD119" s="535"/>
      <c r="BE119" s="535"/>
      <c r="BF119" s="535"/>
      <c r="BG119" s="535"/>
      <c r="BH119" s="535"/>
      <c r="BI119" s="535"/>
      <c r="BJ119" s="535"/>
      <c r="BK119" s="535"/>
      <c r="BL119" s="535"/>
      <c r="BM119" s="535"/>
      <c r="BN119" s="535"/>
      <c r="BO119" s="535"/>
      <c r="BP119" s="535"/>
      <c r="BQ119" s="535"/>
      <c r="BR119" s="535"/>
      <c r="BS119" s="535"/>
      <c r="BT119" s="535"/>
      <c r="BU119" s="535"/>
      <c r="BV119" s="535"/>
      <c r="BW119" s="535"/>
      <c r="BX119" s="535"/>
      <c r="BY119" s="535"/>
      <c r="BZ119" s="535"/>
    </row>
    <row r="120" spans="2:78" x14ac:dyDescent="0.15">
      <c r="C120" s="508" t="s">
        <v>328</v>
      </c>
      <c r="D120" s="33"/>
      <c r="E120" s="33"/>
      <c r="F120" s="33"/>
      <c r="G120" s="33"/>
      <c r="H120" s="33"/>
      <c r="I120" s="33"/>
      <c r="J120" s="33"/>
      <c r="K120" s="535"/>
      <c r="L120" s="535"/>
      <c r="M120" s="535"/>
      <c r="N120" s="535"/>
      <c r="O120" s="535"/>
      <c r="P120" s="535"/>
      <c r="Q120" s="535"/>
      <c r="R120" s="535"/>
      <c r="S120" s="535"/>
      <c r="T120" s="535"/>
      <c r="U120" s="535"/>
      <c r="V120" s="535"/>
      <c r="W120" s="535"/>
      <c r="X120" s="535"/>
      <c r="Y120" s="535"/>
      <c r="Z120" s="535"/>
      <c r="AA120" s="535"/>
      <c r="AB120" s="535"/>
      <c r="AC120" s="535"/>
      <c r="AD120" s="535"/>
      <c r="AE120" s="535"/>
      <c r="AF120" s="535"/>
      <c r="AG120" s="535"/>
      <c r="AH120" s="535"/>
      <c r="AI120" s="535"/>
      <c r="AJ120" s="535"/>
      <c r="AK120" s="535"/>
      <c r="AL120" s="535"/>
      <c r="AM120" s="535"/>
      <c r="AN120" s="535"/>
      <c r="AO120" s="535"/>
      <c r="AP120" s="535"/>
      <c r="AQ120" s="535"/>
      <c r="AR120" s="535"/>
      <c r="AS120" s="535"/>
      <c r="AT120" s="535"/>
      <c r="AU120" s="535"/>
      <c r="AV120" s="535"/>
      <c r="AW120" s="535"/>
      <c r="AX120" s="535"/>
      <c r="AY120" s="535"/>
      <c r="AZ120" s="535"/>
      <c r="BA120" s="535"/>
      <c r="BB120" s="535"/>
      <c r="BC120" s="535"/>
      <c r="BD120" s="535"/>
      <c r="BE120" s="535"/>
      <c r="BF120" s="535"/>
      <c r="BG120" s="535"/>
      <c r="BH120" s="535"/>
      <c r="BI120" s="535"/>
      <c r="BJ120" s="535"/>
      <c r="BK120" s="535"/>
      <c r="BL120" s="535"/>
      <c r="BM120" s="535"/>
      <c r="BN120" s="535"/>
      <c r="BO120" s="535"/>
      <c r="BP120" s="535"/>
      <c r="BQ120" s="535"/>
      <c r="BR120" s="535"/>
      <c r="BS120" s="535"/>
      <c r="BT120" s="535"/>
      <c r="BU120" s="535"/>
      <c r="BV120" s="535"/>
      <c r="BW120" s="535"/>
      <c r="BX120" s="535"/>
      <c r="BY120" s="535"/>
      <c r="BZ120" s="535"/>
    </row>
    <row r="121" spans="2:78" x14ac:dyDescent="0.15">
      <c r="C121" s="23" t="s">
        <v>329</v>
      </c>
      <c r="D121" s="505"/>
      <c r="E121" s="33"/>
      <c r="F121" s="33">
        <f>D4*(1-D91)+D5</f>
        <v>2419999.5</v>
      </c>
      <c r="G121" s="33">
        <f t="shared" ref="G121:AH121" ca="1" si="241">F124</f>
        <v>2378015.8266666667</v>
      </c>
      <c r="H121" s="33">
        <f t="shared" ca="1" si="241"/>
        <v>2215340.6868666662</v>
      </c>
      <c r="I121" s="33">
        <f t="shared" ca="1" si="241"/>
        <v>1979840.2463353602</v>
      </c>
      <c r="J121" s="33">
        <f t="shared" ca="1" si="241"/>
        <v>1713401.8480723687</v>
      </c>
      <c r="K121" s="33">
        <f t="shared" ca="1" si="241"/>
        <v>0</v>
      </c>
      <c r="L121" s="33">
        <f t="shared" ca="1" si="241"/>
        <v>0</v>
      </c>
      <c r="M121" s="33">
        <f t="shared" ca="1" si="241"/>
        <v>0</v>
      </c>
      <c r="N121" s="33">
        <f t="shared" ca="1" si="241"/>
        <v>0</v>
      </c>
      <c r="O121" s="33">
        <f t="shared" ca="1" si="241"/>
        <v>0</v>
      </c>
      <c r="P121" s="33">
        <f t="shared" ca="1" si="241"/>
        <v>0</v>
      </c>
      <c r="Q121" s="33">
        <f t="shared" ca="1" si="241"/>
        <v>0</v>
      </c>
      <c r="R121" s="33">
        <f t="shared" ca="1" si="241"/>
        <v>0</v>
      </c>
      <c r="S121" s="33">
        <f t="shared" ca="1" si="241"/>
        <v>0</v>
      </c>
      <c r="T121" s="33">
        <f t="shared" ca="1" si="241"/>
        <v>0</v>
      </c>
      <c r="U121" s="33">
        <f t="shared" ca="1" si="241"/>
        <v>0</v>
      </c>
      <c r="V121" s="33">
        <f t="shared" ca="1" si="241"/>
        <v>0</v>
      </c>
      <c r="W121" s="33">
        <f t="shared" ca="1" si="241"/>
        <v>0</v>
      </c>
      <c r="X121" s="33">
        <f t="shared" ca="1" si="241"/>
        <v>0</v>
      </c>
      <c r="Y121" s="33">
        <f t="shared" ca="1" si="241"/>
        <v>0</v>
      </c>
      <c r="Z121" s="33">
        <f t="shared" ca="1" si="241"/>
        <v>0</v>
      </c>
      <c r="AA121" s="33">
        <f t="shared" ca="1" si="241"/>
        <v>0</v>
      </c>
      <c r="AB121" s="33">
        <f t="shared" ca="1" si="241"/>
        <v>0</v>
      </c>
      <c r="AC121" s="33">
        <f t="shared" ca="1" si="241"/>
        <v>0</v>
      </c>
      <c r="AD121" s="33">
        <f t="shared" ca="1" si="241"/>
        <v>0</v>
      </c>
      <c r="AE121" s="33">
        <f t="shared" ca="1" si="241"/>
        <v>0</v>
      </c>
      <c r="AF121" s="33">
        <f t="shared" ca="1" si="241"/>
        <v>0</v>
      </c>
      <c r="AG121" s="33">
        <f t="shared" ca="1" si="241"/>
        <v>0</v>
      </c>
      <c r="AH121" s="33">
        <f t="shared" ca="1" si="241"/>
        <v>0</v>
      </c>
      <c r="AI121" s="33">
        <f t="shared" ref="AI121" ca="1" si="242">AH124</f>
        <v>0</v>
      </c>
      <c r="AJ121" s="33">
        <f t="shared" ref="AJ121" ca="1" si="243">AI124</f>
        <v>0</v>
      </c>
      <c r="AK121" s="535"/>
      <c r="AL121" s="535"/>
      <c r="AM121" s="535"/>
      <c r="AN121" s="535"/>
      <c r="AO121" s="535"/>
      <c r="AP121" s="535"/>
      <c r="AQ121" s="535"/>
      <c r="AR121" s="535"/>
      <c r="AS121" s="535"/>
      <c r="AT121" s="535"/>
      <c r="AU121" s="535"/>
      <c r="AV121" s="535"/>
      <c r="AW121" s="535"/>
      <c r="AX121" s="535"/>
      <c r="AY121" s="535"/>
      <c r="AZ121" s="535"/>
      <c r="BA121" s="535"/>
      <c r="BB121" s="535"/>
      <c r="BC121" s="535"/>
      <c r="BD121" s="535"/>
      <c r="BE121" s="535"/>
      <c r="BF121" s="535"/>
      <c r="BG121" s="535"/>
      <c r="BH121" s="535"/>
      <c r="BI121" s="535"/>
      <c r="BJ121" s="535"/>
      <c r="BK121" s="535"/>
      <c r="BL121" s="535"/>
      <c r="BM121" s="535"/>
      <c r="BN121" s="535"/>
      <c r="BO121" s="535"/>
      <c r="BP121" s="535"/>
      <c r="BQ121" s="535"/>
      <c r="BR121" s="535"/>
      <c r="BS121" s="535"/>
      <c r="BT121" s="535"/>
      <c r="BU121" s="535"/>
      <c r="BV121" s="535"/>
      <c r="BW121" s="535"/>
      <c r="BX121" s="535"/>
      <c r="BY121" s="535"/>
      <c r="BZ121" s="535"/>
    </row>
    <row r="122" spans="2:78" x14ac:dyDescent="0.15">
      <c r="C122" s="23" t="s">
        <v>330</v>
      </c>
      <c r="D122" s="505"/>
      <c r="E122" s="33"/>
      <c r="F122" s="33">
        <f>F121*$K$22</f>
        <v>120999.97500000001</v>
      </c>
      <c r="G122" s="33">
        <f t="shared" ref="G122:AH122" ca="1" si="244">G121*$K$23</f>
        <v>118900.79133333334</v>
      </c>
      <c r="H122" s="33">
        <f t="shared" ca="1" si="244"/>
        <v>110767.03434333332</v>
      </c>
      <c r="I122" s="33">
        <f t="shared" ca="1" si="244"/>
        <v>98992.012316768014</v>
      </c>
      <c r="J122" s="33">
        <f t="shared" ca="1" si="244"/>
        <v>85670.092403618444</v>
      </c>
      <c r="K122" s="33">
        <f t="shared" ca="1" si="244"/>
        <v>0</v>
      </c>
      <c r="L122" s="33">
        <f t="shared" ca="1" si="244"/>
        <v>0</v>
      </c>
      <c r="M122" s="33">
        <f t="shared" ca="1" si="244"/>
        <v>0</v>
      </c>
      <c r="N122" s="33">
        <f t="shared" ca="1" si="244"/>
        <v>0</v>
      </c>
      <c r="O122" s="33">
        <f t="shared" ca="1" si="244"/>
        <v>0</v>
      </c>
      <c r="P122" s="33">
        <f t="shared" ca="1" si="244"/>
        <v>0</v>
      </c>
      <c r="Q122" s="33">
        <f t="shared" ca="1" si="244"/>
        <v>0</v>
      </c>
      <c r="R122" s="33">
        <f t="shared" ca="1" si="244"/>
        <v>0</v>
      </c>
      <c r="S122" s="33">
        <f t="shared" ca="1" si="244"/>
        <v>0</v>
      </c>
      <c r="T122" s="33">
        <f t="shared" ca="1" si="244"/>
        <v>0</v>
      </c>
      <c r="U122" s="33">
        <f t="shared" ca="1" si="244"/>
        <v>0</v>
      </c>
      <c r="V122" s="33">
        <f t="shared" ca="1" si="244"/>
        <v>0</v>
      </c>
      <c r="W122" s="33">
        <f t="shared" ca="1" si="244"/>
        <v>0</v>
      </c>
      <c r="X122" s="33">
        <f t="shared" ca="1" si="244"/>
        <v>0</v>
      </c>
      <c r="Y122" s="33">
        <f t="shared" ca="1" si="244"/>
        <v>0</v>
      </c>
      <c r="Z122" s="33">
        <f t="shared" ca="1" si="244"/>
        <v>0</v>
      </c>
      <c r="AA122" s="33">
        <f t="shared" ca="1" si="244"/>
        <v>0</v>
      </c>
      <c r="AB122" s="33">
        <f t="shared" ca="1" si="244"/>
        <v>0</v>
      </c>
      <c r="AC122" s="33">
        <f t="shared" ca="1" si="244"/>
        <v>0</v>
      </c>
      <c r="AD122" s="33">
        <f t="shared" ca="1" si="244"/>
        <v>0</v>
      </c>
      <c r="AE122" s="33">
        <f t="shared" ca="1" si="244"/>
        <v>0</v>
      </c>
      <c r="AF122" s="33">
        <f t="shared" ca="1" si="244"/>
        <v>0</v>
      </c>
      <c r="AG122" s="33">
        <f t="shared" ca="1" si="244"/>
        <v>0</v>
      </c>
      <c r="AH122" s="33">
        <f t="shared" ca="1" si="244"/>
        <v>0</v>
      </c>
      <c r="AI122" s="33">
        <f t="shared" ref="AI122:AJ122" ca="1" si="245">AI121*$K$23</f>
        <v>0</v>
      </c>
      <c r="AJ122" s="33">
        <f t="shared" ca="1" si="245"/>
        <v>0</v>
      </c>
      <c r="AK122" s="535"/>
      <c r="AL122" s="535"/>
      <c r="AM122" s="535"/>
      <c r="AN122" s="535"/>
      <c r="AO122" s="535"/>
      <c r="AP122" s="535"/>
      <c r="AQ122" s="535"/>
      <c r="AR122" s="535"/>
      <c r="AS122" s="535"/>
      <c r="AT122" s="535"/>
      <c r="AU122" s="535"/>
      <c r="AV122" s="535"/>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5"/>
      <c r="BZ122" s="535"/>
    </row>
    <row r="123" spans="2:78" x14ac:dyDescent="0.15">
      <c r="C123" s="23" t="s">
        <v>306</v>
      </c>
      <c r="D123" s="505"/>
      <c r="E123" s="33"/>
      <c r="F123" s="33">
        <f t="shared" ref="F123:O123" ca="1" si="246">MAX(-F121-F122,-F115)</f>
        <v>-162983.64833333335</v>
      </c>
      <c r="G123" s="33">
        <f t="shared" ca="1" si="246"/>
        <v>-281575.93113333336</v>
      </c>
      <c r="H123" s="33">
        <f t="shared" ca="1" si="246"/>
        <v>-346267.47487463953</v>
      </c>
      <c r="I123" s="33">
        <f t="shared" ca="1" si="246"/>
        <v>-365430.41057975963</v>
      </c>
      <c r="J123" s="33">
        <f t="shared" ca="1" si="246"/>
        <v>-1799071.940475987</v>
      </c>
      <c r="K123" s="33">
        <f t="shared" ca="1" si="246"/>
        <v>0</v>
      </c>
      <c r="L123" s="33">
        <f t="shared" ca="1" si="246"/>
        <v>0</v>
      </c>
      <c r="M123" s="33">
        <f t="shared" ca="1" si="246"/>
        <v>0</v>
      </c>
      <c r="N123" s="33">
        <f t="shared" ca="1" si="246"/>
        <v>0</v>
      </c>
      <c r="O123" s="33">
        <f t="shared" ca="1" si="246"/>
        <v>0</v>
      </c>
      <c r="P123" s="33">
        <f t="shared" ref="P123:AJ123" ca="1" si="247">MAX(-P121-P122,-P115-P93)</f>
        <v>0</v>
      </c>
      <c r="Q123" s="33">
        <f t="shared" ca="1" si="247"/>
        <v>0</v>
      </c>
      <c r="R123" s="33">
        <f t="shared" ca="1" si="247"/>
        <v>0</v>
      </c>
      <c r="S123" s="33">
        <f t="shared" ca="1" si="247"/>
        <v>0</v>
      </c>
      <c r="T123" s="33">
        <f t="shared" ca="1" si="247"/>
        <v>0</v>
      </c>
      <c r="U123" s="33">
        <f t="shared" ca="1" si="247"/>
        <v>0</v>
      </c>
      <c r="V123" s="33">
        <f t="shared" ca="1" si="247"/>
        <v>0</v>
      </c>
      <c r="W123" s="33">
        <f t="shared" ca="1" si="247"/>
        <v>0</v>
      </c>
      <c r="X123" s="33">
        <f t="shared" ca="1" si="247"/>
        <v>0</v>
      </c>
      <c r="Y123" s="33">
        <f t="shared" ca="1" si="247"/>
        <v>0</v>
      </c>
      <c r="Z123" s="33">
        <f t="shared" ca="1" si="247"/>
        <v>0</v>
      </c>
      <c r="AA123" s="33">
        <f t="shared" ca="1" si="247"/>
        <v>0</v>
      </c>
      <c r="AB123" s="33">
        <f t="shared" ca="1" si="247"/>
        <v>0</v>
      </c>
      <c r="AC123" s="33">
        <f t="shared" ca="1" si="247"/>
        <v>0</v>
      </c>
      <c r="AD123" s="33">
        <f t="shared" ca="1" si="247"/>
        <v>0</v>
      </c>
      <c r="AE123" s="33">
        <f t="shared" ca="1" si="247"/>
        <v>0</v>
      </c>
      <c r="AF123" s="33">
        <f t="shared" ca="1" si="247"/>
        <v>0</v>
      </c>
      <c r="AG123" s="33">
        <f t="shared" ca="1" si="247"/>
        <v>0</v>
      </c>
      <c r="AH123" s="33">
        <f t="shared" ca="1" si="247"/>
        <v>0</v>
      </c>
      <c r="AI123" s="33">
        <f t="shared" ca="1" si="247"/>
        <v>0</v>
      </c>
      <c r="AJ123" s="33">
        <f t="shared" ca="1" si="247"/>
        <v>0</v>
      </c>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5"/>
      <c r="BZ123" s="535"/>
    </row>
    <row r="124" spans="2:78" x14ac:dyDescent="0.15">
      <c r="C124" s="23" t="s">
        <v>312</v>
      </c>
      <c r="D124" s="505"/>
      <c r="E124" s="33"/>
      <c r="F124" s="744">
        <f t="shared" ref="F124:AH124" ca="1" si="248">F121+F122+F123</f>
        <v>2378015.8266666667</v>
      </c>
      <c r="G124" s="744">
        <f t="shared" ca="1" si="248"/>
        <v>2215340.6868666662</v>
      </c>
      <c r="H124" s="744">
        <f t="shared" ca="1" si="248"/>
        <v>1979840.2463353602</v>
      </c>
      <c r="I124" s="744">
        <f t="shared" ca="1" si="248"/>
        <v>1713401.8480723687</v>
      </c>
      <c r="J124" s="744">
        <f t="shared" ca="1" si="248"/>
        <v>0</v>
      </c>
      <c r="K124" s="744">
        <f t="shared" ca="1" si="248"/>
        <v>0</v>
      </c>
      <c r="L124" s="744">
        <f t="shared" ca="1" si="248"/>
        <v>0</v>
      </c>
      <c r="M124" s="744">
        <f t="shared" ca="1" si="248"/>
        <v>0</v>
      </c>
      <c r="N124" s="744">
        <f t="shared" ca="1" si="248"/>
        <v>0</v>
      </c>
      <c r="O124" s="744">
        <f t="shared" ca="1" si="248"/>
        <v>0</v>
      </c>
      <c r="P124" s="744">
        <f t="shared" ca="1" si="248"/>
        <v>0</v>
      </c>
      <c r="Q124" s="744">
        <f t="shared" ca="1" si="248"/>
        <v>0</v>
      </c>
      <c r="R124" s="744">
        <f t="shared" ca="1" si="248"/>
        <v>0</v>
      </c>
      <c r="S124" s="744">
        <f t="shared" ca="1" si="248"/>
        <v>0</v>
      </c>
      <c r="T124" s="744">
        <f t="shared" ca="1" si="248"/>
        <v>0</v>
      </c>
      <c r="U124" s="744">
        <f t="shared" ca="1" si="248"/>
        <v>0</v>
      </c>
      <c r="V124" s="744">
        <f t="shared" ca="1" si="248"/>
        <v>0</v>
      </c>
      <c r="W124" s="744">
        <f t="shared" ca="1" si="248"/>
        <v>0</v>
      </c>
      <c r="X124" s="744">
        <f t="shared" ca="1" si="248"/>
        <v>0</v>
      </c>
      <c r="Y124" s="744">
        <f t="shared" ca="1" si="248"/>
        <v>0</v>
      </c>
      <c r="Z124" s="744">
        <f t="shared" ca="1" si="248"/>
        <v>0</v>
      </c>
      <c r="AA124" s="744">
        <f t="shared" ca="1" si="248"/>
        <v>0</v>
      </c>
      <c r="AB124" s="744">
        <f t="shared" ca="1" si="248"/>
        <v>0</v>
      </c>
      <c r="AC124" s="744">
        <f t="shared" ca="1" si="248"/>
        <v>0</v>
      </c>
      <c r="AD124" s="744">
        <f t="shared" ca="1" si="248"/>
        <v>0</v>
      </c>
      <c r="AE124" s="744">
        <f t="shared" ca="1" si="248"/>
        <v>0</v>
      </c>
      <c r="AF124" s="744">
        <f t="shared" ca="1" si="248"/>
        <v>0</v>
      </c>
      <c r="AG124" s="744">
        <f t="shared" ca="1" si="248"/>
        <v>0</v>
      </c>
      <c r="AH124" s="744">
        <f t="shared" ca="1" si="248"/>
        <v>0</v>
      </c>
      <c r="AI124" s="744">
        <f t="shared" ref="AI124:AJ124" ca="1" si="249">AI121+AI122+AI123</f>
        <v>0</v>
      </c>
      <c r="AJ124" s="744">
        <f t="shared" ca="1" si="249"/>
        <v>0</v>
      </c>
      <c r="AK124" s="535"/>
      <c r="AL124" s="535"/>
      <c r="AM124" s="535"/>
      <c r="AN124" s="535"/>
      <c r="AO124" s="535"/>
      <c r="AP124" s="535"/>
      <c r="AQ124" s="535"/>
      <c r="AR124" s="535"/>
      <c r="AS124" s="535"/>
      <c r="AT124" s="535"/>
      <c r="AU124" s="535"/>
      <c r="AV124" s="535"/>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5"/>
      <c r="BZ124" s="535"/>
    </row>
    <row r="125" spans="2:78" x14ac:dyDescent="0.15">
      <c r="C125" s="32" t="s">
        <v>331</v>
      </c>
      <c r="D125" s="505"/>
      <c r="E125" s="31"/>
      <c r="F125" s="33">
        <f t="shared" ref="F125:AH125" ca="1" si="250">F115+F123</f>
        <v>0</v>
      </c>
      <c r="G125" s="33">
        <f t="shared" ca="1" si="250"/>
        <v>0</v>
      </c>
      <c r="H125" s="33">
        <f t="shared" ca="1" si="250"/>
        <v>0</v>
      </c>
      <c r="I125" s="33">
        <f t="shared" ca="1" si="250"/>
        <v>0</v>
      </c>
      <c r="J125" s="33">
        <f t="shared" ca="1" si="250"/>
        <v>115465.08052766672</v>
      </c>
      <c r="K125" s="33">
        <f t="shared" ca="1" si="250"/>
        <v>295466.03141908138</v>
      </c>
      <c r="L125" s="33">
        <f t="shared" ca="1" si="250"/>
        <v>317294.32229028037</v>
      </c>
      <c r="M125" s="33">
        <f t="shared" ca="1" si="250"/>
        <v>340086.63310785062</v>
      </c>
      <c r="N125" s="33">
        <f t="shared" ca="1" si="250"/>
        <v>363883.34243587742</v>
      </c>
      <c r="O125" s="33">
        <f t="shared" ca="1" si="250"/>
        <v>388726.48033633386</v>
      </c>
      <c r="P125" s="33">
        <f t="shared" ca="1" si="250"/>
        <v>241180.79515610356</v>
      </c>
      <c r="Q125" s="33">
        <f t="shared" ca="1" si="250"/>
        <v>268249.82300002477</v>
      </c>
      <c r="R125" s="33">
        <f t="shared" ca="1" si="250"/>
        <v>296501.95999769133</v>
      </c>
      <c r="S125" s="33">
        <f t="shared" ca="1" si="250"/>
        <v>325986.5374760516</v>
      </c>
      <c r="T125" s="33">
        <f t="shared" ca="1" si="250"/>
        <v>356754.90015435056</v>
      </c>
      <c r="U125" s="33">
        <f t="shared" ca="1" si="250"/>
        <v>388860.48748260108</v>
      </c>
      <c r="V125" s="33">
        <f t="shared" ca="1" si="250"/>
        <v>422358.91824965738</v>
      </c>
      <c r="W125" s="33">
        <f t="shared" ca="1" si="250"/>
        <v>457308.07859198516</v>
      </c>
      <c r="X125" s="33">
        <f t="shared" ca="1" si="250"/>
        <v>493768.21353948792</v>
      </c>
      <c r="Y125" s="33">
        <f t="shared" ca="1" si="250"/>
        <v>531802.02224020148</v>
      </c>
      <c r="Z125" s="33">
        <f t="shared" ca="1" si="250"/>
        <v>571474.75701136107</v>
      </c>
      <c r="AA125" s="33">
        <f t="shared" ca="1" si="250"/>
        <v>612854.32637023227</v>
      </c>
      <c r="AB125" s="33">
        <f t="shared" ca="1" si="250"/>
        <v>656011.40220426128</v>
      </c>
      <c r="AC125" s="33">
        <f t="shared" ca="1" si="250"/>
        <v>701019.53124647017</v>
      </c>
      <c r="AD125" s="33">
        <f t="shared" ca="1" si="250"/>
        <v>747955.25102868304</v>
      </c>
      <c r="AE125" s="33">
        <f t="shared" ca="1" si="250"/>
        <v>796898.21049206587</v>
      </c>
      <c r="AF125" s="33">
        <f t="shared" ca="1" si="250"/>
        <v>847931.29544166336</v>
      </c>
      <c r="AG125" s="33">
        <f t="shared" ca="1" si="250"/>
        <v>901140.75903907721</v>
      </c>
      <c r="AH125" s="33">
        <f t="shared" ca="1" si="250"/>
        <v>956616.35753521742</v>
      </c>
      <c r="AI125" s="33">
        <f t="shared" ref="AI125:AJ125" ca="1" si="251">AI115+AI123</f>
        <v>1014451.4914531293</v>
      </c>
      <c r="AJ125" s="33">
        <f t="shared" ca="1" si="251"/>
        <v>21352739.964569047</v>
      </c>
      <c r="AK125" s="535"/>
      <c r="AL125" s="535"/>
      <c r="AM125" s="535"/>
      <c r="AN125" s="535"/>
      <c r="AO125" s="535"/>
      <c r="AP125" s="535"/>
      <c r="AQ125" s="535"/>
      <c r="AR125" s="535"/>
      <c r="AS125" s="535"/>
      <c r="AT125" s="535"/>
      <c r="AU125" s="535"/>
      <c r="AV125" s="535"/>
      <c r="AW125" s="535"/>
      <c r="AX125" s="535"/>
      <c r="AY125" s="535"/>
      <c r="AZ125" s="535"/>
      <c r="BA125" s="535"/>
      <c r="BB125" s="535"/>
      <c r="BC125" s="535"/>
      <c r="BD125" s="535"/>
      <c r="BE125" s="535"/>
      <c r="BF125" s="535"/>
      <c r="BG125" s="535"/>
      <c r="BH125" s="535"/>
      <c r="BI125" s="535"/>
      <c r="BJ125" s="535"/>
      <c r="BK125" s="535"/>
      <c r="BL125" s="535"/>
      <c r="BM125" s="535"/>
      <c r="BN125" s="535"/>
      <c r="BO125" s="535"/>
      <c r="BP125" s="535"/>
      <c r="BQ125" s="535"/>
      <c r="BR125" s="535"/>
      <c r="BS125" s="535"/>
      <c r="BT125" s="535"/>
      <c r="BU125" s="535"/>
      <c r="BV125" s="535"/>
      <c r="BW125" s="535"/>
      <c r="BX125" s="535"/>
      <c r="BY125" s="535"/>
      <c r="BZ125" s="535"/>
    </row>
    <row r="126" spans="2:78" x14ac:dyDescent="0.15">
      <c r="C126" s="41" t="s">
        <v>332</v>
      </c>
      <c r="D126" s="505"/>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535"/>
      <c r="AL126" s="535"/>
      <c r="AM126" s="535"/>
      <c r="AN126" s="535"/>
      <c r="AO126" s="535"/>
      <c r="AP126" s="535"/>
      <c r="AQ126" s="535"/>
      <c r="AR126" s="535"/>
      <c r="AS126" s="535"/>
      <c r="AT126" s="535"/>
      <c r="AU126" s="535"/>
      <c r="AV126" s="535"/>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5"/>
      <c r="BZ126" s="535"/>
    </row>
    <row r="127" spans="2:78" x14ac:dyDescent="0.15">
      <c r="C127" s="542" t="s">
        <v>333</v>
      </c>
      <c r="D127" s="705"/>
      <c r="E127" s="33"/>
      <c r="F127" s="33">
        <f t="shared" ref="F127:AH127" ca="1" si="252">F125*$K$20</f>
        <v>0</v>
      </c>
      <c r="G127" s="33">
        <f t="shared" ca="1" si="252"/>
        <v>0</v>
      </c>
      <c r="H127" s="33">
        <f t="shared" ca="1" si="252"/>
        <v>0</v>
      </c>
      <c r="I127" s="33">
        <f t="shared" ca="1" si="252"/>
        <v>0</v>
      </c>
      <c r="J127" s="33">
        <f t="shared" ca="1" si="252"/>
        <v>57732.540263833362</v>
      </c>
      <c r="K127" s="33">
        <f t="shared" ca="1" si="252"/>
        <v>147733.01570954069</v>
      </c>
      <c r="L127" s="33">
        <f t="shared" ca="1" si="252"/>
        <v>158647.16114514018</v>
      </c>
      <c r="M127" s="33">
        <f t="shared" ca="1" si="252"/>
        <v>170043.31655392531</v>
      </c>
      <c r="N127" s="33">
        <f t="shared" ca="1" si="252"/>
        <v>181941.67121793871</v>
      </c>
      <c r="O127" s="33">
        <f t="shared" ca="1" si="252"/>
        <v>194363.24016816693</v>
      </c>
      <c r="P127" s="33">
        <f t="shared" ca="1" si="252"/>
        <v>120590.39757805178</v>
      </c>
      <c r="Q127" s="33">
        <f t="shared" ca="1" si="252"/>
        <v>134124.91150001239</v>
      </c>
      <c r="R127" s="33">
        <f t="shared" ca="1" si="252"/>
        <v>148250.97999884567</v>
      </c>
      <c r="S127" s="33">
        <f t="shared" ca="1" si="252"/>
        <v>162993.2687380258</v>
      </c>
      <c r="T127" s="33">
        <f t="shared" ca="1" si="252"/>
        <v>178377.45007717528</v>
      </c>
      <c r="U127" s="33">
        <f t="shared" ca="1" si="252"/>
        <v>194430.24374130054</v>
      </c>
      <c r="V127" s="33">
        <f t="shared" ca="1" si="252"/>
        <v>211179.45912482869</v>
      </c>
      <c r="W127" s="33">
        <f t="shared" ca="1" si="252"/>
        <v>228654.03929599258</v>
      </c>
      <c r="X127" s="33">
        <f t="shared" ca="1" si="252"/>
        <v>246884.10676974396</v>
      </c>
      <c r="Y127" s="33">
        <f t="shared" ca="1" si="252"/>
        <v>265901.01112010074</v>
      </c>
      <c r="Z127" s="33">
        <f t="shared" ca="1" si="252"/>
        <v>285737.37850568054</v>
      </c>
      <c r="AA127" s="33">
        <f t="shared" ca="1" si="252"/>
        <v>306427.16318511614</v>
      </c>
      <c r="AB127" s="33">
        <f t="shared" ca="1" si="252"/>
        <v>328005.70110213064</v>
      </c>
      <c r="AC127" s="33">
        <f t="shared" ca="1" si="252"/>
        <v>350509.76562323509</v>
      </c>
      <c r="AD127" s="33">
        <f t="shared" ca="1" si="252"/>
        <v>373977.62551434152</v>
      </c>
      <c r="AE127" s="33">
        <f t="shared" ca="1" si="252"/>
        <v>398449.10524603294</v>
      </c>
      <c r="AF127" s="33">
        <f t="shared" ca="1" si="252"/>
        <v>423965.64772083168</v>
      </c>
      <c r="AG127" s="33">
        <f t="shared" ca="1" si="252"/>
        <v>450570.3795195386</v>
      </c>
      <c r="AH127" s="33">
        <f t="shared" ca="1" si="252"/>
        <v>478308.17876760871</v>
      </c>
      <c r="AI127" s="33">
        <f t="shared" ref="AI127:AJ127" ca="1" si="253">AI125*$K$20</f>
        <v>507225.74572656467</v>
      </c>
      <c r="AJ127" s="33">
        <f t="shared" ca="1" si="253"/>
        <v>10676369.982284524</v>
      </c>
      <c r="AK127" s="535"/>
      <c r="AL127" s="535"/>
      <c r="AM127" s="535"/>
      <c r="AN127" s="535"/>
      <c r="AO127" s="535"/>
      <c r="AP127" s="535"/>
      <c r="AQ127" s="535"/>
      <c r="AR127" s="535"/>
      <c r="AS127" s="535"/>
      <c r="AT127" s="535"/>
      <c r="AU127" s="535"/>
      <c r="AV127" s="535"/>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5"/>
      <c r="BZ127" s="535"/>
    </row>
    <row r="128" spans="2:78" x14ac:dyDescent="0.15">
      <c r="C128" s="542" t="s">
        <v>334</v>
      </c>
      <c r="D128" s="505"/>
      <c r="E128" s="33"/>
      <c r="F128" s="33">
        <f t="shared" ref="F128:AH128" ca="1" si="254">F125*$K$21</f>
        <v>0</v>
      </c>
      <c r="G128" s="33">
        <f t="shared" ca="1" si="254"/>
        <v>0</v>
      </c>
      <c r="H128" s="33">
        <f t="shared" ca="1" si="254"/>
        <v>0</v>
      </c>
      <c r="I128" s="33">
        <f t="shared" ca="1" si="254"/>
        <v>0</v>
      </c>
      <c r="J128" s="33">
        <f t="shared" ca="1" si="254"/>
        <v>57732.540263833362</v>
      </c>
      <c r="K128" s="33">
        <f t="shared" ca="1" si="254"/>
        <v>147733.01570954069</v>
      </c>
      <c r="L128" s="33">
        <f t="shared" ca="1" si="254"/>
        <v>158647.16114514018</v>
      </c>
      <c r="M128" s="33">
        <f t="shared" ca="1" si="254"/>
        <v>170043.31655392531</v>
      </c>
      <c r="N128" s="33">
        <f t="shared" ca="1" si="254"/>
        <v>181941.67121793871</v>
      </c>
      <c r="O128" s="33">
        <f t="shared" ca="1" si="254"/>
        <v>194363.24016816693</v>
      </c>
      <c r="P128" s="33">
        <f t="shared" ca="1" si="254"/>
        <v>120590.39757805178</v>
      </c>
      <c r="Q128" s="33">
        <f t="shared" ca="1" si="254"/>
        <v>134124.91150001239</v>
      </c>
      <c r="R128" s="33">
        <f t="shared" ca="1" si="254"/>
        <v>148250.97999884567</v>
      </c>
      <c r="S128" s="33">
        <f t="shared" ca="1" si="254"/>
        <v>162993.2687380258</v>
      </c>
      <c r="T128" s="33">
        <f t="shared" ca="1" si="254"/>
        <v>178377.45007717528</v>
      </c>
      <c r="U128" s="33">
        <f t="shared" ca="1" si="254"/>
        <v>194430.24374130054</v>
      </c>
      <c r="V128" s="33">
        <f t="shared" ca="1" si="254"/>
        <v>211179.45912482869</v>
      </c>
      <c r="W128" s="33">
        <f t="shared" ca="1" si="254"/>
        <v>228654.03929599258</v>
      </c>
      <c r="X128" s="33">
        <f t="shared" ca="1" si="254"/>
        <v>246884.10676974396</v>
      </c>
      <c r="Y128" s="33">
        <f t="shared" ca="1" si="254"/>
        <v>265901.01112010074</v>
      </c>
      <c r="Z128" s="33">
        <f t="shared" ca="1" si="254"/>
        <v>285737.37850568054</v>
      </c>
      <c r="AA128" s="33">
        <f t="shared" ca="1" si="254"/>
        <v>306427.16318511614</v>
      </c>
      <c r="AB128" s="33">
        <f t="shared" ca="1" si="254"/>
        <v>328005.70110213064</v>
      </c>
      <c r="AC128" s="33">
        <f t="shared" ca="1" si="254"/>
        <v>350509.76562323509</v>
      </c>
      <c r="AD128" s="33">
        <f t="shared" ca="1" si="254"/>
        <v>373977.62551434152</v>
      </c>
      <c r="AE128" s="33">
        <f t="shared" ca="1" si="254"/>
        <v>398449.10524603294</v>
      </c>
      <c r="AF128" s="33">
        <f t="shared" ca="1" si="254"/>
        <v>423965.64772083168</v>
      </c>
      <c r="AG128" s="33">
        <f t="shared" ca="1" si="254"/>
        <v>450570.3795195386</v>
      </c>
      <c r="AH128" s="33">
        <f t="shared" ca="1" si="254"/>
        <v>478308.17876760871</v>
      </c>
      <c r="AI128" s="33">
        <f t="shared" ref="AI128:AJ128" ca="1" si="255">AI125*$K$21</f>
        <v>507225.74572656467</v>
      </c>
      <c r="AJ128" s="33">
        <f t="shared" ca="1" si="255"/>
        <v>10676369.982284524</v>
      </c>
      <c r="AK128" s="535"/>
      <c r="AL128" s="535"/>
      <c r="AM128" s="535"/>
      <c r="AN128" s="535"/>
      <c r="AO128" s="535"/>
      <c r="AP128" s="535"/>
      <c r="AQ128" s="535"/>
      <c r="AR128" s="535"/>
      <c r="AS128" s="535"/>
      <c r="AT128" s="535"/>
      <c r="AU128" s="535"/>
      <c r="AV128" s="535"/>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5"/>
      <c r="BZ128" s="535"/>
    </row>
    <row r="129" spans="2:78" x14ac:dyDescent="0.15">
      <c r="C129" s="41" t="s">
        <v>42</v>
      </c>
      <c r="D129" s="505"/>
      <c r="E129"/>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535"/>
      <c r="AL129" s="535"/>
      <c r="AM129" s="535"/>
      <c r="AN129" s="535"/>
      <c r="AO129" s="535"/>
      <c r="AP129" s="535"/>
      <c r="AQ129" s="535"/>
      <c r="AR129" s="535"/>
      <c r="AS129" s="535"/>
      <c r="AT129" s="535"/>
      <c r="AU129" s="535"/>
      <c r="AV129" s="535"/>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5"/>
      <c r="BZ129" s="535"/>
    </row>
    <row r="130" spans="2:78" x14ac:dyDescent="0.15">
      <c r="C130" s="542" t="s">
        <v>333</v>
      </c>
      <c r="D130" s="543">
        <f ca="1">SUM(E130:AJ130)</f>
        <v>17916723.391595282</v>
      </c>
      <c r="E130" s="39">
        <f>E115</f>
        <v>-2419999.5</v>
      </c>
      <c r="F130" s="33">
        <f t="shared" ref="F130:AH130" ca="1" si="256">-F123+F127</f>
        <v>162983.64833333335</v>
      </c>
      <c r="G130" s="33">
        <f t="shared" ca="1" si="256"/>
        <v>281575.93113333336</v>
      </c>
      <c r="H130" s="33">
        <f t="shared" ca="1" si="256"/>
        <v>346267.47487463953</v>
      </c>
      <c r="I130" s="33">
        <f t="shared" ca="1" si="256"/>
        <v>365430.41057975963</v>
      </c>
      <c r="J130" s="33">
        <f t="shared" ca="1" si="256"/>
        <v>1856804.4807398203</v>
      </c>
      <c r="K130" s="33">
        <f t="shared" ca="1" si="256"/>
        <v>147733.01570954069</v>
      </c>
      <c r="L130" s="33">
        <f t="shared" ca="1" si="256"/>
        <v>158647.16114514018</v>
      </c>
      <c r="M130" s="33">
        <f t="shared" ca="1" si="256"/>
        <v>170043.31655392531</v>
      </c>
      <c r="N130" s="33">
        <f t="shared" ca="1" si="256"/>
        <v>181941.67121793871</v>
      </c>
      <c r="O130" s="33">
        <f t="shared" ca="1" si="256"/>
        <v>194363.24016816693</v>
      </c>
      <c r="P130" s="33">
        <f t="shared" ca="1" si="256"/>
        <v>120590.39757805178</v>
      </c>
      <c r="Q130" s="33">
        <f t="shared" ca="1" si="256"/>
        <v>134124.91150001239</v>
      </c>
      <c r="R130" s="33">
        <f t="shared" ca="1" si="256"/>
        <v>148250.97999884567</v>
      </c>
      <c r="S130" s="33">
        <f t="shared" ca="1" si="256"/>
        <v>162993.2687380258</v>
      </c>
      <c r="T130" s="33">
        <f t="shared" ca="1" si="256"/>
        <v>178377.45007717528</v>
      </c>
      <c r="U130" s="33">
        <f t="shared" ca="1" si="256"/>
        <v>194430.24374130054</v>
      </c>
      <c r="V130" s="33">
        <f t="shared" ca="1" si="256"/>
        <v>211179.45912482869</v>
      </c>
      <c r="W130" s="33">
        <f t="shared" ca="1" si="256"/>
        <v>228654.03929599258</v>
      </c>
      <c r="X130" s="33">
        <f t="shared" ca="1" si="256"/>
        <v>246884.10676974396</v>
      </c>
      <c r="Y130" s="33">
        <f t="shared" ca="1" si="256"/>
        <v>265901.01112010074</v>
      </c>
      <c r="Z130" s="33">
        <f t="shared" ca="1" si="256"/>
        <v>285737.37850568054</v>
      </c>
      <c r="AA130" s="33">
        <f t="shared" ca="1" si="256"/>
        <v>306427.16318511614</v>
      </c>
      <c r="AB130" s="33">
        <f t="shared" ca="1" si="256"/>
        <v>328005.70110213064</v>
      </c>
      <c r="AC130" s="33">
        <f t="shared" ca="1" si="256"/>
        <v>350509.76562323509</v>
      </c>
      <c r="AD130" s="33">
        <f t="shared" ca="1" si="256"/>
        <v>373977.62551434152</v>
      </c>
      <c r="AE130" s="33">
        <f t="shared" ca="1" si="256"/>
        <v>398449.10524603294</v>
      </c>
      <c r="AF130" s="33">
        <f t="shared" ca="1" si="256"/>
        <v>423965.64772083168</v>
      </c>
      <c r="AG130" s="33">
        <f t="shared" ca="1" si="256"/>
        <v>450570.3795195386</v>
      </c>
      <c r="AH130" s="33">
        <f t="shared" ca="1" si="256"/>
        <v>478308.17876760871</v>
      </c>
      <c r="AI130" s="33">
        <f t="shared" ref="AI130:AJ130" ca="1" si="257">-AI123+AI127</f>
        <v>507225.74572656467</v>
      </c>
      <c r="AJ130" s="33">
        <f t="shared" ca="1" si="257"/>
        <v>10676369.982284524</v>
      </c>
      <c r="AK130" s="535"/>
      <c r="AL130" s="535"/>
      <c r="AM130" s="535"/>
      <c r="AN130" s="535"/>
      <c r="AO130" s="535"/>
      <c r="AP130" s="535"/>
      <c r="AQ130" s="535"/>
      <c r="AR130" s="535"/>
      <c r="AS130" s="535"/>
      <c r="AT130" s="535"/>
      <c r="AU130" s="535"/>
      <c r="AV130" s="535"/>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5"/>
      <c r="BZ130" s="535"/>
    </row>
    <row r="131" spans="2:78" x14ac:dyDescent="0.15">
      <c r="C131" s="542" t="s">
        <v>334</v>
      </c>
      <c r="D131" s="543">
        <f ca="1">SUM(E131:AJ131)</f>
        <v>17381393.486198224</v>
      </c>
      <c r="E131" s="39">
        <v>0</v>
      </c>
      <c r="F131" s="33">
        <f t="shared" ref="F131:AH131" ca="1" si="258">F128</f>
        <v>0</v>
      </c>
      <c r="G131" s="33">
        <f t="shared" ca="1" si="258"/>
        <v>0</v>
      </c>
      <c r="H131" s="33">
        <f t="shared" ca="1" si="258"/>
        <v>0</v>
      </c>
      <c r="I131" s="33">
        <f t="shared" ca="1" si="258"/>
        <v>0</v>
      </c>
      <c r="J131" s="33">
        <f t="shared" ca="1" si="258"/>
        <v>57732.540263833362</v>
      </c>
      <c r="K131" s="33">
        <f t="shared" ca="1" si="258"/>
        <v>147733.01570954069</v>
      </c>
      <c r="L131" s="33">
        <f t="shared" ca="1" si="258"/>
        <v>158647.16114514018</v>
      </c>
      <c r="M131" s="33">
        <f t="shared" ca="1" si="258"/>
        <v>170043.31655392531</v>
      </c>
      <c r="N131" s="33">
        <f t="shared" ca="1" si="258"/>
        <v>181941.67121793871</v>
      </c>
      <c r="O131" s="33">
        <f t="shared" ca="1" si="258"/>
        <v>194363.24016816693</v>
      </c>
      <c r="P131" s="33">
        <f t="shared" ca="1" si="258"/>
        <v>120590.39757805178</v>
      </c>
      <c r="Q131" s="33">
        <f t="shared" ca="1" si="258"/>
        <v>134124.91150001239</v>
      </c>
      <c r="R131" s="33">
        <f t="shared" ca="1" si="258"/>
        <v>148250.97999884567</v>
      </c>
      <c r="S131" s="33">
        <f t="shared" ca="1" si="258"/>
        <v>162993.2687380258</v>
      </c>
      <c r="T131" s="33">
        <f t="shared" ca="1" si="258"/>
        <v>178377.45007717528</v>
      </c>
      <c r="U131" s="33">
        <f t="shared" ca="1" si="258"/>
        <v>194430.24374130054</v>
      </c>
      <c r="V131" s="33">
        <f t="shared" ca="1" si="258"/>
        <v>211179.45912482869</v>
      </c>
      <c r="W131" s="33">
        <f t="shared" ca="1" si="258"/>
        <v>228654.03929599258</v>
      </c>
      <c r="X131" s="33">
        <f t="shared" ca="1" si="258"/>
        <v>246884.10676974396</v>
      </c>
      <c r="Y131" s="33">
        <f t="shared" ca="1" si="258"/>
        <v>265901.01112010074</v>
      </c>
      <c r="Z131" s="33">
        <f t="shared" ca="1" si="258"/>
        <v>285737.37850568054</v>
      </c>
      <c r="AA131" s="33">
        <f t="shared" ca="1" si="258"/>
        <v>306427.16318511614</v>
      </c>
      <c r="AB131" s="33">
        <f t="shared" ca="1" si="258"/>
        <v>328005.70110213064</v>
      </c>
      <c r="AC131" s="33">
        <f t="shared" ca="1" si="258"/>
        <v>350509.76562323509</v>
      </c>
      <c r="AD131" s="33">
        <f t="shared" ca="1" si="258"/>
        <v>373977.62551434152</v>
      </c>
      <c r="AE131" s="33">
        <f t="shared" ca="1" si="258"/>
        <v>398449.10524603294</v>
      </c>
      <c r="AF131" s="33">
        <f t="shared" ca="1" si="258"/>
        <v>423965.64772083168</v>
      </c>
      <c r="AG131" s="33">
        <f t="shared" ca="1" si="258"/>
        <v>450570.3795195386</v>
      </c>
      <c r="AH131" s="33">
        <f t="shared" ca="1" si="258"/>
        <v>478308.17876760871</v>
      </c>
      <c r="AI131" s="33">
        <f t="shared" ref="AI131:AJ131" ca="1" si="259">AI128</f>
        <v>507225.74572656467</v>
      </c>
      <c r="AJ131" s="33">
        <f t="shared" ca="1" si="259"/>
        <v>10676369.982284524</v>
      </c>
      <c r="AK131" s="535"/>
      <c r="AL131" s="535"/>
      <c r="AM131" s="535"/>
      <c r="AN131" s="535"/>
      <c r="AO131" s="535"/>
      <c r="AP131" s="535"/>
      <c r="AQ131" s="535"/>
      <c r="AR131" s="535"/>
      <c r="AS131" s="535"/>
      <c r="AT131" s="535"/>
      <c r="AU131" s="535"/>
      <c r="AV131" s="535"/>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5"/>
      <c r="BZ131" s="535"/>
    </row>
    <row r="132" spans="2:78" ht="14" x14ac:dyDescent="0.15">
      <c r="C132" s="118" t="s">
        <v>335</v>
      </c>
      <c r="D132" s="115"/>
      <c r="E132" s="117">
        <f t="shared" ref="E132:AH132" si="260">SUM(E130:E131)</f>
        <v>-2419999.5</v>
      </c>
      <c r="F132" s="119">
        <f t="shared" ca="1" si="260"/>
        <v>162983.64833333335</v>
      </c>
      <c r="G132" s="119">
        <f t="shared" ca="1" si="260"/>
        <v>281575.93113333336</v>
      </c>
      <c r="H132" s="119">
        <f t="shared" ca="1" si="260"/>
        <v>346267.47487463953</v>
      </c>
      <c r="I132" s="119">
        <f t="shared" ca="1" si="260"/>
        <v>365430.41057975963</v>
      </c>
      <c r="J132" s="119">
        <f t="shared" ca="1" si="260"/>
        <v>1914537.0210036538</v>
      </c>
      <c r="K132" s="119">
        <f t="shared" ca="1" si="260"/>
        <v>295466.03141908138</v>
      </c>
      <c r="L132" s="119">
        <f t="shared" ca="1" si="260"/>
        <v>317294.32229028037</v>
      </c>
      <c r="M132" s="119">
        <f t="shared" ca="1" si="260"/>
        <v>340086.63310785062</v>
      </c>
      <c r="N132" s="119">
        <f t="shared" ca="1" si="260"/>
        <v>363883.34243587742</v>
      </c>
      <c r="O132" s="119">
        <f t="shared" ca="1" si="260"/>
        <v>388726.48033633386</v>
      </c>
      <c r="P132" s="119">
        <f t="shared" ca="1" si="260"/>
        <v>241180.79515610356</v>
      </c>
      <c r="Q132" s="119">
        <f t="shared" ca="1" si="260"/>
        <v>268249.82300002477</v>
      </c>
      <c r="R132" s="119">
        <f t="shared" ca="1" si="260"/>
        <v>296501.95999769133</v>
      </c>
      <c r="S132" s="119">
        <f t="shared" ca="1" si="260"/>
        <v>325986.5374760516</v>
      </c>
      <c r="T132" s="119">
        <f t="shared" ca="1" si="260"/>
        <v>356754.90015435056</v>
      </c>
      <c r="U132" s="119">
        <f t="shared" ca="1" si="260"/>
        <v>388860.48748260108</v>
      </c>
      <c r="V132" s="119">
        <f t="shared" ca="1" si="260"/>
        <v>422358.91824965738</v>
      </c>
      <c r="W132" s="119">
        <f t="shared" ca="1" si="260"/>
        <v>457308.07859198516</v>
      </c>
      <c r="X132" s="119">
        <f t="shared" ca="1" si="260"/>
        <v>493768.21353948792</v>
      </c>
      <c r="Y132" s="119">
        <f t="shared" ca="1" si="260"/>
        <v>531802.02224020148</v>
      </c>
      <c r="Z132" s="119">
        <f t="shared" ca="1" si="260"/>
        <v>571474.75701136107</v>
      </c>
      <c r="AA132" s="119">
        <f t="shared" ca="1" si="260"/>
        <v>612854.32637023227</v>
      </c>
      <c r="AB132" s="119">
        <f t="shared" ca="1" si="260"/>
        <v>656011.40220426128</v>
      </c>
      <c r="AC132" s="119">
        <f t="shared" ca="1" si="260"/>
        <v>701019.53124647017</v>
      </c>
      <c r="AD132" s="119">
        <f t="shared" ca="1" si="260"/>
        <v>747955.25102868304</v>
      </c>
      <c r="AE132" s="119">
        <f t="shared" ca="1" si="260"/>
        <v>796898.21049206587</v>
      </c>
      <c r="AF132" s="119">
        <f t="shared" ca="1" si="260"/>
        <v>847931.29544166336</v>
      </c>
      <c r="AG132" s="119">
        <f t="shared" ca="1" si="260"/>
        <v>901140.75903907721</v>
      </c>
      <c r="AH132" s="119">
        <f t="shared" ca="1" si="260"/>
        <v>956616.35753521742</v>
      </c>
      <c r="AI132" s="119">
        <f t="shared" ref="AI132:AJ132" ca="1" si="261">SUM(AI130:AI131)</f>
        <v>1014451.4914531293</v>
      </c>
      <c r="AJ132" s="119">
        <f t="shared" ca="1" si="261"/>
        <v>21352739.964569047</v>
      </c>
      <c r="AK132" s="505"/>
      <c r="AL132" s="505"/>
      <c r="AM132" s="505"/>
      <c r="AN132" s="505"/>
      <c r="AO132" s="505"/>
      <c r="AP132" s="505"/>
      <c r="AQ132" s="505"/>
      <c r="AR132" s="505"/>
      <c r="AS132" s="505"/>
      <c r="AT132" s="505"/>
      <c r="AU132" s="505"/>
      <c r="AV132" s="505"/>
      <c r="AW132" s="505"/>
      <c r="AX132" s="505"/>
      <c r="AY132" s="505"/>
      <c r="AZ132" s="505"/>
      <c r="BA132" s="505"/>
      <c r="BB132" s="505"/>
      <c r="BC132" s="505"/>
      <c r="BD132" s="505"/>
      <c r="BE132" s="505"/>
      <c r="BF132" s="505"/>
      <c r="BG132" s="505"/>
      <c r="BH132" s="505"/>
      <c r="BI132" s="505"/>
      <c r="BJ132" s="505"/>
      <c r="BK132" s="505"/>
      <c r="BL132" s="505"/>
      <c r="BM132" s="505"/>
      <c r="BN132" s="505"/>
      <c r="BO132" s="505"/>
      <c r="BP132" s="505"/>
      <c r="BQ132" s="505"/>
      <c r="BR132" s="505"/>
      <c r="BS132" s="505"/>
      <c r="BT132" s="505"/>
      <c r="BU132" s="505"/>
      <c r="BV132" s="505"/>
      <c r="BW132" s="505"/>
      <c r="BX132" s="505"/>
      <c r="BY132" s="505"/>
      <c r="BZ132" s="505"/>
    </row>
    <row r="133" spans="2:78" s="291" customFormat="1" ht="12" x14ac:dyDescent="0.15">
      <c r="B133" s="459"/>
      <c r="C133" s="279"/>
      <c r="D133" s="288"/>
      <c r="E133" s="292" t="s">
        <v>336</v>
      </c>
      <c r="F133" s="289">
        <f t="shared" ref="F133:AH133" ca="1" si="262">F130/-$E$130</f>
        <v>6.7348628928780088E-2</v>
      </c>
      <c r="G133" s="289">
        <f t="shared" ca="1" si="262"/>
        <v>0.11635371459098788</v>
      </c>
      <c r="H133" s="289">
        <f t="shared" ca="1" si="262"/>
        <v>0.14308576298244671</v>
      </c>
      <c r="I133" s="289">
        <f t="shared" ca="1" si="262"/>
        <v>0.15100433309170502</v>
      </c>
      <c r="J133" s="289">
        <f t="shared" ca="1" si="262"/>
        <v>0.76727473734594587</v>
      </c>
      <c r="K133" s="289">
        <f t="shared" ca="1" si="262"/>
        <v>6.1046713319379067E-2</v>
      </c>
      <c r="L133" s="289">
        <f t="shared" ca="1" si="262"/>
        <v>6.5556691703919853E-2</v>
      </c>
      <c r="M133" s="289">
        <f t="shared" ca="1" si="262"/>
        <v>7.0265847804483139E-2</v>
      </c>
      <c r="N133" s="289">
        <f t="shared" ca="1" si="262"/>
        <v>7.5182524301322676E-2</v>
      </c>
      <c r="O133" s="289">
        <f t="shared" ca="1" si="262"/>
        <v>8.0315405093334499E-2</v>
      </c>
      <c r="P133" s="289">
        <f t="shared" ca="1" si="262"/>
        <v>4.9830753096457986E-2</v>
      </c>
      <c r="Q133" s="289">
        <f t="shared" ca="1" si="262"/>
        <v>5.542352859990772E-2</v>
      </c>
      <c r="R133" s="289">
        <f t="shared" ca="1" si="262"/>
        <v>6.1260748193892461E-2</v>
      </c>
      <c r="S133" s="289">
        <f t="shared" ca="1" si="262"/>
        <v>6.7352604303441296E-2</v>
      </c>
      <c r="T133" s="289">
        <f t="shared" ca="1" si="262"/>
        <v>7.37097053438132E-2</v>
      </c>
      <c r="U133" s="289">
        <f t="shared" ca="1" si="262"/>
        <v>8.0343092525969759E-2</v>
      </c>
      <c r="V133" s="289">
        <f t="shared" ca="1" si="262"/>
        <v>8.7264257337585679E-2</v>
      </c>
      <c r="W133" s="289">
        <f t="shared" ca="1" si="262"/>
        <v>9.4485159726682824E-2</v>
      </c>
      <c r="X133" s="289">
        <f t="shared" ca="1" si="262"/>
        <v>0.10201824701606094</v>
      </c>
      <c r="Y133" s="289">
        <f t="shared" ca="1" si="262"/>
        <v>0.10987647357782543</v>
      </c>
      <c r="Z133" s="289">
        <f t="shared" ca="1" si="262"/>
        <v>0.11807332129848809</v>
      </c>
      <c r="AA133" s="289">
        <f t="shared" ca="1" si="262"/>
        <v>0.12662282086633328</v>
      </c>
      <c r="AB133" s="289">
        <f t="shared" ca="1" si="262"/>
        <v>0.13553957391401553</v>
      </c>
      <c r="AC133" s="289">
        <f t="shared" ca="1" si="262"/>
        <v>0.14483877605067072</v>
      </c>
      <c r="AD133" s="289">
        <f t="shared" ca="1" si="262"/>
        <v>0.15453624081919914</v>
      </c>
      <c r="AE133" s="289">
        <f t="shared" ca="1" si="262"/>
        <v>0.16464842461580381</v>
      </c>
      <c r="AF133" s="289">
        <f t="shared" ca="1" si="262"/>
        <v>0.17519245261035454</v>
      </c>
      <c r="AG133" s="289">
        <f t="shared" ca="1" si="262"/>
        <v>0.18618614570769068</v>
      </c>
      <c r="AH133" s="289">
        <f t="shared" ca="1" si="262"/>
        <v>0.19764804859158389</v>
      </c>
      <c r="AI133" s="289">
        <f t="shared" ref="AI133:AJ133" ca="1" si="263">AI130/-$E$130</f>
        <v>0.20959745889474962</v>
      </c>
      <c r="AJ133" s="289">
        <f t="shared" ca="1" si="263"/>
        <v>4.411724044688655</v>
      </c>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row>
    <row r="134" spans="2:78" x14ac:dyDescent="0.15">
      <c r="C134" s="11" t="s">
        <v>219</v>
      </c>
      <c r="D134" s="37">
        <f ca="1">IRR(E130:AJ130)</f>
        <v>0.15227236329139227</v>
      </c>
      <c r="E134" s="506"/>
      <c r="F134" s="535"/>
      <c r="G134" s="273" t="str">
        <f ca="1">"Cumm.= "&amp;TEXT((SUM($F133:G133)),"0.0%")</f>
        <v>Cumm.= 18.4%</v>
      </c>
      <c r="H134" s="273" t="str">
        <f ca="1">"Cumm.= "&amp;TEXT((SUM($F133:H133)),"0.0%")</f>
        <v>Cumm.= 32.7%</v>
      </c>
      <c r="I134" s="273" t="str">
        <f ca="1">"Cumm.= "&amp;TEXT((SUM($F133:I133)),"0.0%")</f>
        <v>Cumm.= 47.8%</v>
      </c>
      <c r="J134" s="273" t="str">
        <f ca="1">"Cumm.= "&amp;TEXT((SUM($F133:J133)),"0.0%")</f>
        <v>Cumm.= 124.5%</v>
      </c>
      <c r="K134" s="273" t="str">
        <f ca="1">"Cumm.= "&amp;TEXT((SUM($F133:K133)),"0.0%")</f>
        <v>Cumm.= 130.6%</v>
      </c>
      <c r="L134" s="273" t="str">
        <f ca="1">"Cumm.= "&amp;TEXT((SUM($F133:L133)),"0.0%")</f>
        <v>Cumm.= 137.2%</v>
      </c>
      <c r="M134" s="273" t="str">
        <f ca="1">"Cumm.= "&amp;TEXT((SUM($F133:M133)),"0.0%")</f>
        <v>Cumm.= 144.2%</v>
      </c>
      <c r="N134" s="273" t="str">
        <f ca="1">"Cumm.= "&amp;TEXT((SUM($F133:N133)),"0.0%")</f>
        <v>Cumm.= 151.7%</v>
      </c>
      <c r="O134" s="273" t="str">
        <f ca="1">"Cumm.= "&amp;TEXT((SUM($F133:O133)),"0.0%")</f>
        <v>Cumm.= 159.7%</v>
      </c>
      <c r="P134" s="273" t="str">
        <f ca="1">"Cumm.= "&amp;TEXT((SUM($F133:P133)),"0.0%")</f>
        <v>Cumm.= 164.7%</v>
      </c>
      <c r="Q134" s="273" t="str">
        <f ca="1">"Cumm.= "&amp;TEXT((SUM($F133:Q133)),"0.0%")</f>
        <v>Cumm.= 170.3%</v>
      </c>
      <c r="R134" s="273" t="str">
        <f ca="1">"Cumm.= "&amp;TEXT((SUM($F133:R133)),"0.0%")</f>
        <v>Cumm.= 176.4%</v>
      </c>
      <c r="S134" s="273" t="str">
        <f ca="1">"Cumm.= "&amp;TEXT((SUM($F133:S133)),"0.0%")</f>
        <v>Cumm.= 183.1%</v>
      </c>
      <c r="T134" s="273" t="str">
        <f ca="1">"Cumm.= "&amp;TEXT((SUM($F133:T133)),"0.0%")</f>
        <v>Cumm.= 190.5%</v>
      </c>
      <c r="U134" s="273" t="str">
        <f ca="1">"Cumm.= "&amp;TEXT((SUM($F133:U133)),"0.0%")</f>
        <v>Cumm.= 198.5%</v>
      </c>
      <c r="V134" s="273" t="str">
        <f ca="1">"Cumm.= "&amp;TEXT((SUM($F133:V133)),"0.0%")</f>
        <v>Cumm.= 207.3%</v>
      </c>
      <c r="W134" s="273" t="str">
        <f ca="1">"Cumm.= "&amp;TEXT((SUM($F133:W133)),"0.0%")</f>
        <v>Cumm.= 216.7%</v>
      </c>
      <c r="X134" s="273" t="str">
        <f ca="1">"Cumm.= "&amp;TEXT((SUM($F133:X133)),"0.0%")</f>
        <v>Cumm.= 226.9%</v>
      </c>
      <c r="Y134" s="273" t="str">
        <f ca="1">"Cumm.= "&amp;TEXT((SUM($F133:Y133)),"0.0%")</f>
        <v>Cumm.= 237.9%</v>
      </c>
      <c r="Z134" s="273" t="str">
        <f ca="1">"Cumm.= "&amp;TEXT((SUM($F133:Z133)),"0.0%")</f>
        <v>Cumm.= 249.7%</v>
      </c>
      <c r="AA134" s="273" t="str">
        <f ca="1">"Cumm.= "&amp;TEXT((SUM($F133:AA133)),"0.0%")</f>
        <v>Cumm.= 262.4%</v>
      </c>
      <c r="AB134" s="273" t="str">
        <f ca="1">"Cumm.= "&amp;TEXT((SUM($F133:AB133)),"0.0%")</f>
        <v>Cumm.= 275.9%</v>
      </c>
      <c r="AC134" s="273" t="str">
        <f ca="1">"Cumm.= "&amp;TEXT((SUM($F133:AC133)),"0.0%")</f>
        <v>Cumm.= 290.4%</v>
      </c>
      <c r="AD134" s="273" t="str">
        <f ca="1">"Cumm.= "&amp;TEXT((SUM($F133:AD133)),"0.0%")</f>
        <v>Cumm.= 305.9%</v>
      </c>
      <c r="AE134" s="273" t="str">
        <f ca="1">"Cumm.= "&amp;TEXT((SUM($F133:AE133)),"0.0%")</f>
        <v>Cumm.= 322.3%</v>
      </c>
      <c r="AF134" s="273" t="str">
        <f ca="1">"Cumm.= "&amp;TEXT((SUM($F133:AF133)),"0.0%")</f>
        <v>Cumm.= 339.8%</v>
      </c>
      <c r="AG134" s="273" t="str">
        <f ca="1">"Cumm.= "&amp;TEXT((SUM($F133:AG133)),"0.0%")</f>
        <v>Cumm.= 358.5%</v>
      </c>
      <c r="AH134" s="273" t="str">
        <f ca="1">"Cumm.= "&amp;TEXT((SUM($F133:AH133)),"0.0%")</f>
        <v>Cumm.= 378.2%</v>
      </c>
      <c r="AI134" s="273" t="str">
        <f ca="1">"Cumm.= "&amp;TEXT((SUM($F133:AI133)),"0.0%")</f>
        <v>Cumm.= 399.2%</v>
      </c>
      <c r="AJ134" s="273" t="str">
        <f ca="1">"Cumm.= "&amp;TEXT((SUM($F133:AJ133)),"0.0%")</f>
        <v>Cumm.= 840.4%</v>
      </c>
      <c r="AK134" s="535"/>
      <c r="AL134" s="535"/>
      <c r="AM134" s="535"/>
      <c r="AN134" s="535"/>
      <c r="AO134" s="535"/>
      <c r="AP134" s="535"/>
      <c r="AQ134" s="535"/>
      <c r="AR134" s="535"/>
      <c r="AS134" s="535"/>
      <c r="AT134" s="535"/>
      <c r="AU134" s="535"/>
      <c r="AV134" s="535"/>
      <c r="AW134" s="535"/>
      <c r="AX134" s="535"/>
      <c r="AY134" s="535"/>
      <c r="AZ134" s="535"/>
      <c r="BA134" s="535"/>
      <c r="BB134" s="535"/>
      <c r="BC134" s="535"/>
      <c r="BD134" s="535"/>
      <c r="BE134" s="535"/>
      <c r="BF134" s="535"/>
      <c r="BG134" s="535"/>
      <c r="BH134" s="535"/>
      <c r="BI134" s="535"/>
      <c r="BJ134" s="535"/>
      <c r="BK134" s="535"/>
      <c r="BL134" s="535"/>
      <c r="BM134" s="535"/>
      <c r="BN134" s="535"/>
      <c r="BO134" s="535"/>
      <c r="BP134" s="535"/>
      <c r="BQ134" s="535"/>
      <c r="BR134" s="535"/>
      <c r="BS134" s="535"/>
      <c r="BT134" s="535"/>
      <c r="BU134" s="535"/>
      <c r="BV134" s="535"/>
      <c r="BW134" s="535"/>
      <c r="BX134" s="535"/>
      <c r="BY134" s="535"/>
      <c r="BZ134" s="535"/>
    </row>
    <row r="135" spans="2:78" x14ac:dyDescent="0.15">
      <c r="C135" s="11"/>
      <c r="D135" s="28"/>
      <c r="E135" s="534"/>
      <c r="F135" s="535"/>
      <c r="G135" s="535"/>
      <c r="H135" s="535"/>
      <c r="I135" s="535"/>
      <c r="J135" s="535"/>
      <c r="K135" s="535"/>
      <c r="L135" s="535"/>
      <c r="M135" s="535"/>
      <c r="N135" s="535"/>
      <c r="O135" s="535"/>
      <c r="P135" s="50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35"/>
      <c r="AM135" s="535"/>
      <c r="AN135" s="535"/>
      <c r="AO135" s="535"/>
      <c r="AP135" s="535"/>
      <c r="AQ135" s="535"/>
      <c r="AR135" s="535"/>
      <c r="AS135" s="535"/>
      <c r="AT135" s="535"/>
      <c r="AU135" s="535"/>
      <c r="AV135" s="535"/>
      <c r="AW135" s="535"/>
      <c r="AX135" s="535"/>
      <c r="AY135" s="535"/>
      <c r="AZ135" s="535"/>
      <c r="BA135" s="535"/>
      <c r="BB135" s="535"/>
      <c r="BC135" s="535"/>
      <c r="BD135" s="535"/>
      <c r="BE135" s="535"/>
      <c r="BF135" s="535"/>
      <c r="BG135" s="535"/>
      <c r="BH135" s="535"/>
      <c r="BI135" s="535"/>
      <c r="BJ135" s="535"/>
      <c r="BK135" s="535"/>
      <c r="BL135" s="535"/>
      <c r="BM135" s="535"/>
      <c r="BN135" s="535"/>
      <c r="BO135" s="535"/>
      <c r="BP135" s="535"/>
      <c r="BQ135" s="535"/>
      <c r="BR135" s="535"/>
      <c r="BS135" s="535"/>
      <c r="BT135" s="535"/>
      <c r="BU135" s="535"/>
      <c r="BV135" s="535"/>
      <c r="BW135" s="535"/>
      <c r="BX135" s="535"/>
      <c r="BY135" s="535"/>
      <c r="BZ135" s="535"/>
    </row>
    <row r="136" spans="2:78" x14ac:dyDescent="0.15">
      <c r="C136" s="505" t="s">
        <v>337</v>
      </c>
      <c r="D136" s="12">
        <f ca="1">SUM(F130:J130)</f>
        <v>3013061.9456608864</v>
      </c>
      <c r="E136" s="534"/>
      <c r="F136" s="535"/>
      <c r="G136" s="535"/>
      <c r="H136" s="535"/>
      <c r="I136" s="535"/>
      <c r="J136" s="535"/>
      <c r="K136" s="535"/>
      <c r="L136" s="535"/>
      <c r="M136" s="535"/>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5"/>
      <c r="AL136" s="535"/>
      <c r="AM136" s="535"/>
      <c r="AN136" s="535"/>
      <c r="AO136" s="535"/>
      <c r="AP136" s="535"/>
      <c r="AQ136" s="535"/>
      <c r="AR136" s="535"/>
      <c r="AS136" s="535"/>
      <c r="AT136" s="535"/>
      <c r="AU136" s="535"/>
      <c r="AV136" s="535"/>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5"/>
      <c r="BZ136" s="535"/>
    </row>
    <row r="137" spans="2:78" x14ac:dyDescent="0.15">
      <c r="C137" s="505" t="s">
        <v>338</v>
      </c>
      <c r="D137" s="12">
        <f ca="1">SUM(F131:J131)</f>
        <v>57732.540263833362</v>
      </c>
      <c r="E137" s="534"/>
      <c r="F137" s="535"/>
      <c r="G137" s="535"/>
      <c r="H137" s="535"/>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5"/>
      <c r="BZ137" s="535"/>
    </row>
    <row r="138" spans="2:78" x14ac:dyDescent="0.15">
      <c r="C138" s="14"/>
      <c r="D138" s="28"/>
      <c r="E138" s="50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35"/>
      <c r="AM138" s="535"/>
      <c r="AN138" s="535"/>
      <c r="AO138" s="535"/>
      <c r="AP138" s="535"/>
      <c r="AQ138" s="535"/>
      <c r="AR138" s="535"/>
      <c r="AS138" s="535"/>
      <c r="AT138" s="535"/>
      <c r="AU138" s="535"/>
      <c r="AV138" s="535"/>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5"/>
      <c r="BZ138" s="535"/>
    </row>
    <row r="139" spans="2:78" x14ac:dyDescent="0.15">
      <c r="C139" s="11" t="s">
        <v>339</v>
      </c>
      <c r="D139" s="28"/>
      <c r="E139" s="505"/>
      <c r="F139" s="535"/>
      <c r="G139" s="535"/>
      <c r="H139" s="535"/>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35"/>
      <c r="AM139" s="535"/>
      <c r="AN139" s="535"/>
      <c r="AO139" s="535"/>
      <c r="AP139" s="535"/>
      <c r="AQ139" s="535"/>
      <c r="AR139" s="535"/>
      <c r="AS139" s="535"/>
      <c r="AT139" s="535"/>
      <c r="AU139" s="535"/>
      <c r="AV139" s="535"/>
      <c r="AW139" s="535"/>
      <c r="AX139" s="535"/>
      <c r="AY139" s="535"/>
      <c r="AZ139" s="535"/>
      <c r="BA139" s="535"/>
      <c r="BB139" s="535"/>
      <c r="BC139" s="535"/>
      <c r="BD139" s="535"/>
      <c r="BE139" s="535"/>
      <c r="BF139" s="535"/>
      <c r="BG139" s="535"/>
      <c r="BH139" s="535"/>
      <c r="BI139" s="535"/>
      <c r="BJ139" s="535"/>
      <c r="BK139" s="535"/>
      <c r="BL139" s="535"/>
      <c r="BM139" s="535"/>
      <c r="BN139" s="535"/>
      <c r="BO139" s="535"/>
      <c r="BP139" s="535"/>
      <c r="BQ139" s="535"/>
      <c r="BR139" s="535"/>
      <c r="BS139" s="535"/>
      <c r="BT139" s="535"/>
      <c r="BU139" s="535"/>
      <c r="BV139" s="535"/>
      <c r="BW139" s="535"/>
      <c r="BX139" s="535"/>
      <c r="BY139" s="535"/>
      <c r="BZ139" s="535"/>
    </row>
    <row r="140" spans="2:78" x14ac:dyDescent="0.15">
      <c r="C140" s="508" t="s">
        <v>340</v>
      </c>
      <c r="E140" s="544"/>
      <c r="F140" s="12">
        <f>(IF(N5="Yes",-(MIN(-E130,Notes!D83)),-Notes!D83))-(ResAssets/27.5)-(CommAssets/39)</f>
        <v>-2744818.1818181816</v>
      </c>
      <c r="G140" s="12">
        <f t="shared" ref="G140:AF140" si="264">(-ResAssets/27.5)+(-CommAssets/39)</f>
        <v>-39818.181818181816</v>
      </c>
      <c r="H140" s="12">
        <f t="shared" si="264"/>
        <v>-39818.181818181816</v>
      </c>
      <c r="I140" s="12">
        <f t="shared" si="264"/>
        <v>-39818.181818181816</v>
      </c>
      <c r="J140" s="12">
        <f t="shared" si="264"/>
        <v>-39818.181818181816</v>
      </c>
      <c r="K140" s="12">
        <f t="shared" si="264"/>
        <v>-39818.181818181816</v>
      </c>
      <c r="L140" s="12">
        <f t="shared" si="264"/>
        <v>-39818.181818181816</v>
      </c>
      <c r="M140" s="12">
        <f t="shared" si="264"/>
        <v>-39818.181818181816</v>
      </c>
      <c r="N140" s="12">
        <f t="shared" si="264"/>
        <v>-39818.181818181816</v>
      </c>
      <c r="O140" s="12">
        <f t="shared" si="264"/>
        <v>-39818.181818181816</v>
      </c>
      <c r="P140" s="12">
        <f t="shared" si="264"/>
        <v>-39818.181818181816</v>
      </c>
      <c r="Q140" s="12">
        <f t="shared" si="264"/>
        <v>-39818.181818181816</v>
      </c>
      <c r="R140" s="12">
        <f t="shared" si="264"/>
        <v>-39818.181818181816</v>
      </c>
      <c r="S140" s="12">
        <f t="shared" si="264"/>
        <v>-39818.181818181816</v>
      </c>
      <c r="T140" s="12">
        <f t="shared" si="264"/>
        <v>-39818.181818181816</v>
      </c>
      <c r="U140" s="12">
        <f t="shared" si="264"/>
        <v>-39818.181818181816</v>
      </c>
      <c r="V140" s="12">
        <f t="shared" si="264"/>
        <v>-39818.181818181816</v>
      </c>
      <c r="W140" s="12">
        <f t="shared" si="264"/>
        <v>-39818.181818181816</v>
      </c>
      <c r="X140" s="12">
        <f t="shared" si="264"/>
        <v>-39818.181818181816</v>
      </c>
      <c r="Y140" s="12">
        <f t="shared" si="264"/>
        <v>-39818.181818181816</v>
      </c>
      <c r="Z140" s="12">
        <f t="shared" si="264"/>
        <v>-39818.181818181816</v>
      </c>
      <c r="AA140" s="12">
        <f t="shared" si="264"/>
        <v>-39818.181818181816</v>
      </c>
      <c r="AB140" s="12">
        <f t="shared" si="264"/>
        <v>-39818.181818181816</v>
      </c>
      <c r="AC140" s="12">
        <f t="shared" si="264"/>
        <v>-39818.181818181816</v>
      </c>
      <c r="AD140" s="12">
        <f t="shared" si="264"/>
        <v>-39818.181818181816</v>
      </c>
      <c r="AE140" s="12">
        <f t="shared" si="264"/>
        <v>-39818.181818181816</v>
      </c>
      <c r="AF140" s="12">
        <f t="shared" si="264"/>
        <v>-39818.181818181816</v>
      </c>
      <c r="AG140" s="12">
        <f>((-ResAssets/(27.5))/2)+(-CommAssets/39)</f>
        <v>-19909.090909090908</v>
      </c>
      <c r="AH140" s="12">
        <f>-CommAssets/39</f>
        <v>0</v>
      </c>
      <c r="AI140" s="12">
        <f>-CommAssets/39</f>
        <v>0</v>
      </c>
      <c r="AJ140" s="12">
        <f>-CommAssets/39</f>
        <v>0</v>
      </c>
      <c r="AK140" s="505"/>
      <c r="AL140" s="505"/>
      <c r="AM140" s="505"/>
      <c r="AN140" s="505"/>
      <c r="AO140" s="505"/>
      <c r="AP140" s="505"/>
      <c r="AQ140" s="505"/>
      <c r="AR140" s="505"/>
      <c r="AS140" s="505"/>
      <c r="AT140" s="505"/>
      <c r="AU140" s="505"/>
      <c r="AV140" s="505"/>
      <c r="AW140" s="505"/>
      <c r="AX140" s="505"/>
      <c r="AY140" s="505"/>
      <c r="AZ140" s="505"/>
      <c r="BA140" s="505"/>
      <c r="BB140" s="505"/>
      <c r="BC140" s="505"/>
      <c r="BD140" s="505"/>
      <c r="BE140" s="505"/>
      <c r="BF140" s="505"/>
      <c r="BG140" s="505"/>
      <c r="BH140" s="505"/>
      <c r="BI140" s="505"/>
      <c r="BJ140" s="505"/>
      <c r="BK140" s="505"/>
      <c r="BL140" s="505"/>
      <c r="BM140" s="505"/>
      <c r="BN140" s="505"/>
      <c r="BO140" s="505"/>
      <c r="BP140" s="505"/>
      <c r="BQ140" s="505"/>
      <c r="BR140" s="505"/>
      <c r="BS140" s="505"/>
      <c r="BT140" s="505"/>
      <c r="BU140" s="505"/>
      <c r="BV140" s="505"/>
      <c r="BW140" s="505"/>
      <c r="BX140" s="505"/>
      <c r="BY140" s="505"/>
      <c r="BZ140" s="505"/>
    </row>
    <row r="141" spans="2:78" x14ac:dyDescent="0.15">
      <c r="C141" s="114" t="s">
        <v>341</v>
      </c>
      <c r="D141" s="115"/>
      <c r="E141" s="116"/>
      <c r="F141" s="117">
        <f ca="1">F85-(F96)+F140</f>
        <v>-2734654.5334848482</v>
      </c>
      <c r="G141" s="117">
        <f ca="1">G85-(G96)+G140</f>
        <v>68278.749315151508</v>
      </c>
      <c r="H141" s="117">
        <f ca="1">H85-(H96)+H140</f>
        <v>164115.4117711515</v>
      </c>
      <c r="I141" s="117">
        <f ca="1">I85-(I96)+I140</f>
        <v>185313.34357882405</v>
      </c>
      <c r="J141" s="117">
        <f ca="1">J85-(J96)+J140</f>
        <v>207496.40385010949</v>
      </c>
      <c r="K141" s="117">
        <f t="shared" ref="K141:AJ141" ca="1" si="265">(K85-K96)+(K140/2)</f>
        <v>148079.15984584307</v>
      </c>
      <c r="L141" s="117">
        <f t="shared" ca="1" si="265"/>
        <v>172941.13529636795</v>
      </c>
      <c r="M141" s="117">
        <f t="shared" ca="1" si="265"/>
        <v>198967.19587109433</v>
      </c>
      <c r="N141" s="117">
        <f t="shared" ca="1" si="265"/>
        <v>226210.91401578314</v>
      </c>
      <c r="O141" s="117">
        <f t="shared" ca="1" si="265"/>
        <v>254728.38378309205</v>
      </c>
      <c r="P141" s="117">
        <f t="shared" ca="1" si="265"/>
        <v>284578.34500147513</v>
      </c>
      <c r="Q141" s="117">
        <f t="shared" ca="1" si="265"/>
        <v>315822.31391431822</v>
      </c>
      <c r="R141" s="117">
        <f t="shared" ca="1" si="265"/>
        <v>348524.72064660821</v>
      </c>
      <c r="S141" s="117">
        <f t="shared" ca="1" si="265"/>
        <v>382753.05387719499</v>
      </c>
      <c r="T141" s="117">
        <f t="shared" ca="1" si="265"/>
        <v>418578.01311675535</v>
      </c>
      <c r="U141" s="117">
        <f t="shared" ca="1" si="265"/>
        <v>456073.66901490622</v>
      </c>
      <c r="V141" s="117">
        <f t="shared" ca="1" si="265"/>
        <v>495317.6321447384</v>
      </c>
      <c r="W141" s="117">
        <f t="shared" ca="1" si="265"/>
        <v>536391.23073930794</v>
      </c>
      <c r="X141" s="117">
        <f t="shared" ca="1" si="265"/>
        <v>579379.69788254146</v>
      </c>
      <c r="Y141" s="117">
        <f t="shared" ca="1" si="265"/>
        <v>624372.3686866021</v>
      </c>
      <c r="Z141" s="117">
        <f t="shared" ca="1" si="265"/>
        <v>671462.88801919529</v>
      </c>
      <c r="AA141" s="117">
        <f t="shared" ca="1" si="265"/>
        <v>720749.4293776087</v>
      </c>
      <c r="AB141" s="117">
        <f t="shared" ca="1" si="265"/>
        <v>772334.92554169137</v>
      </c>
      <c r="AC141" s="117">
        <f t="shared" ca="1" si="265"/>
        <v>826327.311675512</v>
      </c>
      <c r="AD141" s="117">
        <f t="shared" ca="1" si="265"/>
        <v>882839.78158732608</v>
      </c>
      <c r="AE141" s="117">
        <f t="shared" ca="1" si="265"/>
        <v>941991.05789979466</v>
      </c>
      <c r="AF141" s="117">
        <f t="shared" ca="1" si="265"/>
        <v>1003905.6769273482</v>
      </c>
      <c r="AG141" s="117">
        <f t="shared" ca="1" si="265"/>
        <v>1078668.8345598422</v>
      </c>
      <c r="AH141" s="117">
        <f t="shared" ca="1" si="265"/>
        <v>1156463.0667750558</v>
      </c>
      <c r="AI141" s="117">
        <f t="shared" ca="1" si="265"/>
        <v>1227477.6748200243</v>
      </c>
      <c r="AJ141" s="117">
        <f t="shared" ca="1" si="265"/>
        <v>1301818.1687947151</v>
      </c>
      <c r="AK141" s="505"/>
      <c r="AL141" s="505"/>
      <c r="AM141" s="505"/>
      <c r="AN141" s="505"/>
      <c r="AO141" s="505"/>
      <c r="AP141" s="505"/>
      <c r="AQ141" s="505"/>
      <c r="AR141" s="505"/>
      <c r="AS141" s="505"/>
      <c r="AT141" s="505"/>
      <c r="AU141" s="505"/>
      <c r="AV141" s="505"/>
      <c r="AW141" s="505"/>
      <c r="AX141" s="505"/>
      <c r="AY141" s="505"/>
      <c r="AZ141" s="505"/>
      <c r="BA141" s="505"/>
      <c r="BB141" s="505"/>
      <c r="BC141" s="505"/>
      <c r="BD141" s="505"/>
      <c r="BE141" s="505"/>
      <c r="BF141" s="505"/>
      <c r="BG141" s="505"/>
      <c r="BH141" s="505"/>
      <c r="BI141" s="505"/>
      <c r="BJ141" s="505"/>
      <c r="BK141" s="505"/>
      <c r="BL141" s="505"/>
      <c r="BM141" s="505"/>
      <c r="BN141" s="505"/>
      <c r="BO141" s="505"/>
      <c r="BP141" s="505"/>
      <c r="BQ141" s="505"/>
      <c r="BR141" s="505"/>
      <c r="BS141" s="505"/>
      <c r="BT141" s="505"/>
      <c r="BU141" s="505"/>
      <c r="BV141" s="505"/>
      <c r="BW141" s="505"/>
      <c r="BX141" s="505"/>
      <c r="BY141" s="505"/>
      <c r="BZ141" s="505"/>
    </row>
    <row r="142" spans="2:78" x14ac:dyDescent="0.15">
      <c r="C142" s="508" t="s">
        <v>342</v>
      </c>
      <c r="D142" s="71">
        <v>0.4</v>
      </c>
      <c r="E142" s="540"/>
      <c r="F142" s="12">
        <f>-F140*$D$142</f>
        <v>1097927.2727272727</v>
      </c>
      <c r="G142" s="12">
        <f t="shared" ref="G142:AH142" si="266">-G140*$D$142</f>
        <v>15927.272727272728</v>
      </c>
      <c r="H142" s="12">
        <f t="shared" si="266"/>
        <v>15927.272727272728</v>
      </c>
      <c r="I142" s="12">
        <f t="shared" si="266"/>
        <v>15927.272727272728</v>
      </c>
      <c r="J142" s="12">
        <f t="shared" si="266"/>
        <v>15927.272727272728</v>
      </c>
      <c r="K142" s="12">
        <f t="shared" si="266"/>
        <v>15927.272727272728</v>
      </c>
      <c r="L142" s="12">
        <f t="shared" si="266"/>
        <v>15927.272727272728</v>
      </c>
      <c r="M142" s="12">
        <f t="shared" si="266"/>
        <v>15927.272727272728</v>
      </c>
      <c r="N142" s="12">
        <f t="shared" si="266"/>
        <v>15927.272727272728</v>
      </c>
      <c r="O142" s="12">
        <f t="shared" si="266"/>
        <v>15927.272727272728</v>
      </c>
      <c r="P142" s="12">
        <f t="shared" si="266"/>
        <v>15927.272727272728</v>
      </c>
      <c r="Q142" s="12">
        <f t="shared" si="266"/>
        <v>15927.272727272728</v>
      </c>
      <c r="R142" s="12">
        <f t="shared" si="266"/>
        <v>15927.272727272728</v>
      </c>
      <c r="S142" s="12">
        <f t="shared" si="266"/>
        <v>15927.272727272728</v>
      </c>
      <c r="T142" s="12">
        <f t="shared" si="266"/>
        <v>15927.272727272728</v>
      </c>
      <c r="U142" s="12">
        <f t="shared" si="266"/>
        <v>15927.272727272728</v>
      </c>
      <c r="V142" s="12">
        <f t="shared" si="266"/>
        <v>15927.272727272728</v>
      </c>
      <c r="W142" s="12">
        <f t="shared" si="266"/>
        <v>15927.272727272728</v>
      </c>
      <c r="X142" s="12">
        <f t="shared" si="266"/>
        <v>15927.272727272728</v>
      </c>
      <c r="Y142" s="12">
        <f t="shared" si="266"/>
        <v>15927.272727272728</v>
      </c>
      <c r="Z142" s="12">
        <f t="shared" si="266"/>
        <v>15927.272727272728</v>
      </c>
      <c r="AA142" s="12">
        <f t="shared" si="266"/>
        <v>15927.272727272728</v>
      </c>
      <c r="AB142" s="12">
        <f t="shared" si="266"/>
        <v>15927.272727272728</v>
      </c>
      <c r="AC142" s="12">
        <f t="shared" si="266"/>
        <v>15927.272727272728</v>
      </c>
      <c r="AD142" s="12">
        <f t="shared" si="266"/>
        <v>15927.272727272728</v>
      </c>
      <c r="AE142" s="12">
        <f t="shared" si="266"/>
        <v>15927.272727272728</v>
      </c>
      <c r="AF142" s="12">
        <f t="shared" si="266"/>
        <v>15927.272727272728</v>
      </c>
      <c r="AG142" s="12">
        <f t="shared" si="266"/>
        <v>7963.636363636364</v>
      </c>
      <c r="AH142" s="12">
        <f t="shared" si="266"/>
        <v>0</v>
      </c>
      <c r="AI142" s="12">
        <f t="shared" ref="AI142:AJ142" si="267">-AI140*$D$142</f>
        <v>0</v>
      </c>
      <c r="AJ142" s="12">
        <f t="shared" si="267"/>
        <v>0</v>
      </c>
      <c r="AK142" s="505"/>
      <c r="AL142" s="505"/>
      <c r="AM142" s="505"/>
      <c r="AN142" s="505"/>
      <c r="AO142" s="505"/>
      <c r="AP142" s="505"/>
      <c r="AQ142" s="505"/>
      <c r="AR142" s="505"/>
      <c r="AS142" s="505"/>
      <c r="AT142" s="505"/>
      <c r="AU142" s="505"/>
      <c r="AV142" s="505"/>
      <c r="AW142" s="505"/>
      <c r="AX142" s="505"/>
      <c r="AY142" s="505"/>
      <c r="AZ142" s="505"/>
      <c r="BA142" s="505"/>
      <c r="BB142" s="505"/>
      <c r="BC142" s="505"/>
      <c r="BD142" s="505"/>
      <c r="BE142" s="505"/>
      <c r="BF142" s="505"/>
      <c r="BG142" s="505"/>
      <c r="BH142" s="505"/>
      <c r="BI142" s="505"/>
      <c r="BJ142" s="505"/>
      <c r="BK142" s="505"/>
      <c r="BL142" s="505"/>
      <c r="BM142" s="505"/>
      <c r="BN142" s="505"/>
      <c r="BO142" s="505"/>
      <c r="BP142" s="505"/>
      <c r="BQ142" s="505"/>
      <c r="BR142" s="505"/>
      <c r="BS142" s="505"/>
      <c r="BT142" s="505"/>
      <c r="BU142" s="505"/>
      <c r="BV142" s="505"/>
      <c r="BW142" s="505"/>
      <c r="BX142" s="505"/>
      <c r="BY142" s="505"/>
      <c r="BZ142" s="505"/>
    </row>
    <row r="143" spans="2:78" x14ac:dyDescent="0.15">
      <c r="C143" s="508" t="s">
        <v>343</v>
      </c>
      <c r="D143" s="72"/>
      <c r="E143" s="142">
        <f>E130</f>
        <v>-2419999.5</v>
      </c>
      <c r="F143" s="142">
        <f t="shared" ref="F143:AH143" ca="1" si="268">F130+F142</f>
        <v>1260910.9210606061</v>
      </c>
      <c r="G143" s="142">
        <f t="shared" ca="1" si="268"/>
        <v>297503.20386060607</v>
      </c>
      <c r="H143" s="142">
        <f t="shared" ca="1" si="268"/>
        <v>362194.74760191224</v>
      </c>
      <c r="I143" s="142">
        <f t="shared" ca="1" si="268"/>
        <v>381357.68330703233</v>
      </c>
      <c r="J143" s="142">
        <f t="shared" ca="1" si="268"/>
        <v>1872731.753467093</v>
      </c>
      <c r="K143" s="142">
        <f t="shared" ca="1" si="268"/>
        <v>163660.28843681343</v>
      </c>
      <c r="L143" s="142">
        <f t="shared" ca="1" si="268"/>
        <v>174574.43387241292</v>
      </c>
      <c r="M143" s="142">
        <f t="shared" ca="1" si="268"/>
        <v>185970.58928119804</v>
      </c>
      <c r="N143" s="142">
        <f t="shared" ca="1" si="268"/>
        <v>197868.94394521145</v>
      </c>
      <c r="O143" s="142">
        <f t="shared" ca="1" si="268"/>
        <v>210290.51289543966</v>
      </c>
      <c r="P143" s="142">
        <f t="shared" ca="1" si="268"/>
        <v>136517.67030532451</v>
      </c>
      <c r="Q143" s="142">
        <f t="shared" ca="1" si="268"/>
        <v>150052.18422728512</v>
      </c>
      <c r="R143" s="142">
        <f t="shared" ca="1" si="268"/>
        <v>164178.2527261184</v>
      </c>
      <c r="S143" s="142">
        <f t="shared" ca="1" si="268"/>
        <v>178920.54146529853</v>
      </c>
      <c r="T143" s="142">
        <f t="shared" ca="1" si="268"/>
        <v>194304.72280444801</v>
      </c>
      <c r="U143" s="142">
        <f t="shared" ca="1" si="268"/>
        <v>210357.51646857327</v>
      </c>
      <c r="V143" s="142">
        <f t="shared" ca="1" si="268"/>
        <v>227106.73185210142</v>
      </c>
      <c r="W143" s="142">
        <f t="shared" ca="1" si="268"/>
        <v>244581.31202326532</v>
      </c>
      <c r="X143" s="142">
        <f t="shared" ca="1" si="268"/>
        <v>262811.37949701666</v>
      </c>
      <c r="Y143" s="142">
        <f t="shared" ca="1" si="268"/>
        <v>281828.28384737344</v>
      </c>
      <c r="Z143" s="142">
        <f t="shared" ca="1" si="268"/>
        <v>301664.65123295324</v>
      </c>
      <c r="AA143" s="142">
        <f t="shared" ca="1" si="268"/>
        <v>322354.43591238884</v>
      </c>
      <c r="AB143" s="142">
        <f t="shared" ca="1" si="268"/>
        <v>343932.97382940335</v>
      </c>
      <c r="AC143" s="142">
        <f t="shared" ca="1" si="268"/>
        <v>366437.03835050779</v>
      </c>
      <c r="AD143" s="142">
        <f t="shared" ca="1" si="268"/>
        <v>389904.89824161422</v>
      </c>
      <c r="AE143" s="142">
        <f t="shared" ca="1" si="268"/>
        <v>414376.37797330564</v>
      </c>
      <c r="AF143" s="142">
        <f t="shared" ca="1" si="268"/>
        <v>439892.92044810439</v>
      </c>
      <c r="AG143" s="142">
        <f t="shared" ca="1" si="268"/>
        <v>458534.01588317496</v>
      </c>
      <c r="AH143" s="142">
        <f t="shared" ca="1" si="268"/>
        <v>478308.17876760871</v>
      </c>
      <c r="AI143" s="142">
        <f t="shared" ref="AI143:AJ143" ca="1" si="269">AI130+AI142</f>
        <v>507225.74572656467</v>
      </c>
      <c r="AJ143" s="142">
        <f t="shared" ca="1" si="269"/>
        <v>10676369.982284524</v>
      </c>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row>
    <row r="144" spans="2:78" x14ac:dyDescent="0.15">
      <c r="C144" s="73" t="s">
        <v>344</v>
      </c>
      <c r="D144" s="37">
        <f ca="1">IRR(E143:AJ143)</f>
        <v>0.24826428747827878</v>
      </c>
      <c r="E144" s="505"/>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505"/>
      <c r="AL144" s="505"/>
      <c r="AM144" s="505"/>
      <c r="AN144" s="505"/>
      <c r="AO144" s="505"/>
      <c r="AP144" s="505"/>
      <c r="AQ144" s="505"/>
      <c r="AR144" s="505"/>
      <c r="AS144" s="505"/>
      <c r="AT144" s="505"/>
      <c r="AU144" s="505"/>
      <c r="AV144" s="505"/>
      <c r="AW144" s="505"/>
      <c r="AX144" s="505"/>
      <c r="AY144" s="505"/>
      <c r="AZ144" s="505"/>
      <c r="BA144" s="505"/>
      <c r="BB144" s="505"/>
      <c r="BC144" s="505"/>
      <c r="BD144" s="505"/>
      <c r="BE144" s="505"/>
      <c r="BF144" s="505"/>
      <c r="BG144" s="505"/>
      <c r="BH144" s="505"/>
      <c r="BI144" s="505"/>
      <c r="BJ144" s="505"/>
      <c r="BK144" s="505"/>
      <c r="BL144" s="505"/>
      <c r="BM144" s="505"/>
      <c r="BN144" s="505"/>
      <c r="BO144" s="505"/>
      <c r="BP144" s="505"/>
      <c r="BQ144" s="505"/>
      <c r="BR144" s="505"/>
      <c r="BS144" s="505"/>
      <c r="BT144" s="505"/>
      <c r="BU144" s="505"/>
      <c r="BV144" s="505"/>
      <c r="BW144" s="505"/>
      <c r="BX144" s="505"/>
      <c r="BY144" s="505"/>
      <c r="BZ144" s="505"/>
    </row>
    <row r="145" spans="1:36" x14ac:dyDescent="0.15">
      <c r="A145" s="505"/>
      <c r="C145" s="505"/>
      <c r="E145" s="505"/>
      <c r="F145" s="13"/>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row>
    <row r="146" spans="1:36" x14ac:dyDescent="0.15">
      <c r="A146" s="505"/>
      <c r="C146" s="505"/>
      <c r="E146" s="505"/>
      <c r="F146" s="505"/>
      <c r="G146" s="505"/>
      <c r="H146" s="505"/>
      <c r="I146" s="505"/>
      <c r="J146" s="545"/>
      <c r="K146" s="546"/>
      <c r="L146" s="546"/>
      <c r="M146" s="546"/>
      <c r="N146" s="546"/>
      <c r="O146" s="546"/>
      <c r="P146" s="546"/>
      <c r="Q146" s="546"/>
      <c r="R146" s="546"/>
      <c r="S146" s="546"/>
      <c r="T146" s="546"/>
      <c r="U146" s="546"/>
      <c r="V146" s="546"/>
      <c r="W146" s="546"/>
      <c r="X146" s="546"/>
      <c r="Y146" s="546"/>
      <c r="Z146" s="546"/>
      <c r="AA146" s="546"/>
      <c r="AB146" s="546"/>
      <c r="AC146" s="505"/>
      <c r="AD146" s="505"/>
      <c r="AE146" s="505"/>
      <c r="AF146" s="505"/>
      <c r="AG146" s="505"/>
      <c r="AH146" s="505"/>
      <c r="AI146" s="505"/>
      <c r="AJ146" s="505"/>
    </row>
    <row r="147" spans="1:36" x14ac:dyDescent="0.15">
      <c r="A147" s="505"/>
      <c r="C147" s="505"/>
      <c r="E147" s="505"/>
      <c r="F147" s="505"/>
      <c r="G147" s="505"/>
      <c r="H147" s="505"/>
      <c r="I147" s="505"/>
      <c r="J147" s="545"/>
      <c r="K147" s="546"/>
      <c r="L147" s="546"/>
      <c r="M147" s="546"/>
      <c r="N147" s="546"/>
      <c r="O147" s="546"/>
      <c r="P147" s="546"/>
      <c r="Q147" s="546"/>
      <c r="R147" s="546"/>
      <c r="S147" s="546"/>
      <c r="T147" s="546"/>
      <c r="U147" s="546"/>
      <c r="V147" s="546"/>
      <c r="W147" s="546"/>
      <c r="X147" s="546"/>
      <c r="Y147" s="546"/>
      <c r="Z147" s="546"/>
      <c r="AA147" s="546"/>
      <c r="AB147" s="546"/>
      <c r="AC147" s="505"/>
      <c r="AD147" s="505"/>
      <c r="AE147" s="505"/>
      <c r="AF147" s="505"/>
      <c r="AG147" s="505"/>
      <c r="AH147" s="505"/>
      <c r="AI147" s="505"/>
      <c r="AJ147" s="505"/>
    </row>
    <row r="148" spans="1:36" x14ac:dyDescent="0.15">
      <c r="A148" s="505"/>
      <c r="C148" s="505"/>
      <c r="E148" s="505"/>
      <c r="F148" s="505"/>
      <c r="G148" s="505"/>
      <c r="H148" s="505"/>
      <c r="I148" s="505"/>
      <c r="J148" s="545"/>
      <c r="K148" s="546"/>
      <c r="L148" s="546"/>
      <c r="M148" s="546"/>
      <c r="N148" s="546"/>
      <c r="O148" s="546"/>
      <c r="P148" s="546"/>
      <c r="Q148" s="546"/>
      <c r="R148" s="546"/>
      <c r="S148" s="546"/>
      <c r="T148" s="546"/>
      <c r="U148" s="546"/>
      <c r="V148" s="546"/>
      <c r="W148" s="546"/>
      <c r="X148" s="546"/>
      <c r="Y148" s="546"/>
      <c r="Z148" s="546"/>
      <c r="AA148" s="546"/>
      <c r="AB148" s="546"/>
      <c r="AC148" s="505"/>
      <c r="AD148" s="505"/>
      <c r="AE148" s="505"/>
      <c r="AF148" s="505"/>
      <c r="AG148" s="505"/>
      <c r="AH148" s="505"/>
      <c r="AI148" s="505"/>
      <c r="AJ148" s="505"/>
    </row>
    <row r="149" spans="1:36" x14ac:dyDescent="0.15">
      <c r="A149" s="505"/>
      <c r="C149" s="505"/>
      <c r="E149" s="505"/>
      <c r="F149" s="505"/>
      <c r="G149" s="505"/>
      <c r="H149" s="505"/>
      <c r="I149" s="505"/>
      <c r="J149" s="545"/>
      <c r="K149" s="546"/>
      <c r="L149" s="546"/>
      <c r="M149" s="546"/>
      <c r="N149" s="546"/>
      <c r="O149" s="546"/>
      <c r="P149" s="546"/>
      <c r="Q149" s="546"/>
      <c r="R149" s="546"/>
      <c r="S149" s="546"/>
      <c r="T149" s="546"/>
      <c r="U149" s="546"/>
      <c r="V149" s="546"/>
      <c r="W149" s="546"/>
      <c r="X149" s="546"/>
      <c r="Y149" s="546"/>
      <c r="Z149" s="546"/>
      <c r="AA149" s="546"/>
      <c r="AB149" s="546"/>
      <c r="AC149" s="505"/>
      <c r="AD149" s="505"/>
      <c r="AE149" s="505"/>
      <c r="AF149" s="505"/>
      <c r="AG149" s="505"/>
      <c r="AH149" s="505"/>
      <c r="AI149" s="505"/>
      <c r="AJ149" s="505"/>
    </row>
    <row r="150" spans="1:36" x14ac:dyDescent="0.15">
      <c r="A150" s="505"/>
      <c r="C150" s="505"/>
      <c r="E150" s="505"/>
      <c r="F150" s="505"/>
      <c r="G150" s="505"/>
      <c r="H150" s="505"/>
      <c r="I150" s="505"/>
      <c r="J150" s="545"/>
      <c r="K150" s="546"/>
      <c r="L150" s="546"/>
      <c r="M150" s="546"/>
      <c r="N150" s="546"/>
      <c r="O150" s="546"/>
      <c r="P150" s="546"/>
      <c r="Q150" s="546"/>
      <c r="R150" s="546"/>
      <c r="S150" s="546"/>
      <c r="T150" s="546"/>
      <c r="U150" s="546"/>
      <c r="V150" s="546"/>
      <c r="W150" s="546"/>
      <c r="X150" s="546"/>
      <c r="Y150" s="546"/>
      <c r="Z150" s="546"/>
      <c r="AA150" s="546"/>
      <c r="AB150" s="546"/>
      <c r="AC150" s="505"/>
      <c r="AD150" s="505"/>
      <c r="AE150" s="505"/>
      <c r="AF150" s="505"/>
      <c r="AG150" s="505"/>
      <c r="AH150" s="505"/>
      <c r="AI150" s="505"/>
      <c r="AJ150" s="505"/>
    </row>
    <row r="151" spans="1:36" x14ac:dyDescent="0.15">
      <c r="A151" s="505"/>
      <c r="C151" s="505"/>
      <c r="E151" s="505"/>
      <c r="F151" s="505"/>
      <c r="G151" s="505"/>
      <c r="H151" s="505"/>
      <c r="I151" s="505"/>
      <c r="J151" s="545"/>
      <c r="K151" s="546"/>
      <c r="L151" s="546"/>
      <c r="M151" s="546"/>
      <c r="N151" s="546"/>
      <c r="O151" s="546"/>
      <c r="P151" s="546"/>
      <c r="Q151" s="546"/>
      <c r="R151" s="546"/>
      <c r="S151" s="546"/>
      <c r="T151" s="546"/>
      <c r="U151" s="546"/>
      <c r="V151" s="546"/>
      <c r="W151" s="546"/>
      <c r="X151" s="546"/>
      <c r="Y151" s="546"/>
      <c r="Z151" s="546"/>
      <c r="AA151" s="546"/>
      <c r="AB151" s="546"/>
      <c r="AC151" s="505"/>
      <c r="AD151" s="505"/>
      <c r="AE151" s="505"/>
      <c r="AF151" s="505"/>
      <c r="AG151" s="505"/>
      <c r="AH151" s="505"/>
      <c r="AI151" s="505"/>
      <c r="AJ151" s="505"/>
    </row>
    <row r="152" spans="1:36" x14ac:dyDescent="0.15">
      <c r="A152" s="505"/>
      <c r="C152" s="505"/>
      <c r="E152" s="505"/>
      <c r="F152" s="505"/>
      <c r="G152" s="505"/>
      <c r="H152" s="505"/>
      <c r="I152" s="505"/>
      <c r="J152" s="545"/>
      <c r="K152" s="546"/>
      <c r="L152" s="546"/>
      <c r="M152" s="546"/>
      <c r="N152" s="546"/>
      <c r="O152" s="546"/>
      <c r="P152" s="546"/>
      <c r="Q152" s="546"/>
      <c r="R152" s="546"/>
      <c r="S152" s="546"/>
      <c r="T152" s="546"/>
      <c r="U152" s="546"/>
      <c r="V152" s="546"/>
      <c r="W152" s="546"/>
      <c r="X152" s="546"/>
      <c r="Y152" s="546"/>
      <c r="Z152" s="546"/>
      <c r="AA152" s="546"/>
      <c r="AB152" s="546"/>
      <c r="AC152" s="505"/>
      <c r="AD152" s="505"/>
      <c r="AE152" s="505"/>
      <c r="AF152" s="505"/>
      <c r="AG152" s="505"/>
      <c r="AH152" s="505"/>
      <c r="AI152" s="505"/>
      <c r="AJ152" s="505"/>
    </row>
    <row r="153" spans="1:36" x14ac:dyDescent="0.15">
      <c r="A153" s="505"/>
      <c r="C153" s="505"/>
      <c r="E153" s="505"/>
      <c r="F153" s="505"/>
      <c r="G153" s="505"/>
      <c r="H153" s="505"/>
      <c r="I153" s="505"/>
      <c r="J153" s="545"/>
      <c r="K153" s="546"/>
      <c r="L153" s="546"/>
      <c r="M153" s="546"/>
      <c r="N153" s="546"/>
      <c r="O153" s="546"/>
      <c r="P153" s="546"/>
      <c r="Q153" s="546"/>
      <c r="R153" s="546"/>
      <c r="S153" s="546"/>
      <c r="T153" s="546"/>
      <c r="U153" s="546"/>
      <c r="V153" s="546"/>
      <c r="W153" s="546"/>
      <c r="X153" s="546"/>
      <c r="Y153" s="546"/>
      <c r="Z153" s="546"/>
      <c r="AA153" s="546"/>
      <c r="AB153" s="546"/>
      <c r="AC153" s="505"/>
      <c r="AD153" s="505"/>
      <c r="AE153" s="505"/>
      <c r="AF153" s="505"/>
      <c r="AG153" s="505"/>
      <c r="AH153" s="505"/>
      <c r="AI153" s="505"/>
      <c r="AJ153" s="505"/>
    </row>
    <row r="154" spans="1:36" x14ac:dyDescent="0.15">
      <c r="A154" s="505"/>
      <c r="C154" s="505"/>
      <c r="E154" s="505"/>
      <c r="F154" s="505"/>
      <c r="G154" s="505"/>
      <c r="H154" s="505"/>
      <c r="I154" s="505"/>
      <c r="J154" s="545"/>
      <c r="K154" s="546"/>
      <c r="L154" s="546"/>
      <c r="M154" s="546"/>
      <c r="N154" s="546"/>
      <c r="O154" s="546"/>
      <c r="P154" s="546"/>
      <c r="Q154" s="546"/>
      <c r="R154" s="546"/>
      <c r="S154" s="546"/>
      <c r="T154" s="546"/>
      <c r="U154" s="546"/>
      <c r="V154" s="546"/>
      <c r="W154" s="546"/>
      <c r="X154" s="546"/>
      <c r="Y154" s="546"/>
      <c r="Z154" s="546"/>
      <c r="AA154" s="546"/>
      <c r="AB154" s="546"/>
      <c r="AC154" s="505"/>
      <c r="AD154" s="505"/>
      <c r="AE154" s="505"/>
      <c r="AF154" s="505"/>
      <c r="AG154" s="505"/>
      <c r="AH154" s="505"/>
      <c r="AI154" s="505"/>
      <c r="AJ154" s="505"/>
    </row>
    <row r="155" spans="1:36" s="214" customFormat="1" x14ac:dyDescent="0.15">
      <c r="A155" s="761" t="s">
        <v>345</v>
      </c>
      <c r="B155" s="761"/>
      <c r="C155" s="761"/>
      <c r="D155" s="761"/>
      <c r="E155" s="761"/>
      <c r="F155" s="761"/>
      <c r="G155" s="761"/>
      <c r="H155" s="761"/>
      <c r="I155" s="761"/>
      <c r="J155" s="761"/>
      <c r="K155" s="761"/>
      <c r="L155" s="761"/>
      <c r="M155" s="761"/>
      <c r="N155" s="761"/>
      <c r="O155" s="761"/>
      <c r="P155" s="215"/>
      <c r="Q155" s="215"/>
      <c r="R155" s="215"/>
      <c r="S155" s="215"/>
      <c r="T155" s="215"/>
      <c r="U155" s="215"/>
      <c r="V155" s="547"/>
      <c r="W155" s="547"/>
      <c r="X155" s="547"/>
      <c r="Y155" s="547"/>
      <c r="Z155" s="547"/>
      <c r="AA155" s="547"/>
      <c r="AB155" s="547"/>
      <c r="AC155" s="547"/>
      <c r="AD155" s="547"/>
      <c r="AE155" s="547"/>
      <c r="AF155" s="547"/>
      <c r="AG155" s="547"/>
      <c r="AH155" s="547"/>
      <c r="AI155" s="547"/>
      <c r="AJ155" s="547"/>
    </row>
    <row r="156" spans="1:36" x14ac:dyDescent="0.15">
      <c r="A156" s="505"/>
      <c r="C156" s="505"/>
      <c r="E156" s="505"/>
      <c r="F156" s="15"/>
      <c r="G156" s="15"/>
      <c r="H156" s="505"/>
      <c r="I156" s="505"/>
      <c r="J156" s="15"/>
      <c r="K156" s="15"/>
      <c r="L156" s="15"/>
      <c r="M156" s="15"/>
      <c r="N156" s="15"/>
      <c r="O156" s="15"/>
      <c r="P156" s="15"/>
      <c r="Q156" s="15"/>
      <c r="R156" s="15"/>
      <c r="S156" s="15"/>
      <c r="T156" s="15"/>
      <c r="U156" s="15"/>
      <c r="V156" s="505"/>
      <c r="W156" s="505"/>
      <c r="X156" s="505"/>
      <c r="Y156" s="505"/>
      <c r="Z156" s="505"/>
      <c r="AA156" s="505"/>
      <c r="AB156" s="505"/>
      <c r="AC156" s="505"/>
      <c r="AD156" s="505"/>
      <c r="AE156" s="505"/>
      <c r="AF156" s="505"/>
      <c r="AG156" s="505"/>
      <c r="AH156" s="505"/>
      <c r="AI156" s="505"/>
      <c r="AJ156" s="505"/>
    </row>
    <row r="157" spans="1:36" ht="15" x14ac:dyDescent="0.2">
      <c r="A157" s="505"/>
      <c r="C157" s="763" t="s">
        <v>346</v>
      </c>
      <c r="D157" s="763"/>
      <c r="E157" s="763"/>
      <c r="F157" s="15"/>
      <c r="G157" s="505"/>
      <c r="H157" s="338" t="s">
        <v>347</v>
      </c>
      <c r="I157" s="339">
        <v>0.03</v>
      </c>
      <c r="J157" s="505"/>
      <c r="K157" s="505"/>
      <c r="L157" s="505"/>
      <c r="M157" s="505"/>
      <c r="N157" s="505"/>
      <c r="O157" s="505"/>
      <c r="P157" s="505"/>
      <c r="Q157" s="505"/>
      <c r="R157" s="505"/>
      <c r="S157" s="15"/>
      <c r="T157" s="15"/>
      <c r="U157" s="15"/>
      <c r="V157" s="505"/>
      <c r="W157" s="505"/>
      <c r="X157" s="505"/>
      <c r="Y157" s="505"/>
      <c r="Z157" s="505"/>
      <c r="AA157" s="505"/>
      <c r="AB157" s="505"/>
      <c r="AC157" s="505"/>
      <c r="AD157" s="505"/>
      <c r="AE157" s="505"/>
      <c r="AF157" s="505"/>
      <c r="AG157" s="505"/>
      <c r="AH157" s="505"/>
      <c r="AI157" s="505"/>
      <c r="AJ157" s="505"/>
    </row>
    <row r="158" spans="1:36" ht="14" thickBot="1" x14ac:dyDescent="0.2">
      <c r="A158" s="505"/>
      <c r="C158" s="505"/>
      <c r="D158" s="148" t="s">
        <v>348</v>
      </c>
      <c r="E158" s="149" t="s">
        <v>259</v>
      </c>
      <c r="F158" s="15"/>
      <c r="G158" s="505"/>
      <c r="H158" s="15"/>
      <c r="I158" s="15"/>
      <c r="J158" s="1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row>
    <row r="159" spans="1:36" x14ac:dyDescent="0.15">
      <c r="A159" s="505"/>
      <c r="C159" s="505" t="str">
        <f>+C41</f>
        <v>Net Rental Income</v>
      </c>
      <c r="D159" s="146">
        <f>+D29*NoOfSpaces*(1-G15)</f>
        <v>35685</v>
      </c>
      <c r="E159" s="536">
        <f>+D159*12</f>
        <v>428220</v>
      </c>
      <c r="F159" s="15"/>
      <c r="G159" s="505"/>
      <c r="H159" s="15"/>
      <c r="I159" s="15"/>
      <c r="J159" s="15"/>
      <c r="K159" s="15"/>
      <c r="L159" s="1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5"/>
      <c r="AI159" s="505"/>
      <c r="AJ159" s="505"/>
    </row>
    <row r="160" spans="1:36" x14ac:dyDescent="0.15">
      <c r="A160" s="505"/>
      <c r="C160" s="505" t="s">
        <v>258</v>
      </c>
      <c r="D160" s="147">
        <f>+D50/12</f>
        <v>957.83333333333337</v>
      </c>
      <c r="E160" s="536">
        <f t="shared" ref="E160:E162" si="270">+D160*12</f>
        <v>11494</v>
      </c>
      <c r="F160" s="15"/>
      <c r="G160" s="505"/>
      <c r="H160" s="15"/>
      <c r="I160" s="15"/>
      <c r="J160" s="15"/>
      <c r="K160" s="15"/>
      <c r="L160" s="1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5"/>
      <c r="AI160" s="505"/>
      <c r="AJ160" s="505"/>
    </row>
    <row r="161" spans="3:7" x14ac:dyDescent="0.15">
      <c r="C161" s="528" t="s">
        <v>349</v>
      </c>
      <c r="D161" s="147">
        <f>+E51/12</f>
        <v>0</v>
      </c>
      <c r="E161" s="536">
        <f t="shared" si="270"/>
        <v>0</v>
      </c>
      <c r="F161" s="15"/>
      <c r="G161" s="505"/>
    </row>
    <row r="162" spans="3:7" x14ac:dyDescent="0.15">
      <c r="C162" s="528" t="s">
        <v>350</v>
      </c>
      <c r="D162" s="745">
        <f>SUM(D159:D161)</f>
        <v>36642.833333333336</v>
      </c>
      <c r="E162" s="745">
        <f t="shared" si="270"/>
        <v>439714</v>
      </c>
      <c r="F162" s="505"/>
      <c r="G162" s="505"/>
    </row>
    <row r="163" spans="3:7" x14ac:dyDescent="0.15">
      <c r="C163" s="505" t="s">
        <v>351</v>
      </c>
      <c r="D163" s="543">
        <f ca="1">+F80</f>
        <v>20060.013333333332</v>
      </c>
      <c r="E163" s="536">
        <f ca="1">+D163*12</f>
        <v>240720.15999999997</v>
      </c>
      <c r="F163" s="505"/>
      <c r="G163" s="505"/>
    </row>
    <row r="164" spans="3:7" x14ac:dyDescent="0.15">
      <c r="C164" s="528" t="s">
        <v>352</v>
      </c>
      <c r="D164" s="606">
        <f ca="1">+D162-D163</f>
        <v>16582.820000000003</v>
      </c>
      <c r="E164" s="587">
        <f ca="1">+D164*12</f>
        <v>198993.84000000003</v>
      </c>
      <c r="F164" s="505"/>
      <c r="G164" s="341"/>
    </row>
    <row r="165" spans="3:7" x14ac:dyDescent="0.15">
      <c r="C165" s="505" t="s">
        <v>168</v>
      </c>
      <c r="D165" s="505"/>
      <c r="E165" s="548">
        <f ca="1">E164/D6</f>
        <v>3.7475302963776179E-2</v>
      </c>
      <c r="F165" s="505"/>
      <c r="G165" s="505"/>
    </row>
    <row r="166" spans="3:7" x14ac:dyDescent="0.15">
      <c r="C166" s="505"/>
      <c r="D166" s="505"/>
      <c r="E166" s="505"/>
      <c r="F166" s="505"/>
      <c r="G166" s="505"/>
    </row>
    <row r="167" spans="3:7" ht="15" x14ac:dyDescent="0.2">
      <c r="C167" s="763" t="s">
        <v>353</v>
      </c>
      <c r="D167" s="763"/>
      <c r="E167" s="763"/>
      <c r="F167" s="763"/>
      <c r="G167" s="505"/>
    </row>
    <row r="168" spans="3:7" ht="14" thickBot="1" x14ac:dyDescent="0.2">
      <c r="C168" s="11"/>
      <c r="D168" s="549" t="s">
        <v>204</v>
      </c>
      <c r="E168" s="549" t="s">
        <v>205</v>
      </c>
      <c r="F168" s="549" t="s">
        <v>206</v>
      </c>
      <c r="G168" s="505"/>
    </row>
    <row r="169" spans="3:7" x14ac:dyDescent="0.15">
      <c r="C169" s="505" t="s">
        <v>354</v>
      </c>
      <c r="D169" s="550">
        <f ca="1">E197</f>
        <v>0.11654357054132602</v>
      </c>
      <c r="E169" s="550">
        <f ca="1">E202</f>
        <v>0.12745803815215484</v>
      </c>
      <c r="F169" s="550">
        <f ca="1">E207</f>
        <v>0.1335808850101865</v>
      </c>
      <c r="G169" s="505"/>
    </row>
    <row r="170" spans="3:7" x14ac:dyDescent="0.15">
      <c r="C170" s="505" t="s">
        <v>355</v>
      </c>
      <c r="D170" s="550">
        <f ca="1">E241</f>
        <v>0.17272170503291817</v>
      </c>
      <c r="E170" s="550">
        <f ca="1">E294</f>
        <v>0.18964339177038103</v>
      </c>
      <c r="F170" s="550">
        <f ca="1">+E347</f>
        <v>0.20952945366216902</v>
      </c>
      <c r="G170" s="505"/>
    </row>
    <row r="171" spans="3:7" x14ac:dyDescent="0.15">
      <c r="C171" s="505" t="s">
        <v>219</v>
      </c>
      <c r="D171" s="550">
        <f ca="1">+E258</f>
        <v>0.11492499360877817</v>
      </c>
      <c r="E171" s="550">
        <f ca="1">+E311</f>
        <v>0.12930252627909411</v>
      </c>
      <c r="F171" s="550">
        <f ca="1">+E364</f>
        <v>0.15667048128000749</v>
      </c>
      <c r="G171" s="505"/>
    </row>
    <row r="172" spans="3:7" ht="12.75" customHeight="1" x14ac:dyDescent="0.15">
      <c r="C172" s="505" t="s">
        <v>356</v>
      </c>
      <c r="D172" s="551" t="str">
        <f ca="1">+TEXT(E259,"0.0")&amp;"x"</f>
        <v>1.4x</v>
      </c>
      <c r="E172" s="551" t="str">
        <f ca="1">+TEXT(E312,"0.0")&amp;"x"</f>
        <v>1.7x</v>
      </c>
      <c r="F172" s="551" t="str">
        <f ca="1">+TEXT(E365,"0.0")&amp;"x"</f>
        <v>2.4x</v>
      </c>
      <c r="G172" s="505"/>
    </row>
    <row r="173" spans="3:7" x14ac:dyDescent="0.15">
      <c r="C173" s="505" t="s">
        <v>357</v>
      </c>
      <c r="D173" s="524">
        <f ca="1">ROUND(E260,-3)</f>
        <v>3282000</v>
      </c>
      <c r="E173" s="524">
        <f ca="1">ROUND(E313,-3)</f>
        <v>4076000</v>
      </c>
      <c r="F173" s="524">
        <f ca="1">ROUND(E366,-3)</f>
        <v>5912000</v>
      </c>
      <c r="G173" s="341"/>
    </row>
    <row r="174" spans="3:7" x14ac:dyDescent="0.15">
      <c r="C174" s="505" t="s">
        <v>230</v>
      </c>
      <c r="D174" s="524">
        <f ca="1">ROUND(SUM(F255:H255),-3)</f>
        <v>511000</v>
      </c>
      <c r="E174" s="524">
        <f ca="1">ROUND(E314,-3)</f>
        <v>1121000</v>
      </c>
      <c r="F174" s="524">
        <f ca="1">ROUND(E367,-3)</f>
        <v>2957000</v>
      </c>
      <c r="G174" s="505"/>
    </row>
    <row r="175" spans="3:7" x14ac:dyDescent="0.15">
      <c r="C175" s="505"/>
      <c r="D175" s="505"/>
      <c r="E175" s="505"/>
      <c r="F175" s="505"/>
      <c r="G175" s="505"/>
    </row>
    <row r="176" spans="3:7" x14ac:dyDescent="0.15">
      <c r="C176" s="762"/>
      <c r="D176" s="762"/>
      <c r="E176" s="505"/>
      <c r="F176" s="15"/>
      <c r="G176" s="505"/>
    </row>
    <row r="177" spans="3:21" x14ac:dyDescent="0.15">
      <c r="C177" s="505"/>
      <c r="D177" s="528"/>
      <c r="E177" s="505"/>
      <c r="F177" s="15"/>
      <c r="G177" s="505"/>
      <c r="H177" s="505"/>
      <c r="I177" s="505"/>
      <c r="J177" s="505"/>
      <c r="K177" s="505"/>
      <c r="L177" s="505"/>
      <c r="M177" s="505"/>
      <c r="N177" s="505"/>
      <c r="O177" s="505"/>
      <c r="P177" s="505"/>
      <c r="Q177" s="505"/>
      <c r="R177" s="505"/>
      <c r="S177" s="505"/>
      <c r="T177" s="505"/>
      <c r="U177" s="505"/>
    </row>
    <row r="178" spans="3:21" x14ac:dyDescent="0.15">
      <c r="C178" s="505"/>
      <c r="D178" s="505"/>
      <c r="E178" s="505"/>
      <c r="F178" s="15"/>
      <c r="G178" s="15"/>
      <c r="H178" s="505"/>
      <c r="I178" s="505"/>
      <c r="J178" s="505"/>
      <c r="K178" s="505"/>
      <c r="L178" s="505"/>
      <c r="M178" s="505"/>
      <c r="N178" s="505"/>
      <c r="O178" s="505"/>
      <c r="P178" s="505"/>
      <c r="Q178" s="505"/>
      <c r="R178" s="505"/>
      <c r="S178" s="505"/>
      <c r="T178" s="505"/>
      <c r="U178" s="505"/>
    </row>
    <row r="179" spans="3:21" x14ac:dyDescent="0.15">
      <c r="C179" s="505"/>
      <c r="D179" s="505"/>
      <c r="E179" s="505"/>
      <c r="F179" s="15"/>
      <c r="G179" s="15"/>
      <c r="H179" s="15"/>
      <c r="I179" s="15"/>
      <c r="J179" s="15"/>
      <c r="K179" s="15"/>
      <c r="L179" s="15"/>
      <c r="M179" s="505"/>
      <c r="N179" s="505"/>
      <c r="O179" s="505"/>
      <c r="P179" s="505"/>
      <c r="Q179" s="505"/>
      <c r="R179" s="505"/>
      <c r="S179" s="505"/>
      <c r="T179" s="505"/>
      <c r="U179" s="505"/>
    </row>
    <row r="180" spans="3:21" x14ac:dyDescent="0.15">
      <c r="C180" s="505"/>
      <c r="D180" s="505"/>
      <c r="E180" s="505"/>
      <c r="F180" s="15"/>
      <c r="G180" s="15"/>
      <c r="H180" s="15"/>
      <c r="I180" s="15"/>
      <c r="J180" s="15"/>
      <c r="K180" s="15"/>
      <c r="L180" s="15"/>
      <c r="M180" s="505"/>
      <c r="N180" s="505"/>
      <c r="O180" s="505"/>
      <c r="P180" s="505"/>
      <c r="Q180" s="505"/>
      <c r="R180" s="505"/>
      <c r="S180" s="505"/>
      <c r="T180" s="505"/>
      <c r="U180" s="505"/>
    </row>
    <row r="181" spans="3:21" x14ac:dyDescent="0.15">
      <c r="C181" s="505"/>
      <c r="D181" s="505"/>
      <c r="E181" s="505"/>
      <c r="F181" s="15"/>
      <c r="G181" s="15"/>
      <c r="H181" s="15"/>
      <c r="I181" s="15"/>
      <c r="J181" s="15"/>
      <c r="K181" s="15"/>
      <c r="L181" s="15"/>
      <c r="M181" s="505"/>
      <c r="N181" s="505"/>
      <c r="O181" s="505"/>
      <c r="P181" s="505"/>
      <c r="Q181" s="505"/>
      <c r="R181" s="505"/>
      <c r="S181" s="505"/>
      <c r="T181" s="505"/>
      <c r="U181" s="505"/>
    </row>
    <row r="182" spans="3:21" x14ac:dyDescent="0.15">
      <c r="C182" s="505"/>
      <c r="D182" s="505"/>
      <c r="E182" s="505"/>
      <c r="F182" s="15"/>
      <c r="G182" s="15"/>
      <c r="H182" s="15"/>
      <c r="I182" s="15"/>
      <c r="J182" s="15"/>
      <c r="K182" s="15"/>
      <c r="L182" s="15"/>
      <c r="M182" s="505"/>
      <c r="N182" s="505"/>
      <c r="O182" s="505"/>
      <c r="P182" s="505"/>
      <c r="Q182" s="505"/>
      <c r="R182" s="505"/>
      <c r="S182" s="505"/>
      <c r="T182" s="505"/>
      <c r="U182" s="505"/>
    </row>
    <row r="183" spans="3:21" x14ac:dyDescent="0.15">
      <c r="C183" s="505"/>
      <c r="D183" s="505"/>
      <c r="E183" s="505"/>
      <c r="F183" s="15"/>
      <c r="G183" s="15"/>
      <c r="H183" s="15"/>
      <c r="I183" s="15"/>
      <c r="J183" s="15"/>
      <c r="K183" s="15"/>
      <c r="L183" s="15"/>
      <c r="M183" s="505"/>
      <c r="N183" s="505"/>
      <c r="O183" s="505"/>
      <c r="P183" s="505"/>
      <c r="Q183" s="505"/>
      <c r="R183" s="505"/>
      <c r="S183" s="505"/>
      <c r="T183" s="505"/>
      <c r="U183" s="505"/>
    </row>
    <row r="184" spans="3:21" x14ac:dyDescent="0.15">
      <c r="C184" s="505"/>
      <c r="D184" s="505"/>
      <c r="E184" s="505"/>
      <c r="F184" s="15"/>
      <c r="G184" s="15"/>
      <c r="H184" s="15"/>
      <c r="I184" s="15"/>
      <c r="J184" s="15"/>
      <c r="K184" s="15"/>
      <c r="L184" s="15"/>
      <c r="M184" s="505"/>
      <c r="N184" s="505"/>
      <c r="O184" s="505"/>
      <c r="P184" s="505"/>
      <c r="Q184" s="505"/>
      <c r="R184" s="505"/>
      <c r="S184" s="505"/>
      <c r="T184" s="505"/>
      <c r="U184" s="505"/>
    </row>
    <row r="185" spans="3:21" x14ac:dyDescent="0.15">
      <c r="C185" s="505"/>
      <c r="D185" s="505"/>
      <c r="E185" s="505"/>
      <c r="F185" s="15"/>
      <c r="G185" s="15"/>
      <c r="H185" s="318"/>
      <c r="I185" s="524"/>
      <c r="J185" s="524"/>
      <c r="K185" s="552"/>
      <c r="L185" s="524"/>
      <c r="M185" s="553"/>
      <c r="N185" s="524"/>
      <c r="O185" s="530"/>
      <c r="P185" s="530"/>
      <c r="Q185" s="15"/>
      <c r="R185" s="15"/>
      <c r="S185" s="15"/>
      <c r="T185" s="15"/>
      <c r="U185" s="15"/>
    </row>
    <row r="186" spans="3:21" x14ac:dyDescent="0.15">
      <c r="C186" s="505"/>
      <c r="D186" s="505"/>
      <c r="E186" s="505"/>
      <c r="F186" s="15"/>
      <c r="G186" s="15"/>
      <c r="H186" s="318"/>
      <c r="I186" s="524"/>
      <c r="J186" s="524"/>
      <c r="K186" s="552"/>
      <c r="L186" s="524"/>
      <c r="M186" s="553"/>
      <c r="N186" s="524"/>
      <c r="O186" s="530"/>
      <c r="P186" s="530"/>
      <c r="Q186" s="15"/>
      <c r="R186" s="15"/>
      <c r="S186" s="15"/>
      <c r="T186" s="15"/>
      <c r="U186" s="15"/>
    </row>
    <row r="187" spans="3:21" x14ac:dyDescent="0.15">
      <c r="C187" s="505"/>
      <c r="D187" s="505"/>
      <c r="E187" s="505"/>
      <c r="F187" s="15"/>
      <c r="G187" s="15"/>
      <c r="H187" s="318"/>
      <c r="I187" s="524"/>
      <c r="J187" s="524"/>
      <c r="K187" s="552"/>
      <c r="L187" s="524"/>
      <c r="M187" s="553"/>
      <c r="N187" s="524"/>
      <c r="O187" s="530"/>
      <c r="P187" s="530"/>
      <c r="Q187" s="15"/>
      <c r="R187" s="15"/>
      <c r="S187" s="15"/>
      <c r="T187" s="15"/>
      <c r="U187" s="15"/>
    </row>
    <row r="188" spans="3:21" x14ac:dyDescent="0.15">
      <c r="C188" s="505"/>
      <c r="D188" s="505"/>
      <c r="E188" s="505"/>
      <c r="F188" s="15"/>
      <c r="G188" s="15"/>
      <c r="H188" s="318"/>
      <c r="I188" s="524"/>
      <c r="J188" s="524"/>
      <c r="K188" s="552"/>
      <c r="L188" s="524"/>
      <c r="M188" s="553"/>
      <c r="N188" s="524"/>
      <c r="O188" s="530"/>
      <c r="P188" s="530"/>
      <c r="Q188" s="15"/>
      <c r="R188" s="15"/>
      <c r="S188" s="15"/>
      <c r="T188" s="15"/>
      <c r="U188" s="15"/>
    </row>
    <row r="189" spans="3:21" x14ac:dyDescent="0.15">
      <c r="C189" s="505"/>
      <c r="D189" s="505"/>
      <c r="E189" s="505"/>
      <c r="F189" s="15"/>
      <c r="G189" s="15"/>
      <c r="H189" s="318"/>
      <c r="I189" s="524"/>
      <c r="J189" s="524"/>
      <c r="K189" s="552"/>
      <c r="L189" s="524"/>
      <c r="M189" s="553"/>
      <c r="N189" s="524"/>
      <c r="O189" s="530"/>
      <c r="P189" s="530"/>
      <c r="Q189" s="15"/>
      <c r="R189" s="15"/>
      <c r="S189" s="15"/>
      <c r="T189" s="15"/>
      <c r="U189" s="15"/>
    </row>
    <row r="190" spans="3:21" ht="17" x14ac:dyDescent="0.2">
      <c r="C190" s="766" t="s">
        <v>358</v>
      </c>
      <c r="D190" s="766"/>
      <c r="E190" s="766"/>
      <c r="F190" s="766"/>
      <c r="G190" s="766"/>
      <c r="H190" s="766"/>
      <c r="I190" s="766"/>
      <c r="J190" s="766"/>
      <c r="K190" s="766"/>
      <c r="L190" s="766"/>
      <c r="M190" s="766"/>
      <c r="N190" s="766"/>
      <c r="O190" s="766"/>
      <c r="P190" s="15"/>
      <c r="Q190" s="505"/>
      <c r="R190" s="505"/>
      <c r="S190" s="505"/>
      <c r="T190" s="505"/>
      <c r="U190" s="505"/>
    </row>
    <row r="191" spans="3:21" x14ac:dyDescent="0.15">
      <c r="C191" s="505"/>
      <c r="D191" s="505"/>
      <c r="E191" s="505"/>
      <c r="F191" s="659" t="s">
        <v>22</v>
      </c>
      <c r="G191" s="659" t="s">
        <v>23</v>
      </c>
      <c r="H191" s="659" t="s">
        <v>24</v>
      </c>
      <c r="I191" s="659" t="s">
        <v>25</v>
      </c>
      <c r="J191" s="659" t="s">
        <v>39</v>
      </c>
      <c r="K191" s="659" t="s">
        <v>40</v>
      </c>
      <c r="L191" s="659" t="s">
        <v>359</v>
      </c>
      <c r="M191" s="659" t="s">
        <v>360</v>
      </c>
      <c r="N191" s="659" t="s">
        <v>361</v>
      </c>
      <c r="O191" s="659" t="s">
        <v>362</v>
      </c>
      <c r="P191" s="293"/>
      <c r="Q191" s="505"/>
      <c r="R191" s="505"/>
      <c r="S191" s="505"/>
      <c r="T191" s="505"/>
      <c r="U191" s="505"/>
    </row>
    <row r="192" spans="3:21" x14ac:dyDescent="0.15">
      <c r="C192" s="505" t="s">
        <v>225</v>
      </c>
      <c r="D192" s="505"/>
      <c r="E192" s="505"/>
      <c r="F192" s="660">
        <f t="shared" ref="F192:O192" ca="1" si="271">F85</f>
        <v>198993.84000000003</v>
      </c>
      <c r="G192" s="660">
        <f t="shared" ca="1" si="271"/>
        <v>296927.12280000001</v>
      </c>
      <c r="H192" s="660">
        <f t="shared" ca="1" si="271"/>
        <v>392763.785256</v>
      </c>
      <c r="I192" s="660">
        <f t="shared" ca="1" si="271"/>
        <v>411926.72096112004</v>
      </c>
      <c r="J192" s="660">
        <f t="shared" ca="1" si="271"/>
        <v>431941.8201803423</v>
      </c>
      <c r="K192" s="660">
        <f t="shared" ca="1" si="271"/>
        <v>452844.8823759493</v>
      </c>
      <c r="L192" s="660">
        <f t="shared" ca="1" si="271"/>
        <v>474673.17324714828</v>
      </c>
      <c r="M192" s="660">
        <f t="shared" ca="1" si="271"/>
        <v>497465.48406471853</v>
      </c>
      <c r="N192" s="660">
        <f t="shared" ca="1" si="271"/>
        <v>521262.19339274534</v>
      </c>
      <c r="O192" s="660">
        <f t="shared" ca="1" si="271"/>
        <v>546105.33129320177</v>
      </c>
      <c r="P192" s="13"/>
      <c r="Q192" s="505"/>
      <c r="R192" s="505"/>
      <c r="S192" s="505"/>
      <c r="T192" s="505"/>
      <c r="U192" s="505"/>
    </row>
    <row r="193" spans="3:16" x14ac:dyDescent="0.15">
      <c r="C193" s="505" t="s">
        <v>363</v>
      </c>
      <c r="D193" s="505"/>
      <c r="E193" s="505"/>
      <c r="F193" s="660">
        <f t="shared" ref="F193:O193" si="272">SUM(F105:F107)</f>
        <v>152820</v>
      </c>
      <c r="G193" s="660">
        <f t="shared" si="272"/>
        <v>173479</v>
      </c>
      <c r="H193" s="660">
        <f t="shared" si="272"/>
        <v>173479</v>
      </c>
      <c r="I193" s="660">
        <f t="shared" si="272"/>
        <v>173479</v>
      </c>
      <c r="J193" s="660">
        <f t="shared" si="272"/>
        <v>173479</v>
      </c>
      <c r="K193" s="660">
        <f t="shared" si="272"/>
        <v>173479</v>
      </c>
      <c r="L193" s="660">
        <f t="shared" si="272"/>
        <v>173479</v>
      </c>
      <c r="M193" s="660">
        <f t="shared" si="272"/>
        <v>173479</v>
      </c>
      <c r="N193" s="660">
        <f t="shared" si="272"/>
        <v>173479</v>
      </c>
      <c r="O193" s="660">
        <f t="shared" si="272"/>
        <v>173479</v>
      </c>
      <c r="P193" s="15"/>
    </row>
    <row r="194" spans="3:16" x14ac:dyDescent="0.15">
      <c r="C194" s="505"/>
      <c r="D194" s="505"/>
      <c r="E194" s="505"/>
      <c r="F194" s="660"/>
      <c r="G194" s="660"/>
      <c r="H194" s="660"/>
      <c r="I194" s="660"/>
      <c r="J194" s="660"/>
      <c r="K194" s="660"/>
      <c r="L194" s="660"/>
      <c r="M194" s="660"/>
      <c r="N194" s="660"/>
      <c r="O194" s="660"/>
      <c r="P194" s="15"/>
    </row>
    <row r="195" spans="3:16" x14ac:dyDescent="0.15">
      <c r="C195" s="505" t="s">
        <v>364</v>
      </c>
      <c r="D195" s="505"/>
      <c r="E195" s="505"/>
      <c r="F195" s="660"/>
      <c r="G195" s="660"/>
      <c r="H195" s="660">
        <f ca="1">(H192/RefiCap)*(1-Cost_of_Sale)</f>
        <v>5861244.1799741536</v>
      </c>
      <c r="I195" s="660"/>
      <c r="J195" s="660"/>
      <c r="K195" s="660"/>
      <c r="L195" s="660"/>
      <c r="M195" s="660"/>
      <c r="N195" s="660"/>
      <c r="O195" s="660"/>
      <c r="P195" s="15"/>
    </row>
    <row r="196" spans="3:16" x14ac:dyDescent="0.15">
      <c r="C196" s="505" t="s">
        <v>365</v>
      </c>
      <c r="D196" s="505"/>
      <c r="E196" s="536">
        <f>-D6</f>
        <v>-5309999.5</v>
      </c>
      <c r="F196" s="660">
        <f ca="1">SUM(F192:F195)</f>
        <v>351813.84</v>
      </c>
      <c r="G196" s="660">
        <f ca="1">SUM(G192:G195)</f>
        <v>470406.12280000001</v>
      </c>
      <c r="H196" s="660">
        <f ca="1">SUM(H192:H195)</f>
        <v>6427486.9652301539</v>
      </c>
      <c r="I196" s="15"/>
      <c r="J196" s="15"/>
      <c r="K196" s="15"/>
      <c r="L196" s="15"/>
      <c r="M196" s="15"/>
      <c r="N196" s="15"/>
      <c r="O196" s="15"/>
      <c r="P196" s="15"/>
    </row>
    <row r="197" spans="3:16" x14ac:dyDescent="0.15">
      <c r="C197" s="505" t="s">
        <v>366</v>
      </c>
      <c r="D197" s="505"/>
      <c r="E197" s="534">
        <f ca="1">IRR(E196:H196)</f>
        <v>0.11654357054132602</v>
      </c>
      <c r="F197" s="15"/>
      <c r="G197" s="15"/>
      <c r="H197" s="15"/>
      <c r="I197" s="15"/>
      <c r="J197" s="15"/>
      <c r="K197" s="15"/>
      <c r="L197" s="15"/>
      <c r="M197" s="15"/>
      <c r="N197" s="15"/>
      <c r="O197" s="15"/>
      <c r="P197" s="15"/>
    </row>
    <row r="198" spans="3:16" x14ac:dyDescent="0.15">
      <c r="C198" s="505"/>
      <c r="D198" s="505"/>
      <c r="E198" s="544"/>
      <c r="F198" s="15"/>
      <c r="G198" s="15"/>
      <c r="H198" s="15"/>
      <c r="I198" s="15"/>
      <c r="J198" s="15"/>
      <c r="K198" s="15"/>
      <c r="L198" s="15"/>
      <c r="M198" s="15"/>
      <c r="N198" s="15"/>
      <c r="O198" s="15"/>
      <c r="P198" s="15"/>
    </row>
    <row r="199" spans="3:16" x14ac:dyDescent="0.15">
      <c r="C199" s="505"/>
      <c r="D199" s="505"/>
      <c r="E199" s="505"/>
      <c r="F199" s="15"/>
      <c r="G199" s="15"/>
      <c r="H199" s="15"/>
      <c r="I199" s="15"/>
      <c r="J199" s="15"/>
      <c r="K199" s="15"/>
      <c r="L199" s="15"/>
      <c r="M199" s="15"/>
      <c r="N199" s="15"/>
      <c r="O199" s="15"/>
      <c r="P199" s="15"/>
    </row>
    <row r="200" spans="3:16" x14ac:dyDescent="0.15">
      <c r="C200" s="505" t="s">
        <v>367</v>
      </c>
      <c r="D200" s="505"/>
      <c r="E200" s="505"/>
      <c r="F200" s="15"/>
      <c r="G200" s="15"/>
      <c r="H200" s="15"/>
      <c r="I200" s="15"/>
      <c r="J200" s="340">
        <f ca="1">(J192/RefiCap)*(1-Cost_of_Sale)</f>
        <v>6445901.0088451076</v>
      </c>
      <c r="K200" s="15"/>
      <c r="L200" s="15"/>
      <c r="M200" s="15"/>
      <c r="N200" s="15"/>
      <c r="O200" s="15"/>
      <c r="P200" s="15"/>
    </row>
    <row r="201" spans="3:16" x14ac:dyDescent="0.15">
      <c r="C201" s="505" t="s">
        <v>368</v>
      </c>
      <c r="D201" s="505"/>
      <c r="E201" s="543">
        <f>E196</f>
        <v>-5309999.5</v>
      </c>
      <c r="F201" s="13">
        <f ca="1">SUM(F192:F193,F200)</f>
        <v>351813.84</v>
      </c>
      <c r="G201" s="13">
        <f ca="1">SUM(G192:G193,G200)</f>
        <v>470406.12280000001</v>
      </c>
      <c r="H201" s="13">
        <f ca="1">SUM(H192:H193,H200)</f>
        <v>566242.785256</v>
      </c>
      <c r="I201" s="13">
        <f ca="1">SUM(I192:I193,I200)</f>
        <v>585405.72096111998</v>
      </c>
      <c r="J201" s="13">
        <f ca="1">SUM(J192:J193,J200)</f>
        <v>7051321.8290254502</v>
      </c>
      <c r="K201" s="15"/>
      <c r="L201" s="15"/>
      <c r="M201" s="15"/>
      <c r="N201" s="15"/>
      <c r="O201" s="15"/>
      <c r="P201" s="15"/>
    </row>
    <row r="202" spans="3:16" x14ac:dyDescent="0.15">
      <c r="C202" s="505" t="s">
        <v>369</v>
      </c>
      <c r="D202" s="505"/>
      <c r="E202" s="534">
        <f ca="1">IRR(E201:J201)</f>
        <v>0.12745803815215484</v>
      </c>
      <c r="F202" s="15"/>
      <c r="G202" s="15"/>
      <c r="H202" s="15"/>
      <c r="I202" s="15"/>
      <c r="J202" s="15"/>
      <c r="K202" s="15"/>
      <c r="L202" s="317"/>
      <c r="M202" s="15"/>
      <c r="N202" s="15"/>
      <c r="O202" s="15"/>
      <c r="P202" s="15"/>
    </row>
    <row r="203" spans="3:16" x14ac:dyDescent="0.15">
      <c r="C203" s="505"/>
      <c r="D203" s="505"/>
      <c r="E203" s="534"/>
      <c r="F203" s="15"/>
      <c r="G203" s="15"/>
      <c r="H203" s="15"/>
      <c r="I203" s="15"/>
      <c r="J203" s="15"/>
      <c r="K203" s="15"/>
      <c r="L203" s="317"/>
      <c r="M203" s="15"/>
      <c r="N203" s="15"/>
      <c r="O203" s="15"/>
      <c r="P203" s="15"/>
    </row>
    <row r="204" spans="3:16" x14ac:dyDescent="0.15">
      <c r="C204" s="505"/>
      <c r="D204" s="505"/>
      <c r="E204" s="505"/>
      <c r="F204" s="15"/>
      <c r="G204" s="15"/>
      <c r="H204" s="15"/>
      <c r="I204" s="15"/>
      <c r="J204" s="15"/>
      <c r="K204" s="15"/>
      <c r="L204" s="15"/>
      <c r="M204" s="15"/>
      <c r="N204" s="15"/>
      <c r="O204" s="15"/>
      <c r="P204" s="15"/>
    </row>
    <row r="205" spans="3:16" x14ac:dyDescent="0.15">
      <c r="C205" s="505" t="s">
        <v>370</v>
      </c>
      <c r="D205" s="505"/>
      <c r="E205" s="505"/>
      <c r="F205" s="15"/>
      <c r="G205" s="15"/>
      <c r="H205" s="15"/>
      <c r="I205" s="15"/>
      <c r="J205" s="13"/>
      <c r="K205" s="15"/>
      <c r="L205" s="15"/>
      <c r="M205" s="15"/>
      <c r="N205" s="15"/>
      <c r="O205" s="340">
        <f ca="1">(O192/RefiCap)*(1-Cost_of_Sale)</f>
        <v>8149571.8669908578</v>
      </c>
      <c r="P205" s="15"/>
    </row>
    <row r="206" spans="3:16" x14ac:dyDescent="0.15">
      <c r="C206" s="505" t="s">
        <v>371</v>
      </c>
      <c r="D206" s="505"/>
      <c r="E206" s="543">
        <f>E201</f>
        <v>-5309999.5</v>
      </c>
      <c r="F206" s="13">
        <f t="shared" ref="F206:O206" ca="1" si="273">SUM(F192:F193,F205)</f>
        <v>351813.84</v>
      </c>
      <c r="G206" s="13">
        <f t="shared" ca="1" si="273"/>
        <v>470406.12280000001</v>
      </c>
      <c r="H206" s="13">
        <f t="shared" ca="1" si="273"/>
        <v>566242.785256</v>
      </c>
      <c r="I206" s="13">
        <f t="shared" ca="1" si="273"/>
        <v>585405.72096111998</v>
      </c>
      <c r="J206" s="13">
        <f t="shared" ca="1" si="273"/>
        <v>605420.8201803423</v>
      </c>
      <c r="K206" s="13">
        <f t="shared" ca="1" si="273"/>
        <v>626323.8823759493</v>
      </c>
      <c r="L206" s="13">
        <f t="shared" ca="1" si="273"/>
        <v>648152.17324714828</v>
      </c>
      <c r="M206" s="13">
        <f t="shared" ca="1" si="273"/>
        <v>670944.48406471848</v>
      </c>
      <c r="N206" s="13">
        <f t="shared" ca="1" si="273"/>
        <v>694741.19339274534</v>
      </c>
      <c r="O206" s="13">
        <f t="shared" ca="1" si="273"/>
        <v>8869156.1982840598</v>
      </c>
      <c r="P206" s="15"/>
    </row>
    <row r="207" spans="3:16" x14ac:dyDescent="0.15">
      <c r="C207" s="505" t="s">
        <v>372</v>
      </c>
      <c r="D207" s="505"/>
      <c r="E207" s="534">
        <f ca="1">IRR(E206:O206)</f>
        <v>0.1335808850101865</v>
      </c>
      <c r="F207" s="15"/>
      <c r="G207" s="15"/>
      <c r="H207" s="15"/>
      <c r="I207" s="15"/>
      <c r="J207" s="15"/>
      <c r="K207" s="15"/>
      <c r="L207" s="15"/>
      <c r="M207" s="15"/>
      <c r="N207" s="15"/>
      <c r="O207" s="15"/>
      <c r="P207" s="15"/>
    </row>
    <row r="208" spans="3:16" x14ac:dyDescent="0.15">
      <c r="C208" s="505"/>
      <c r="D208" s="505"/>
      <c r="E208" s="505"/>
      <c r="F208" s="15"/>
      <c r="G208" s="15"/>
      <c r="H208" s="15"/>
      <c r="I208" s="15"/>
      <c r="J208" s="15"/>
      <c r="K208" s="15"/>
      <c r="L208" s="15"/>
      <c r="M208" s="15"/>
      <c r="N208" s="15"/>
      <c r="O208" s="15"/>
      <c r="P208" s="15"/>
    </row>
    <row r="209" spans="3:21" x14ac:dyDescent="0.15">
      <c r="C209" s="505"/>
      <c r="D209" s="505"/>
      <c r="E209" s="505"/>
      <c r="F209" s="15"/>
      <c r="G209" s="15"/>
      <c r="H209" s="15"/>
      <c r="I209" s="15"/>
      <c r="J209" s="15"/>
      <c r="K209" s="15"/>
      <c r="L209" s="15"/>
      <c r="M209" s="15"/>
      <c r="N209" s="15"/>
      <c r="O209" s="15"/>
      <c r="P209" s="15"/>
      <c r="Q209" s="505"/>
      <c r="R209" s="505"/>
      <c r="S209" s="505"/>
      <c r="T209" s="505"/>
      <c r="U209" s="505"/>
    </row>
    <row r="210" spans="3:21" x14ac:dyDescent="0.15">
      <c r="C210" s="505"/>
      <c r="D210" s="505"/>
      <c r="E210" s="505"/>
      <c r="F210" s="15"/>
      <c r="G210" s="15"/>
      <c r="H210" s="15"/>
      <c r="I210" s="15"/>
      <c r="J210" s="15"/>
      <c r="K210" s="15"/>
      <c r="L210" s="15"/>
      <c r="M210" s="15"/>
      <c r="N210" s="15"/>
      <c r="O210" s="15"/>
      <c r="P210" s="15"/>
      <c r="Q210" s="505"/>
      <c r="R210" s="505"/>
      <c r="S210" s="505"/>
      <c r="T210" s="505"/>
      <c r="U210" s="505"/>
    </row>
    <row r="211" spans="3:21" ht="16" x14ac:dyDescent="0.2">
      <c r="C211" s="760" t="s">
        <v>373</v>
      </c>
      <c r="D211" s="760"/>
      <c r="E211" s="760"/>
      <c r="F211" s="760"/>
      <c r="G211" s="760"/>
      <c r="H211" s="760"/>
      <c r="I211" s="15"/>
      <c r="J211" s="15"/>
      <c r="K211" s="15"/>
      <c r="L211" s="15"/>
      <c r="M211" s="15"/>
      <c r="N211" s="15"/>
      <c r="O211" s="15"/>
      <c r="P211" s="15"/>
      <c r="Q211" s="505"/>
      <c r="R211" s="505"/>
      <c r="S211" s="505"/>
      <c r="T211" s="505"/>
      <c r="U211" s="505"/>
    </row>
    <row r="212" spans="3:21" ht="15" x14ac:dyDescent="0.2">
      <c r="C212" s="305"/>
      <c r="D212" s="305"/>
      <c r="E212" s="305"/>
      <c r="F212" s="659" t="s">
        <v>22</v>
      </c>
      <c r="G212" s="659" t="s">
        <v>23</v>
      </c>
      <c r="H212" s="659" t="s">
        <v>24</v>
      </c>
      <c r="I212" s="306"/>
      <c r="J212" s="306"/>
      <c r="K212" s="306"/>
      <c r="L212" s="306"/>
      <c r="M212" s="306"/>
      <c r="N212" s="306"/>
      <c r="O212" s="306"/>
      <c r="P212" s="306"/>
      <c r="Q212" s="505"/>
      <c r="R212" s="505"/>
      <c r="S212" s="505"/>
      <c r="T212" s="505"/>
      <c r="U212" s="505"/>
    </row>
    <row r="213" spans="3:21" x14ac:dyDescent="0.15">
      <c r="C213" s="505" t="s">
        <v>225</v>
      </c>
      <c r="D213" s="505"/>
      <c r="E213" s="505"/>
      <c r="F213" s="660">
        <f ca="1">+F192</f>
        <v>198993.84000000003</v>
      </c>
      <c r="G213" s="660">
        <f ca="1">+G192</f>
        <v>296927.12280000001</v>
      </c>
      <c r="H213" s="660">
        <f ca="1">+H192</f>
        <v>392763.785256</v>
      </c>
      <c r="I213" s="15"/>
      <c r="J213" s="15"/>
      <c r="K213" s="15"/>
      <c r="L213" s="15"/>
      <c r="M213" s="15"/>
      <c r="N213" s="15"/>
      <c r="O213" s="15"/>
      <c r="P213" s="15"/>
      <c r="Q213" s="505"/>
      <c r="R213" s="505"/>
      <c r="S213" s="505"/>
      <c r="T213" s="505"/>
      <c r="U213" s="505"/>
    </row>
    <row r="214" spans="3:21" x14ac:dyDescent="0.15">
      <c r="C214" s="505"/>
      <c r="D214" s="505"/>
      <c r="E214" s="505"/>
      <c r="F214" s="15"/>
      <c r="G214" s="15"/>
      <c r="H214" s="15"/>
      <c r="I214" s="15"/>
      <c r="J214" s="15"/>
      <c r="K214" s="15"/>
      <c r="L214" s="15"/>
      <c r="M214" s="15"/>
      <c r="N214" s="15"/>
      <c r="O214" s="15"/>
      <c r="P214" s="15"/>
      <c r="Q214" s="505"/>
      <c r="R214" s="505"/>
      <c r="S214" s="505"/>
      <c r="T214" s="505"/>
      <c r="U214" s="505"/>
    </row>
    <row r="215" spans="3:21" x14ac:dyDescent="0.15">
      <c r="C215" s="11" t="str">
        <f t="shared" ref="C215:C221" si="274">+C91</f>
        <v>Debt service</v>
      </c>
      <c r="D215" s="505"/>
      <c r="E215" s="505"/>
      <c r="F215" s="15"/>
      <c r="G215" s="15"/>
      <c r="H215" s="15"/>
      <c r="I215" s="15"/>
      <c r="J215" s="15"/>
      <c r="K215" s="15"/>
      <c r="L215" s="15"/>
      <c r="M215" s="15"/>
      <c r="N215" s="15"/>
      <c r="O215" s="15"/>
      <c r="P215" s="15"/>
      <c r="Q215" s="505"/>
      <c r="R215" s="505"/>
      <c r="S215" s="505"/>
      <c r="T215" s="505"/>
      <c r="U215" s="505"/>
    </row>
    <row r="216" spans="3:21" x14ac:dyDescent="0.15">
      <c r="C216" s="32" t="str">
        <f t="shared" si="274"/>
        <v>Additional debt/Refinance</v>
      </c>
      <c r="D216" s="505"/>
      <c r="E216" s="505"/>
      <c r="F216" s="536">
        <f t="shared" ref="F216:H221" si="275">+F92</f>
        <v>2890000</v>
      </c>
      <c r="G216" s="536">
        <f t="shared" si="275"/>
        <v>2890000</v>
      </c>
      <c r="H216" s="536">
        <f t="shared" si="275"/>
        <v>2890000</v>
      </c>
      <c r="I216" s="15"/>
      <c r="J216" s="15"/>
      <c r="K216" s="15"/>
      <c r="L216" s="15"/>
      <c r="M216" s="15"/>
      <c r="N216" s="15"/>
      <c r="O216" s="15"/>
      <c r="P216" s="15"/>
      <c r="Q216" s="505"/>
      <c r="R216" s="505"/>
      <c r="S216" s="505"/>
      <c r="T216" s="505"/>
      <c r="U216" s="505"/>
    </row>
    <row r="217" spans="3:21" x14ac:dyDescent="0.15">
      <c r="C217" s="508" t="str">
        <f t="shared" si="274"/>
        <v>Additional debt/Refinance</v>
      </c>
      <c r="D217" s="505"/>
      <c r="E217" s="505"/>
      <c r="F217" s="536">
        <f t="shared" si="275"/>
        <v>0</v>
      </c>
      <c r="G217" s="536">
        <f t="shared" si="275"/>
        <v>0</v>
      </c>
      <c r="H217" s="536">
        <f t="shared" si="275"/>
        <v>0</v>
      </c>
      <c r="I217" s="15"/>
      <c r="J217" s="15"/>
      <c r="K217" s="15"/>
      <c r="L217" s="15"/>
      <c r="M217" s="15"/>
      <c r="N217" s="15"/>
      <c r="O217" s="15"/>
      <c r="P217" s="15"/>
      <c r="Q217" s="505"/>
      <c r="R217" s="505"/>
      <c r="S217" s="505"/>
      <c r="T217" s="505"/>
      <c r="U217" s="505"/>
    </row>
    <row r="218" spans="3:21" x14ac:dyDescent="0.15">
      <c r="C218" s="32" t="str">
        <f t="shared" si="274"/>
        <v>Payment</v>
      </c>
      <c r="D218" s="505"/>
      <c r="E218" s="505"/>
      <c r="F218" s="536">
        <f t="shared" si="275"/>
        <v>188830.19166666668</v>
      </c>
      <c r="G218" s="536">
        <f t="shared" si="275"/>
        <v>188830.19166666668</v>
      </c>
      <c r="H218" s="536">
        <f t="shared" si="275"/>
        <v>219975.31038136044</v>
      </c>
      <c r="I218" s="15"/>
      <c r="J218" s="15"/>
      <c r="K218" s="15"/>
      <c r="L218" s="15"/>
      <c r="M218" s="15"/>
      <c r="N218" s="15"/>
      <c r="O218" s="15"/>
      <c r="P218" s="15"/>
      <c r="Q218" s="505"/>
      <c r="R218" s="505"/>
      <c r="S218" s="505"/>
      <c r="T218" s="505"/>
      <c r="U218" s="505"/>
    </row>
    <row r="219" spans="3:21" x14ac:dyDescent="0.15">
      <c r="C219" s="32" t="str">
        <f t="shared" si="274"/>
        <v>Principal</v>
      </c>
      <c r="D219" s="505"/>
      <c r="E219" s="505"/>
      <c r="F219" s="536">
        <f t="shared" si="275"/>
        <v>0</v>
      </c>
      <c r="G219" s="536">
        <f t="shared" si="275"/>
        <v>0</v>
      </c>
      <c r="H219" s="536">
        <f t="shared" si="275"/>
        <v>31145.118714693759</v>
      </c>
      <c r="I219" s="15"/>
      <c r="J219" s="15"/>
      <c r="K219" s="15"/>
      <c r="L219" s="15"/>
      <c r="M219" s="15"/>
      <c r="N219" s="15"/>
      <c r="O219" s="15"/>
      <c r="P219" s="15"/>
      <c r="Q219" s="505"/>
      <c r="R219" s="505"/>
      <c r="S219" s="505"/>
      <c r="T219" s="505"/>
      <c r="U219" s="505"/>
    </row>
    <row r="220" spans="3:21" x14ac:dyDescent="0.15">
      <c r="C220" s="32" t="str">
        <f t="shared" si="274"/>
        <v>Interest</v>
      </c>
      <c r="D220" s="505"/>
      <c r="E220" s="505"/>
      <c r="F220" s="536">
        <f t="shared" si="275"/>
        <v>188830.19166666668</v>
      </c>
      <c r="G220" s="536">
        <f t="shared" si="275"/>
        <v>188830.19166666668</v>
      </c>
      <c r="H220" s="536">
        <f t="shared" si="275"/>
        <v>188830.19166666668</v>
      </c>
      <c r="I220" s="15"/>
      <c r="J220" s="15"/>
      <c r="K220" s="15"/>
      <c r="L220" s="15"/>
      <c r="M220" s="15"/>
      <c r="N220" s="15"/>
      <c r="O220" s="15"/>
      <c r="P220" s="15"/>
      <c r="Q220" s="505"/>
      <c r="R220" s="505"/>
      <c r="S220" s="505"/>
      <c r="T220" s="505"/>
      <c r="U220" s="505"/>
    </row>
    <row r="221" spans="3:21" x14ac:dyDescent="0.15">
      <c r="C221" s="32" t="str">
        <f t="shared" si="274"/>
        <v>Ending balance</v>
      </c>
      <c r="D221" s="505"/>
      <c r="E221" s="505"/>
      <c r="F221" s="536">
        <f t="shared" si="275"/>
        <v>2890000</v>
      </c>
      <c r="G221" s="536">
        <f t="shared" si="275"/>
        <v>2890000</v>
      </c>
      <c r="H221" s="536">
        <f t="shared" si="275"/>
        <v>2858854.8812853061</v>
      </c>
      <c r="I221" s="15"/>
      <c r="J221" s="15"/>
      <c r="K221" s="15"/>
      <c r="L221" s="15"/>
      <c r="M221" s="15"/>
      <c r="N221" s="15"/>
      <c r="O221" s="15"/>
      <c r="P221" s="15"/>
      <c r="Q221" s="505"/>
      <c r="R221" s="505"/>
      <c r="S221" s="505"/>
      <c r="T221" s="505"/>
      <c r="U221" s="505"/>
    </row>
    <row r="222" spans="3:21" x14ac:dyDescent="0.15">
      <c r="C222" s="505"/>
      <c r="D222" s="505"/>
      <c r="E222" s="505"/>
      <c r="F222" s="543"/>
      <c r="G222" s="543"/>
      <c r="H222" s="543"/>
      <c r="I222" s="15"/>
      <c r="J222" s="15"/>
      <c r="K222" s="15"/>
      <c r="L222" s="15"/>
      <c r="M222" s="15"/>
      <c r="N222" s="15"/>
      <c r="O222" s="15"/>
      <c r="P222" s="15"/>
      <c r="Q222" s="505"/>
      <c r="R222" s="505"/>
      <c r="S222" s="505"/>
      <c r="T222" s="505"/>
      <c r="U222" s="505"/>
    </row>
    <row r="223" spans="3:21" x14ac:dyDescent="0.15">
      <c r="C223" s="270"/>
      <c r="D223" s="505"/>
      <c r="E223" s="505"/>
      <c r="F223" s="543"/>
      <c r="G223" s="543"/>
      <c r="H223" s="543"/>
      <c r="I223" s="15"/>
      <c r="J223" s="15"/>
      <c r="K223" s="15"/>
      <c r="L223" s="15"/>
      <c r="M223" s="15"/>
      <c r="N223" s="15"/>
      <c r="O223" s="15"/>
      <c r="P223" s="15"/>
      <c r="Q223" s="505"/>
      <c r="R223" s="505"/>
      <c r="S223" s="505"/>
      <c r="T223" s="505"/>
      <c r="U223" s="505"/>
    </row>
    <row r="224" spans="3:21" x14ac:dyDescent="0.15">
      <c r="C224" s="505"/>
      <c r="D224" s="505"/>
      <c r="E224" s="505"/>
      <c r="F224" s="543">
        <f t="shared" ref="F224:H225" si="276">+F101</f>
        <v>0</v>
      </c>
      <c r="G224" s="543">
        <f t="shared" si="276"/>
        <v>0</v>
      </c>
      <c r="H224" s="543">
        <f t="shared" si="276"/>
        <v>0</v>
      </c>
      <c r="I224" s="15"/>
      <c r="J224" s="15"/>
      <c r="K224" s="15"/>
      <c r="L224" s="15"/>
      <c r="M224" s="15"/>
      <c r="N224" s="15"/>
      <c r="O224" s="15"/>
      <c r="P224" s="15"/>
      <c r="Q224" s="505"/>
      <c r="R224" s="505"/>
      <c r="S224" s="505"/>
      <c r="T224" s="505"/>
      <c r="U224" s="505"/>
    </row>
    <row r="225" spans="3:28" x14ac:dyDescent="0.15">
      <c r="C225" s="661" t="s">
        <v>374</v>
      </c>
      <c r="D225" s="505"/>
      <c r="E225" s="536"/>
      <c r="F225" s="536">
        <f t="shared" ca="1" si="276"/>
        <v>3061443.6923076925</v>
      </c>
      <c r="G225" s="536">
        <f t="shared" ca="1" si="276"/>
        <v>4568109.5815384611</v>
      </c>
      <c r="H225" s="536">
        <f t="shared" ca="1" si="276"/>
        <v>6042519.7731692307</v>
      </c>
      <c r="I225" s="15"/>
      <c r="J225" s="15"/>
      <c r="K225" s="15"/>
      <c r="L225" s="15"/>
      <c r="M225" s="15"/>
      <c r="N225" s="15"/>
      <c r="O225" s="15"/>
      <c r="P225" s="15"/>
      <c r="Q225" s="505"/>
      <c r="R225" s="505"/>
      <c r="S225" s="505"/>
      <c r="T225" s="505"/>
      <c r="U225" s="505"/>
      <c r="V225" s="505"/>
      <c r="W225" s="505"/>
      <c r="X225" s="505"/>
      <c r="Y225" s="505"/>
      <c r="Z225" s="505"/>
      <c r="AA225" s="505"/>
      <c r="AB225" s="505"/>
    </row>
    <row r="226" spans="3:28" x14ac:dyDescent="0.15">
      <c r="C226" s="35"/>
      <c r="D226" s="505"/>
      <c r="E226" s="536"/>
      <c r="F226" s="536"/>
      <c r="G226" s="536"/>
      <c r="H226" s="536"/>
      <c r="I226" s="15"/>
      <c r="J226" s="15"/>
      <c r="K226" s="15"/>
      <c r="L226" s="15"/>
      <c r="M226" s="15"/>
      <c r="N226" s="15"/>
      <c r="O226" s="15"/>
      <c r="P226" s="15"/>
      <c r="Q226" s="505"/>
      <c r="R226" s="505"/>
      <c r="S226" s="505"/>
      <c r="T226" s="505"/>
      <c r="U226" s="505"/>
      <c r="V226" s="505"/>
      <c r="W226" s="505"/>
      <c r="X226" s="505"/>
      <c r="Y226" s="505"/>
      <c r="Z226" s="505"/>
      <c r="AA226" s="505"/>
      <c r="AB226" s="505"/>
    </row>
    <row r="227" spans="3:28" x14ac:dyDescent="0.15">
      <c r="C227" s="508" t="str">
        <f>+C104</f>
        <v>Net Cash Flow after Debt Service</v>
      </c>
      <c r="D227" s="505"/>
      <c r="E227" s="536"/>
      <c r="F227" s="536">
        <f ca="1">+F104</f>
        <v>10163.648333333345</v>
      </c>
      <c r="G227" s="536">
        <f ca="1">+G104</f>
        <v>108096.93113333333</v>
      </c>
      <c r="H227" s="536">
        <f ca="1">+H104</f>
        <v>172788.47487463956</v>
      </c>
      <c r="I227" s="15"/>
      <c r="J227" s="15"/>
      <c r="K227" s="15"/>
      <c r="L227" s="15"/>
      <c r="M227" s="15"/>
      <c r="N227" s="15"/>
      <c r="O227" s="15"/>
      <c r="P227" s="15"/>
      <c r="Q227" s="505"/>
      <c r="R227" s="505"/>
      <c r="S227" s="505"/>
      <c r="T227" s="505"/>
      <c r="U227" s="505"/>
      <c r="V227" s="505"/>
      <c r="W227" s="505"/>
      <c r="X227" s="505"/>
      <c r="Y227" s="505"/>
      <c r="Z227" s="505"/>
      <c r="AA227" s="505"/>
      <c r="AB227" s="505"/>
    </row>
    <row r="228" spans="3:28" x14ac:dyDescent="0.15">
      <c r="C228" s="508" t="str">
        <f>+C105</f>
        <v>Cash from Sale of POH</v>
      </c>
      <c r="D228" s="505"/>
      <c r="E228" s="536"/>
      <c r="F228" s="536">
        <f t="shared" ref="F228:H231" si="277">+F105</f>
        <v>0</v>
      </c>
      <c r="G228" s="536">
        <f t="shared" si="277"/>
        <v>0</v>
      </c>
      <c r="H228" s="536">
        <f t="shared" si="277"/>
        <v>0</v>
      </c>
      <c r="I228" s="15"/>
      <c r="J228" s="15"/>
      <c r="K228" s="15"/>
      <c r="L228" s="15"/>
      <c r="M228" s="15"/>
      <c r="N228" s="15"/>
      <c r="O228" s="15"/>
      <c r="P228" s="15"/>
      <c r="Q228" s="505"/>
      <c r="R228" s="505"/>
      <c r="S228" s="505"/>
      <c r="T228" s="505"/>
      <c r="U228" s="505"/>
      <c r="V228" s="505"/>
      <c r="W228" s="505"/>
      <c r="X228" s="505"/>
      <c r="Y228" s="505"/>
      <c r="Z228" s="505"/>
      <c r="AA228" s="505"/>
      <c r="AB228" s="505"/>
    </row>
    <row r="229" spans="3:28" x14ac:dyDescent="0.15">
      <c r="C229" s="508" t="str">
        <f>+C106</f>
        <v>Net Operating Cash Flow From POH</v>
      </c>
      <c r="D229" s="505"/>
      <c r="E229" s="536"/>
      <c r="F229" s="536">
        <f t="shared" si="277"/>
        <v>152820</v>
      </c>
      <c r="G229" s="536">
        <f t="shared" si="277"/>
        <v>173479</v>
      </c>
      <c r="H229" s="536">
        <f t="shared" si="277"/>
        <v>173479</v>
      </c>
      <c r="I229" s="15"/>
      <c r="J229" s="15"/>
      <c r="K229" s="15"/>
      <c r="L229" s="15"/>
      <c r="M229" s="15"/>
      <c r="N229" s="15"/>
      <c r="O229" s="15"/>
      <c r="P229" s="15"/>
      <c r="Q229" s="505"/>
      <c r="R229" s="505"/>
      <c r="S229" s="505"/>
      <c r="T229" s="505"/>
      <c r="U229" s="505"/>
      <c r="V229" s="505"/>
      <c r="W229" s="505"/>
      <c r="X229" s="505"/>
      <c r="Y229" s="505"/>
      <c r="Z229" s="505"/>
      <c r="AA229" s="505"/>
      <c r="AB229" s="505"/>
    </row>
    <row r="230" spans="3:28" x14ac:dyDescent="0.15">
      <c r="C230" s="508" t="str">
        <f>+C107</f>
        <v>Note Income from POH</v>
      </c>
      <c r="D230" s="505"/>
      <c r="E230" s="536"/>
      <c r="F230" s="536">
        <f t="shared" si="277"/>
        <v>0</v>
      </c>
      <c r="G230" s="536">
        <f t="shared" si="277"/>
        <v>0</v>
      </c>
      <c r="H230" s="536">
        <f t="shared" si="277"/>
        <v>0</v>
      </c>
      <c r="I230" s="15"/>
      <c r="J230" s="15"/>
      <c r="K230" s="15"/>
      <c r="L230" s="15"/>
      <c r="M230" s="15"/>
      <c r="N230" s="15"/>
      <c r="O230" s="15"/>
      <c r="P230" s="15"/>
      <c r="Q230" s="505"/>
      <c r="R230" s="505"/>
      <c r="S230" s="505"/>
      <c r="T230" s="505"/>
      <c r="U230" s="505"/>
      <c r="V230" s="505"/>
      <c r="W230" s="505"/>
      <c r="X230" s="505"/>
      <c r="Y230" s="505"/>
      <c r="Z230" s="505"/>
      <c r="AA230" s="505"/>
      <c r="AB230" s="505"/>
    </row>
    <row r="231" spans="3:28" x14ac:dyDescent="0.15">
      <c r="C231" s="508" t="str">
        <f>+C108</f>
        <v>Acquisition Fee</v>
      </c>
      <c r="D231" s="505"/>
      <c r="E231" s="536"/>
      <c r="F231" s="536">
        <f t="shared" si="277"/>
        <v>0</v>
      </c>
      <c r="G231" s="536">
        <f t="shared" si="277"/>
        <v>0</v>
      </c>
      <c r="H231" s="536">
        <f t="shared" si="277"/>
        <v>0</v>
      </c>
      <c r="I231" s="15"/>
      <c r="J231" s="15"/>
      <c r="K231" s="15"/>
      <c r="L231" s="15"/>
      <c r="M231" s="15"/>
      <c r="N231" s="15"/>
      <c r="O231" s="15"/>
      <c r="P231" s="15"/>
      <c r="Q231" s="15"/>
      <c r="R231" s="15"/>
      <c r="S231" s="15"/>
      <c r="T231" s="15"/>
      <c r="U231" s="15"/>
      <c r="V231" s="505"/>
      <c r="W231" s="505"/>
      <c r="X231" s="505"/>
      <c r="Y231" s="505"/>
      <c r="Z231" s="505"/>
      <c r="AA231" s="505"/>
      <c r="AB231" s="505"/>
    </row>
    <row r="232" spans="3:28" x14ac:dyDescent="0.15">
      <c r="C232" s="508" t="str">
        <f>+C108</f>
        <v>Acquisition Fee</v>
      </c>
      <c r="D232" s="505"/>
      <c r="E232" s="536"/>
      <c r="F232" s="536">
        <f t="shared" ref="F232:H235" si="278">+F108</f>
        <v>0</v>
      </c>
      <c r="G232" s="536">
        <f t="shared" si="278"/>
        <v>0</v>
      </c>
      <c r="H232" s="536">
        <f t="shared" si="278"/>
        <v>0</v>
      </c>
      <c r="I232" s="15"/>
      <c r="J232" s="15"/>
      <c r="K232" s="15"/>
      <c r="L232" s="15"/>
      <c r="M232" s="15"/>
      <c r="N232" s="15"/>
      <c r="O232" s="15"/>
      <c r="P232" s="15"/>
      <c r="Q232" s="15"/>
      <c r="R232" s="15"/>
      <c r="S232" s="15"/>
      <c r="T232" s="15"/>
      <c r="U232" s="15"/>
      <c r="V232" s="505"/>
      <c r="W232" s="505"/>
      <c r="X232" s="505"/>
      <c r="Y232" s="505"/>
      <c r="Z232" s="505"/>
      <c r="AA232" s="505"/>
      <c r="AB232" s="505"/>
    </row>
    <row r="233" spans="3:28" x14ac:dyDescent="0.15">
      <c r="C233" s="508" t="str">
        <f>+C109</f>
        <v>Asset Management Fee</v>
      </c>
      <c r="D233" s="505"/>
      <c r="E233" s="536"/>
      <c r="F233" s="536">
        <f t="shared" si="278"/>
        <v>0</v>
      </c>
      <c r="G233" s="536">
        <f t="shared" si="278"/>
        <v>0</v>
      </c>
      <c r="H233" s="536">
        <f t="shared" si="278"/>
        <v>0</v>
      </c>
      <c r="I233" s="15"/>
      <c r="J233" s="15"/>
      <c r="K233" s="15"/>
      <c r="L233" s="15"/>
      <c r="M233" s="15"/>
      <c r="N233" s="15"/>
      <c r="O233" s="15"/>
      <c r="P233" s="15"/>
      <c r="Q233" s="15"/>
      <c r="R233" s="15"/>
      <c r="S233" s="15"/>
      <c r="T233" s="15"/>
      <c r="U233" s="15"/>
      <c r="V233" s="505"/>
      <c r="W233" s="505"/>
      <c r="X233" s="505"/>
      <c r="Y233" s="505"/>
      <c r="Z233" s="505"/>
      <c r="AA233" s="505"/>
      <c r="AB233" s="505"/>
    </row>
    <row r="234" spans="3:28" x14ac:dyDescent="0.15">
      <c r="C234" s="508" t="str">
        <f>+C110</f>
        <v>Refinance Fee</v>
      </c>
      <c r="D234" s="505"/>
      <c r="E234" s="536"/>
      <c r="F234" s="536">
        <f t="shared" si="278"/>
        <v>0</v>
      </c>
      <c r="G234" s="536">
        <f t="shared" si="278"/>
        <v>0</v>
      </c>
      <c r="H234" s="536">
        <f t="shared" si="278"/>
        <v>0</v>
      </c>
      <c r="I234" s="15"/>
      <c r="J234" s="15"/>
      <c r="K234" s="15"/>
      <c r="L234" s="15"/>
      <c r="M234" s="15"/>
      <c r="N234" s="15"/>
      <c r="O234" s="15"/>
      <c r="P234" s="15"/>
      <c r="Q234" s="15"/>
      <c r="R234" s="15"/>
      <c r="S234" s="15"/>
      <c r="T234" s="15"/>
      <c r="U234" s="15"/>
      <c r="V234" s="505"/>
      <c r="W234" s="505"/>
      <c r="X234" s="505"/>
      <c r="Y234" s="505"/>
      <c r="Z234" s="505"/>
      <c r="AA234" s="505"/>
      <c r="AB234" s="505"/>
    </row>
    <row r="235" spans="3:28" x14ac:dyDescent="0.15">
      <c r="C235" s="508">
        <f>+C111</f>
        <v>0</v>
      </c>
      <c r="D235" s="505"/>
      <c r="E235" s="536"/>
      <c r="F235" s="536">
        <f t="shared" si="278"/>
        <v>0</v>
      </c>
      <c r="G235" s="536">
        <f t="shared" si="278"/>
        <v>0</v>
      </c>
      <c r="H235" s="536">
        <f t="shared" si="278"/>
        <v>0</v>
      </c>
      <c r="I235" s="15"/>
      <c r="J235" s="15"/>
      <c r="K235" s="15"/>
      <c r="L235" s="15"/>
      <c r="M235" s="15"/>
      <c r="N235" s="15"/>
      <c r="O235" s="15"/>
      <c r="P235" s="15"/>
      <c r="Q235" s="15"/>
      <c r="R235" s="15"/>
      <c r="S235" s="15"/>
      <c r="T235" s="15"/>
      <c r="U235" s="15"/>
      <c r="V235" s="505"/>
      <c r="W235" s="505"/>
      <c r="X235" s="505"/>
      <c r="Y235" s="505"/>
      <c r="Z235" s="505"/>
      <c r="AA235" s="505"/>
      <c r="AB235" s="505"/>
    </row>
    <row r="236" spans="3:28" x14ac:dyDescent="0.15">
      <c r="C236" s="508" t="str">
        <f>+C113</f>
        <v>Return of Capital (other)</v>
      </c>
      <c r="D236" s="505"/>
      <c r="E236" s="536"/>
      <c r="F236" s="536">
        <f>+F113</f>
        <v>0</v>
      </c>
      <c r="G236" s="536">
        <f>+G113</f>
        <v>0</v>
      </c>
      <c r="H236" s="536">
        <f>+H113</f>
        <v>0</v>
      </c>
      <c r="I236" s="15"/>
      <c r="J236" s="15"/>
      <c r="K236" s="15"/>
      <c r="L236" s="15"/>
      <c r="M236" s="15"/>
      <c r="N236" s="15"/>
      <c r="O236" s="15"/>
      <c r="P236" s="15"/>
      <c r="Q236" s="15"/>
      <c r="R236" s="15"/>
      <c r="S236" s="15"/>
      <c r="T236" s="15"/>
      <c r="U236" s="15"/>
      <c r="V236" s="505"/>
      <c r="W236" s="505"/>
      <c r="X236" s="505"/>
      <c r="Y236" s="505"/>
      <c r="Z236" s="505"/>
      <c r="AA236" s="505"/>
      <c r="AB236" s="505"/>
    </row>
    <row r="237" spans="3:28" x14ac:dyDescent="0.15">
      <c r="C237" s="508" t="str">
        <f>+C114</f>
        <v>Sale Proceeds at Exit</v>
      </c>
      <c r="D237" s="505"/>
      <c r="E237" s="536"/>
      <c r="F237" s="536">
        <f>+F114</f>
        <v>0</v>
      </c>
      <c r="G237" s="536">
        <f>+G114</f>
        <v>0</v>
      </c>
      <c r="H237" s="536">
        <f ca="1">+(H213/RefiCap)*(1-Cost_of_Sale)</f>
        <v>5861244.1799741536</v>
      </c>
      <c r="I237" s="15"/>
      <c r="J237" s="15"/>
      <c r="K237" s="15"/>
      <c r="L237" s="15"/>
      <c r="M237" s="15"/>
      <c r="N237" s="15"/>
      <c r="O237" s="15"/>
      <c r="P237" s="15"/>
      <c r="Q237" s="15"/>
      <c r="R237" s="15"/>
      <c r="S237" s="15"/>
      <c r="T237" s="15"/>
      <c r="U237" s="15"/>
      <c r="V237" s="505"/>
      <c r="W237" s="505"/>
      <c r="X237" s="505"/>
      <c r="Y237" s="505"/>
      <c r="Z237" s="505"/>
      <c r="AA237" s="505"/>
      <c r="AB237" s="505"/>
    </row>
    <row r="238" spans="3:28" x14ac:dyDescent="0.15">
      <c r="C238" s="508" t="s">
        <v>375</v>
      </c>
      <c r="D238" s="505"/>
      <c r="E238" s="536"/>
      <c r="F238" s="536"/>
      <c r="G238" s="536"/>
      <c r="H238" s="536">
        <f>-H221</f>
        <v>-2858854.8812853061</v>
      </c>
      <c r="I238" s="15"/>
      <c r="J238" s="15"/>
      <c r="K238" s="15"/>
      <c r="L238" s="15"/>
      <c r="M238" s="15"/>
      <c r="N238" s="15"/>
      <c r="O238" s="15"/>
      <c r="P238" s="15"/>
      <c r="Q238" s="15"/>
      <c r="R238" s="15"/>
      <c r="S238" s="15"/>
      <c r="T238" s="15"/>
      <c r="U238" s="15"/>
      <c r="V238" s="505"/>
      <c r="W238" s="505"/>
      <c r="X238" s="505"/>
      <c r="Y238" s="505"/>
      <c r="Z238" s="505"/>
      <c r="AA238" s="505"/>
      <c r="AB238" s="505"/>
    </row>
    <row r="239" spans="3:28" ht="14" thickBot="1" x14ac:dyDescent="0.2">
      <c r="C239" s="580" t="str">
        <f>+C115</f>
        <v>Pretax Income Available for Distribution</v>
      </c>
      <c r="D239" s="505"/>
      <c r="E239" s="536">
        <f>+E115</f>
        <v>-2419999.5</v>
      </c>
      <c r="F239" s="536">
        <f ca="1">SUM(F227:F238)</f>
        <v>162983.64833333335</v>
      </c>
      <c r="G239" s="536">
        <f ca="1">SUM(G227:G238)</f>
        <v>281575.93113333336</v>
      </c>
      <c r="H239" s="536">
        <f ca="1">SUM(H227:H238)</f>
        <v>3348656.7735634875</v>
      </c>
      <c r="I239" s="15"/>
      <c r="J239" s="15"/>
      <c r="K239" s="15"/>
      <c r="L239" s="15"/>
      <c r="M239" s="15"/>
      <c r="N239" s="15"/>
      <c r="O239" s="15"/>
      <c r="P239" s="15"/>
      <c r="Q239" s="15"/>
      <c r="R239" s="15"/>
      <c r="S239" s="15"/>
      <c r="T239" s="15"/>
      <c r="U239" s="15"/>
      <c r="V239" s="505"/>
      <c r="W239" s="505"/>
      <c r="X239" s="505"/>
      <c r="Y239" s="505"/>
      <c r="Z239" s="505"/>
      <c r="AA239" s="505"/>
      <c r="AB239" s="505"/>
    </row>
    <row r="240" spans="3:28" ht="14" thickTop="1" x14ac:dyDescent="0.15">
      <c r="C240" s="505"/>
      <c r="D240" s="505"/>
      <c r="E240" s="50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3:28" x14ac:dyDescent="0.15">
      <c r="C241" s="505" t="s">
        <v>376</v>
      </c>
      <c r="D241" s="505"/>
      <c r="E241" s="534">
        <f ca="1">IRR(E239:H239)</f>
        <v>0.17272170503291817</v>
      </c>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3:28" x14ac:dyDescent="0.15">
      <c r="C242" s="505"/>
      <c r="D242" s="505"/>
      <c r="E242" s="50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3:28" x14ac:dyDescent="0.15">
      <c r="C243" s="11" t="str">
        <f t="shared" ref="C243:C248" si="279">+C119</f>
        <v>Distributions</v>
      </c>
      <c r="D243" s="505"/>
      <c r="E243" s="505"/>
      <c r="F243" s="13"/>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3:28" x14ac:dyDescent="0.15">
      <c r="C244" s="508" t="str">
        <f t="shared" si="279"/>
        <v>Investor Preferred Return</v>
      </c>
      <c r="D244" s="505"/>
      <c r="E244" s="505"/>
      <c r="F244" s="13"/>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3:28" x14ac:dyDescent="0.15">
      <c r="C245" s="23" t="str">
        <f t="shared" si="279"/>
        <v>Beginning balance</v>
      </c>
      <c r="D245" s="505"/>
      <c r="E245" s="536"/>
      <c r="F245" s="660">
        <f>+F121</f>
        <v>2419999.5</v>
      </c>
      <c r="G245" s="660">
        <f ca="1">+G121</f>
        <v>2378015.8266666667</v>
      </c>
      <c r="H245" s="660">
        <f ca="1">+H121</f>
        <v>2215340.6868666662</v>
      </c>
      <c r="I245" s="15"/>
      <c r="J245" s="15"/>
      <c r="K245" s="15"/>
      <c r="L245" s="15"/>
      <c r="M245" s="15"/>
      <c r="N245" s="15"/>
      <c r="O245" s="15"/>
      <c r="P245" s="15"/>
      <c r="Q245" s="15"/>
      <c r="R245" s="15"/>
      <c r="S245" s="15"/>
      <c r="T245" s="15"/>
      <c r="U245" s="15"/>
      <c r="V245" s="15"/>
      <c r="W245" s="15"/>
      <c r="X245" s="15"/>
      <c r="Y245" s="15"/>
      <c r="Z245" s="15"/>
      <c r="AA245" s="15"/>
      <c r="AB245" s="15"/>
    </row>
    <row r="246" spans="3:28" x14ac:dyDescent="0.15">
      <c r="C246" s="23" t="str">
        <f t="shared" si="279"/>
        <v>Preferred return</v>
      </c>
      <c r="D246" s="505"/>
      <c r="E246" s="536"/>
      <c r="F246" s="660">
        <f>+F245*InvestorPref</f>
        <v>120999.97500000001</v>
      </c>
      <c r="G246" s="660">
        <f ca="1">+G245*InvestorPref</f>
        <v>118900.79133333334</v>
      </c>
      <c r="H246" s="660">
        <f ca="1">+H245*InvestorPref</f>
        <v>110767.03434333332</v>
      </c>
      <c r="I246" s="15"/>
      <c r="J246" s="15"/>
      <c r="K246" s="15"/>
      <c r="L246" s="15"/>
      <c r="M246" s="15"/>
      <c r="N246" s="15"/>
      <c r="O246" s="15"/>
      <c r="P246" s="15"/>
      <c r="Q246" s="15"/>
      <c r="R246" s="15"/>
      <c r="S246" s="15"/>
      <c r="T246" s="15"/>
      <c r="U246" s="15"/>
      <c r="V246" s="15"/>
      <c r="W246" s="15"/>
      <c r="X246" s="15"/>
      <c r="Y246" s="15"/>
      <c r="Z246" s="15"/>
      <c r="AA246" s="15"/>
      <c r="AB246" s="15"/>
    </row>
    <row r="247" spans="3:28" x14ac:dyDescent="0.15">
      <c r="C247" s="23" t="str">
        <f t="shared" si="279"/>
        <v>Payment</v>
      </c>
      <c r="D247" s="505"/>
      <c r="E247" s="536"/>
      <c r="F247" s="660">
        <f ca="1">MAX(-F245-F246,-F239)</f>
        <v>-162983.64833333335</v>
      </c>
      <c r="G247" s="660">
        <f t="shared" ref="G247:H247" ca="1" si="280">MAX(-G245-G246,-G239)</f>
        <v>-281575.93113333336</v>
      </c>
      <c r="H247" s="660">
        <f t="shared" ca="1" si="280"/>
        <v>-2326107.7212099996</v>
      </c>
      <c r="I247" s="15"/>
      <c r="J247" s="15"/>
      <c r="K247" s="15"/>
      <c r="L247" s="15"/>
      <c r="M247" s="15"/>
      <c r="N247" s="15"/>
      <c r="O247" s="15"/>
      <c r="P247" s="15"/>
      <c r="Q247" s="15"/>
      <c r="R247" s="15"/>
      <c r="S247" s="15"/>
      <c r="T247" s="15"/>
      <c r="U247" s="15"/>
      <c r="V247" s="15"/>
      <c r="W247" s="15"/>
      <c r="X247" s="15"/>
      <c r="Y247" s="15"/>
      <c r="Z247" s="15"/>
      <c r="AA247" s="15"/>
      <c r="AB247" s="15"/>
    </row>
    <row r="248" spans="3:28" x14ac:dyDescent="0.15">
      <c r="C248" s="23" t="str">
        <f t="shared" si="279"/>
        <v>Ending balance</v>
      </c>
      <c r="D248" s="505"/>
      <c r="E248" s="536"/>
      <c r="F248" s="746">
        <f ca="1">SUM(F245:F247)</f>
        <v>2378015.8266666667</v>
      </c>
      <c r="G248" s="746">
        <f t="shared" ref="G248:H248" ca="1" si="281">SUM(G245:G247)</f>
        <v>2215340.6868666662</v>
      </c>
      <c r="H248" s="746">
        <f t="shared" ca="1" si="281"/>
        <v>0</v>
      </c>
      <c r="I248" s="15"/>
      <c r="J248" s="15"/>
      <c r="K248" s="15"/>
      <c r="L248" s="15"/>
      <c r="M248" s="15"/>
      <c r="N248" s="15"/>
      <c r="O248" s="15"/>
      <c r="P248" s="15"/>
      <c r="Q248" s="15"/>
      <c r="R248" s="15"/>
      <c r="S248" s="15"/>
      <c r="T248" s="15"/>
      <c r="U248" s="15"/>
      <c r="V248" s="15"/>
      <c r="W248" s="15"/>
      <c r="X248" s="15"/>
      <c r="Y248" s="15"/>
      <c r="Z248" s="15"/>
      <c r="AA248" s="15"/>
      <c r="AB248" s="15"/>
    </row>
    <row r="249" spans="3:28" x14ac:dyDescent="0.15">
      <c r="C249" s="508" t="s">
        <v>377</v>
      </c>
      <c r="D249" s="505"/>
      <c r="E249" s="536"/>
      <c r="F249" s="660">
        <f ca="1">+F239+F247</f>
        <v>0</v>
      </c>
      <c r="G249" s="660">
        <f t="shared" ref="G249:H249" ca="1" si="282">+G239+G247</f>
        <v>0</v>
      </c>
      <c r="H249" s="660">
        <f t="shared" ca="1" si="282"/>
        <v>1022549.0523534878</v>
      </c>
      <c r="I249" s="15"/>
      <c r="J249" s="15"/>
      <c r="K249" s="15"/>
      <c r="L249" s="15"/>
      <c r="M249" s="15"/>
      <c r="N249" s="15"/>
      <c r="O249" s="15"/>
      <c r="P249" s="15"/>
      <c r="Q249" s="15"/>
      <c r="R249" s="15"/>
      <c r="S249" s="15"/>
      <c r="T249" s="15"/>
      <c r="U249" s="15"/>
      <c r="V249" s="15"/>
      <c r="W249" s="15"/>
      <c r="X249" s="15"/>
      <c r="Y249" s="15"/>
      <c r="Z249" s="15"/>
      <c r="AA249" s="15"/>
      <c r="AB249" s="15"/>
    </row>
    <row r="250" spans="3:28" x14ac:dyDescent="0.15">
      <c r="C250" s="41" t="str">
        <f t="shared" ref="C250:C256" si="283">+C126</f>
        <v>Split</v>
      </c>
      <c r="D250" s="505"/>
      <c r="E250" s="536"/>
      <c r="F250" s="660"/>
      <c r="G250" s="660"/>
      <c r="H250" s="660"/>
      <c r="I250" s="15"/>
      <c r="J250" s="15"/>
      <c r="K250" s="15"/>
      <c r="L250" s="15"/>
      <c r="M250" s="15"/>
      <c r="N250" s="15"/>
      <c r="O250" s="15"/>
      <c r="P250" s="15"/>
      <c r="Q250" s="15"/>
      <c r="R250" s="15"/>
      <c r="S250" s="15"/>
      <c r="T250" s="15"/>
      <c r="U250" s="15"/>
      <c r="V250" s="15"/>
      <c r="W250" s="15"/>
      <c r="X250" s="15"/>
      <c r="Y250" s="15"/>
      <c r="Z250" s="15"/>
      <c r="AA250" s="15"/>
      <c r="AB250" s="15"/>
    </row>
    <row r="251" spans="3:28" x14ac:dyDescent="0.15">
      <c r="C251" s="542" t="str">
        <f t="shared" si="283"/>
        <v>Investor</v>
      </c>
      <c r="D251" s="505"/>
      <c r="E251" s="536"/>
      <c r="F251" s="660">
        <f ca="1">+F249*InvestorPromote</f>
        <v>0</v>
      </c>
      <c r="G251" s="660">
        <f ca="1">+G249*InvestorPromote</f>
        <v>0</v>
      </c>
      <c r="H251" s="660">
        <f ca="1">+H249*InvestorPromote</f>
        <v>511274.52617674391</v>
      </c>
      <c r="I251" s="15"/>
      <c r="J251" s="15"/>
      <c r="K251" s="15"/>
      <c r="L251" s="15"/>
      <c r="M251" s="15"/>
      <c r="N251" s="15"/>
      <c r="O251" s="15"/>
      <c r="P251" s="15"/>
      <c r="Q251" s="15"/>
      <c r="R251" s="15"/>
      <c r="S251" s="15"/>
      <c r="T251" s="15"/>
      <c r="U251" s="15"/>
      <c r="V251" s="15"/>
      <c r="W251" s="15"/>
      <c r="X251" s="15"/>
      <c r="Y251" s="15"/>
      <c r="Z251" s="15"/>
      <c r="AA251" s="15"/>
      <c r="AB251" s="15"/>
    </row>
    <row r="252" spans="3:28" x14ac:dyDescent="0.15">
      <c r="C252" s="542" t="str">
        <f t="shared" si="283"/>
        <v>BVG</v>
      </c>
      <c r="D252" s="505"/>
      <c r="E252" s="536"/>
      <c r="F252" s="660">
        <f ca="1">+F249*BVGPromote</f>
        <v>0</v>
      </c>
      <c r="G252" s="660">
        <f ca="1">+G249*BVGPromote</f>
        <v>0</v>
      </c>
      <c r="H252" s="660">
        <f ca="1">+H249*BVGPromote</f>
        <v>511274.52617674391</v>
      </c>
      <c r="I252" s="15"/>
      <c r="J252" s="15"/>
      <c r="K252" s="15"/>
      <c r="L252" s="15"/>
      <c r="M252" s="15"/>
      <c r="N252" s="15"/>
      <c r="O252" s="15"/>
      <c r="P252" s="15"/>
      <c r="Q252" s="15"/>
      <c r="R252" s="15"/>
      <c r="S252" s="15"/>
      <c r="T252" s="15"/>
      <c r="U252" s="15"/>
      <c r="V252" s="15"/>
      <c r="W252" s="15"/>
      <c r="X252" s="15"/>
      <c r="Y252" s="15"/>
      <c r="Z252" s="15"/>
      <c r="AA252" s="15"/>
      <c r="AB252" s="15"/>
    </row>
    <row r="253" spans="3:28" x14ac:dyDescent="0.15">
      <c r="C253" s="41" t="str">
        <f t="shared" si="283"/>
        <v>Total</v>
      </c>
      <c r="D253" s="505"/>
      <c r="E253" s="536"/>
      <c r="F253" s="660"/>
      <c r="G253" s="660"/>
      <c r="H253" s="660"/>
      <c r="I253" s="15"/>
      <c r="J253" s="15"/>
      <c r="K253" s="15"/>
      <c r="L253" s="15"/>
      <c r="M253" s="15"/>
      <c r="N253" s="15"/>
      <c r="O253" s="15"/>
      <c r="P253" s="15"/>
      <c r="Q253" s="15"/>
      <c r="R253" s="15"/>
      <c r="S253" s="15"/>
      <c r="T253" s="15"/>
      <c r="U253" s="15"/>
      <c r="V253" s="15"/>
      <c r="W253" s="15"/>
      <c r="X253" s="15"/>
      <c r="Y253" s="15"/>
      <c r="Z253" s="15"/>
      <c r="AA253" s="15"/>
      <c r="AB253" s="15"/>
    </row>
    <row r="254" spans="3:28" x14ac:dyDescent="0.15">
      <c r="C254" s="542" t="str">
        <f t="shared" si="283"/>
        <v>Investor</v>
      </c>
      <c r="D254" s="505"/>
      <c r="E254" s="536"/>
      <c r="F254" s="660">
        <f ca="1">-F247+F251</f>
        <v>162983.64833333335</v>
      </c>
      <c r="G254" s="660">
        <f t="shared" ref="G254:H254" ca="1" si="284">-G247+G251</f>
        <v>281575.93113333336</v>
      </c>
      <c r="H254" s="660">
        <f t="shared" ca="1" si="284"/>
        <v>2837382.2473867433</v>
      </c>
      <c r="I254" s="15"/>
      <c r="J254" s="15"/>
      <c r="K254" s="15"/>
      <c r="L254" s="15"/>
      <c r="M254" s="15"/>
      <c r="N254" s="15"/>
      <c r="O254" s="15"/>
      <c r="P254" s="15"/>
      <c r="Q254" s="15"/>
      <c r="R254" s="15"/>
      <c r="S254" s="15"/>
      <c r="T254" s="15"/>
      <c r="U254" s="15"/>
      <c r="V254" s="15"/>
      <c r="W254" s="15"/>
      <c r="X254" s="15"/>
      <c r="Y254" s="15"/>
      <c r="Z254" s="15"/>
      <c r="AA254" s="15"/>
      <c r="AB254" s="15"/>
    </row>
    <row r="255" spans="3:28" x14ac:dyDescent="0.15">
      <c r="C255" s="542" t="str">
        <f t="shared" si="283"/>
        <v>BVG</v>
      </c>
      <c r="D255" s="505"/>
      <c r="E255" s="536"/>
      <c r="F255" s="660">
        <f ca="1">+F252</f>
        <v>0</v>
      </c>
      <c r="G255" s="660">
        <f t="shared" ref="G255:H255" ca="1" si="285">+G252</f>
        <v>0</v>
      </c>
      <c r="H255" s="660">
        <f t="shared" ca="1" si="285"/>
        <v>511274.52617674391</v>
      </c>
      <c r="I255" s="15"/>
      <c r="J255" s="15"/>
      <c r="K255" s="15"/>
      <c r="L255" s="15"/>
      <c r="M255" s="15"/>
      <c r="N255" s="15"/>
      <c r="O255" s="15"/>
      <c r="P255" s="15"/>
      <c r="Q255" s="15"/>
      <c r="R255" s="15"/>
      <c r="S255" s="15"/>
      <c r="T255" s="15"/>
      <c r="U255" s="15"/>
      <c r="V255" s="15"/>
      <c r="W255" s="15"/>
      <c r="X255" s="15"/>
      <c r="Y255" s="15"/>
      <c r="Z255" s="15"/>
      <c r="AA255" s="15"/>
      <c r="AB255" s="15"/>
    </row>
    <row r="256" spans="3:28" x14ac:dyDescent="0.15">
      <c r="C256" s="41" t="str">
        <f t="shared" si="283"/>
        <v>Total Project Cash Flow</v>
      </c>
      <c r="D256" s="505"/>
      <c r="E256" s="587">
        <f>E239</f>
        <v>-2419999.5</v>
      </c>
      <c r="F256" s="662">
        <f ca="1">+F254</f>
        <v>162983.64833333335</v>
      </c>
      <c r="G256" s="662">
        <f t="shared" ref="G256:H256" ca="1" si="286">+G254</f>
        <v>281575.93113333336</v>
      </c>
      <c r="H256" s="662">
        <f t="shared" ca="1" si="286"/>
        <v>2837382.2473867433</v>
      </c>
      <c r="I256" s="15"/>
      <c r="J256" s="15"/>
      <c r="K256" s="15"/>
      <c r="L256" s="15"/>
      <c r="M256" s="15"/>
      <c r="N256" s="15"/>
      <c r="O256" s="15"/>
      <c r="P256" s="15"/>
      <c r="Q256" s="15"/>
      <c r="R256" s="15"/>
      <c r="S256" s="15"/>
      <c r="T256" s="15"/>
      <c r="U256" s="15"/>
      <c r="V256" s="15"/>
      <c r="W256" s="15"/>
      <c r="X256" s="15"/>
      <c r="Y256" s="15"/>
      <c r="Z256" s="15"/>
      <c r="AA256" s="15"/>
      <c r="AB256" s="15"/>
    </row>
    <row r="257" spans="3:28" x14ac:dyDescent="0.15">
      <c r="C257" s="279"/>
      <c r="D257" s="505"/>
      <c r="E257" s="50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3:28" x14ac:dyDescent="0.15">
      <c r="C258" s="11" t="s">
        <v>378</v>
      </c>
      <c r="D258" s="505"/>
      <c r="E258" s="534">
        <f ca="1">IRR(E256:H256)</f>
        <v>0.11492499360877817</v>
      </c>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3:28" x14ac:dyDescent="0.15">
      <c r="C259" s="505" t="s">
        <v>356</v>
      </c>
      <c r="D259" s="505"/>
      <c r="E259" s="554">
        <f ca="1">SUM(F256:H256)/-E256</f>
        <v>1.3561745888184729</v>
      </c>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3:28" x14ac:dyDescent="0.15">
      <c r="C260" s="505" t="s">
        <v>379</v>
      </c>
      <c r="D260" s="505"/>
      <c r="E260" s="536">
        <f ca="1">SUM(F256:H256)</f>
        <v>3281941.8268534099</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3:28" x14ac:dyDescent="0.15">
      <c r="C261" s="505"/>
      <c r="D261" s="505"/>
      <c r="E261" s="50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3:28" x14ac:dyDescent="0.15">
      <c r="C262" s="505"/>
      <c r="D262" s="505"/>
      <c r="E262" s="50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4" spans="3:28" ht="16" x14ac:dyDescent="0.2">
      <c r="C264" s="760" t="s">
        <v>380</v>
      </c>
      <c r="D264" s="760"/>
      <c r="E264" s="760"/>
      <c r="F264" s="760"/>
      <c r="G264" s="760"/>
      <c r="H264" s="760"/>
      <c r="I264" s="760"/>
      <c r="J264" s="760"/>
      <c r="K264" s="15"/>
      <c r="L264" s="15"/>
      <c r="M264" s="15"/>
      <c r="N264" s="15"/>
      <c r="O264" s="15"/>
      <c r="P264" s="15"/>
      <c r="Q264" s="15"/>
      <c r="R264" s="15"/>
      <c r="S264" s="15"/>
      <c r="T264" s="15"/>
      <c r="U264" s="15"/>
      <c r="V264" s="505"/>
      <c r="W264" s="505"/>
      <c r="X264" s="505"/>
      <c r="Y264" s="505"/>
      <c r="Z264" s="505"/>
      <c r="AA264" s="505"/>
      <c r="AB264" s="505"/>
    </row>
    <row r="265" spans="3:28" ht="15" x14ac:dyDescent="0.2">
      <c r="C265" s="305"/>
      <c r="D265" s="305"/>
      <c r="E265" s="305"/>
      <c r="F265" s="659" t="s">
        <v>22</v>
      </c>
      <c r="G265" s="659" t="s">
        <v>23</v>
      </c>
      <c r="H265" s="659" t="s">
        <v>24</v>
      </c>
      <c r="I265" s="659" t="s">
        <v>25</v>
      </c>
      <c r="J265" s="659" t="s">
        <v>39</v>
      </c>
      <c r="K265" s="306"/>
      <c r="L265" s="306"/>
      <c r="M265" s="306"/>
      <c r="N265" s="306"/>
      <c r="O265" s="306"/>
      <c r="P265" s="306"/>
      <c r="Q265" s="306"/>
      <c r="R265" s="306"/>
      <c r="S265" s="306"/>
      <c r="T265" s="306"/>
      <c r="U265" s="306"/>
      <c r="V265" s="505"/>
      <c r="W265" s="505"/>
      <c r="X265" s="505"/>
      <c r="Y265" s="505"/>
      <c r="Z265" s="505"/>
      <c r="AA265" s="505"/>
      <c r="AB265" s="505"/>
    </row>
    <row r="266" spans="3:28" x14ac:dyDescent="0.15">
      <c r="C266" s="505" t="s">
        <v>225</v>
      </c>
      <c r="D266" s="505"/>
      <c r="E266" s="536"/>
      <c r="F266" s="660">
        <f ca="1">+F85</f>
        <v>198993.84000000003</v>
      </c>
      <c r="G266" s="660">
        <f ca="1">+G85</f>
        <v>296927.12280000001</v>
      </c>
      <c r="H266" s="660">
        <f ca="1">+H85</f>
        <v>392763.785256</v>
      </c>
      <c r="I266" s="660">
        <f ca="1">+I85</f>
        <v>411926.72096112004</v>
      </c>
      <c r="J266" s="660">
        <f ca="1">+J85</f>
        <v>431941.8201803423</v>
      </c>
      <c r="K266" s="15"/>
      <c r="L266" s="15"/>
      <c r="M266" s="15"/>
      <c r="N266" s="15"/>
      <c r="O266" s="15"/>
      <c r="P266" s="15"/>
      <c r="Q266" s="15"/>
      <c r="R266" s="15"/>
      <c r="S266" s="15"/>
      <c r="T266" s="15"/>
      <c r="U266" s="15"/>
      <c r="V266" s="505"/>
      <c r="W266" s="505"/>
      <c r="X266" s="505"/>
      <c r="Y266" s="505"/>
      <c r="Z266" s="505"/>
      <c r="AA266" s="505"/>
      <c r="AB266" s="505"/>
    </row>
    <row r="267" spans="3:28" x14ac:dyDescent="0.15">
      <c r="C267" s="505"/>
      <c r="D267" s="505"/>
      <c r="E267" s="536"/>
      <c r="F267" s="660"/>
      <c r="G267" s="660"/>
      <c r="H267" s="660"/>
      <c r="I267" s="660"/>
      <c r="J267" s="660"/>
      <c r="K267" s="15"/>
      <c r="L267" s="15"/>
      <c r="M267" s="15"/>
      <c r="N267" s="15"/>
      <c r="O267" s="15"/>
      <c r="P267" s="15"/>
      <c r="Q267" s="15"/>
      <c r="R267" s="15"/>
      <c r="S267" s="15"/>
      <c r="T267" s="15"/>
      <c r="U267" s="15"/>
      <c r="V267" s="505"/>
      <c r="W267" s="505"/>
      <c r="X267" s="505"/>
      <c r="Y267" s="505"/>
      <c r="Z267" s="505"/>
      <c r="AA267" s="505"/>
      <c r="AB267" s="505"/>
    </row>
    <row r="268" spans="3:28" x14ac:dyDescent="0.15">
      <c r="C268" s="11" t="str">
        <f t="shared" ref="C268:C274" si="287">+C215</f>
        <v>Debt service</v>
      </c>
      <c r="D268" s="505"/>
      <c r="E268" s="536"/>
      <c r="F268" s="660"/>
      <c r="G268" s="660"/>
      <c r="H268" s="660"/>
      <c r="I268" s="660"/>
      <c r="J268" s="660"/>
      <c r="K268" s="15"/>
      <c r="L268" s="15"/>
      <c r="M268" s="15"/>
      <c r="N268" s="15"/>
      <c r="O268" s="15"/>
      <c r="P268" s="15"/>
      <c r="Q268" s="15"/>
      <c r="R268" s="15"/>
      <c r="S268" s="15"/>
      <c r="T268" s="15"/>
      <c r="U268" s="15"/>
      <c r="V268" s="505"/>
      <c r="W268" s="505"/>
      <c r="X268" s="505"/>
      <c r="Y268" s="505"/>
      <c r="Z268" s="505"/>
      <c r="AA268" s="505"/>
      <c r="AB268" s="505"/>
    </row>
    <row r="269" spans="3:28" x14ac:dyDescent="0.15">
      <c r="C269" s="32" t="str">
        <f t="shared" si="287"/>
        <v>Additional debt/Refinance</v>
      </c>
      <c r="D269" s="505"/>
      <c r="E269" s="536"/>
      <c r="F269" s="536">
        <f t="shared" ref="F269:J274" si="288">F92</f>
        <v>2890000</v>
      </c>
      <c r="G269" s="536">
        <f t="shared" si="288"/>
        <v>2890000</v>
      </c>
      <c r="H269" s="536">
        <f t="shared" si="288"/>
        <v>2890000</v>
      </c>
      <c r="I269" s="536">
        <f t="shared" si="288"/>
        <v>2858854.8812853061</v>
      </c>
      <c r="J269" s="536">
        <f t="shared" si="288"/>
        <v>2825674.7664680597</v>
      </c>
      <c r="K269" s="15"/>
      <c r="L269" s="15"/>
      <c r="M269" s="15"/>
      <c r="N269" s="15"/>
      <c r="O269" s="15"/>
      <c r="P269" s="15"/>
      <c r="Q269" s="15"/>
      <c r="R269" s="15"/>
      <c r="S269" s="15"/>
      <c r="T269" s="15"/>
      <c r="U269" s="15"/>
      <c r="V269" s="505"/>
      <c r="W269" s="505"/>
      <c r="X269" s="505"/>
      <c r="Y269" s="505"/>
      <c r="Z269" s="505"/>
      <c r="AA269" s="505"/>
      <c r="AB269" s="505"/>
    </row>
    <row r="270" spans="3:28" x14ac:dyDescent="0.15">
      <c r="C270" s="508" t="str">
        <f t="shared" si="287"/>
        <v>Additional debt/Refinance</v>
      </c>
      <c r="D270" s="505"/>
      <c r="E270" s="536"/>
      <c r="F270" s="536">
        <f t="shared" si="288"/>
        <v>0</v>
      </c>
      <c r="G270" s="536">
        <f t="shared" si="288"/>
        <v>0</v>
      </c>
      <c r="H270" s="536">
        <f t="shared" si="288"/>
        <v>0</v>
      </c>
      <c r="I270" s="536">
        <f t="shared" si="288"/>
        <v>0</v>
      </c>
      <c r="J270" s="536">
        <f t="shared" si="288"/>
        <v>0</v>
      </c>
      <c r="K270" s="15"/>
      <c r="L270" s="15"/>
      <c r="M270" s="15"/>
      <c r="N270" s="15"/>
      <c r="O270" s="15"/>
      <c r="P270" s="15"/>
      <c r="Q270" s="15"/>
      <c r="R270" s="15"/>
      <c r="S270" s="15"/>
      <c r="T270" s="15"/>
      <c r="U270" s="15"/>
      <c r="V270" s="505"/>
      <c r="W270" s="505"/>
      <c r="X270" s="505"/>
      <c r="Y270" s="505"/>
      <c r="Z270" s="505"/>
      <c r="AA270" s="505"/>
      <c r="AB270" s="505"/>
    </row>
    <row r="271" spans="3:28" x14ac:dyDescent="0.15">
      <c r="C271" s="32" t="str">
        <f t="shared" si="287"/>
        <v>Payment</v>
      </c>
      <c r="D271" s="505"/>
      <c r="E271" s="536"/>
      <c r="F271" s="536">
        <f t="shared" si="288"/>
        <v>188830.19166666668</v>
      </c>
      <c r="G271" s="536">
        <f t="shared" si="288"/>
        <v>188830.19166666668</v>
      </c>
      <c r="H271" s="536">
        <f t="shared" si="288"/>
        <v>219975.31038136044</v>
      </c>
      <c r="I271" s="536">
        <f t="shared" si="288"/>
        <v>219975.31038136044</v>
      </c>
      <c r="J271" s="536">
        <f t="shared" si="288"/>
        <v>219975.31038136044</v>
      </c>
      <c r="K271" s="15"/>
      <c r="L271" s="15"/>
      <c r="M271" s="15"/>
      <c r="N271" s="15"/>
      <c r="O271" s="15"/>
      <c r="P271" s="15"/>
      <c r="Q271" s="15"/>
      <c r="R271" s="15"/>
      <c r="S271" s="15"/>
      <c r="T271" s="15"/>
      <c r="U271" s="15"/>
      <c r="V271" s="505"/>
      <c r="W271" s="505"/>
      <c r="X271" s="505"/>
      <c r="Y271" s="505"/>
      <c r="Z271" s="505"/>
      <c r="AA271" s="505"/>
      <c r="AB271" s="505"/>
    </row>
    <row r="272" spans="3:28" x14ac:dyDescent="0.15">
      <c r="C272" s="32" t="str">
        <f t="shared" si="287"/>
        <v>Principal</v>
      </c>
      <c r="D272" s="505"/>
      <c r="E272" s="536"/>
      <c r="F272" s="536">
        <f t="shared" si="288"/>
        <v>0</v>
      </c>
      <c r="G272" s="536">
        <f t="shared" si="288"/>
        <v>0</v>
      </c>
      <c r="H272" s="536">
        <f t="shared" si="288"/>
        <v>31145.118714693759</v>
      </c>
      <c r="I272" s="536">
        <f t="shared" si="288"/>
        <v>33180.114817246271</v>
      </c>
      <c r="J272" s="536">
        <f t="shared" si="288"/>
        <v>35348.075869309454</v>
      </c>
      <c r="K272" s="15"/>
      <c r="L272" s="15"/>
      <c r="M272" s="15"/>
      <c r="N272" s="15"/>
      <c r="O272" s="15"/>
      <c r="P272" s="15"/>
      <c r="Q272" s="15"/>
      <c r="R272" s="15"/>
      <c r="S272" s="15"/>
      <c r="T272" s="15"/>
      <c r="U272" s="15"/>
      <c r="V272" s="505"/>
      <c r="W272" s="505"/>
      <c r="X272" s="505"/>
      <c r="Y272" s="505"/>
      <c r="Z272" s="505"/>
      <c r="AA272" s="505"/>
      <c r="AB272" s="505"/>
    </row>
    <row r="273" spans="3:28" x14ac:dyDescent="0.15">
      <c r="C273" s="32" t="str">
        <f t="shared" si="287"/>
        <v>Interest</v>
      </c>
      <c r="D273" s="505"/>
      <c r="E273" s="536"/>
      <c r="F273" s="536">
        <f t="shared" si="288"/>
        <v>188830.19166666668</v>
      </c>
      <c r="G273" s="536">
        <f t="shared" si="288"/>
        <v>188830.19166666668</v>
      </c>
      <c r="H273" s="536">
        <f t="shared" si="288"/>
        <v>188830.19166666668</v>
      </c>
      <c r="I273" s="536">
        <f t="shared" si="288"/>
        <v>186795.19556411417</v>
      </c>
      <c r="J273" s="536">
        <f t="shared" si="288"/>
        <v>184627.23451205099</v>
      </c>
      <c r="K273" s="15"/>
      <c r="L273" s="15"/>
      <c r="M273" s="15"/>
      <c r="N273" s="15"/>
      <c r="O273" s="15"/>
      <c r="P273" s="15"/>
      <c r="Q273" s="15"/>
      <c r="R273" s="15"/>
      <c r="S273" s="15"/>
      <c r="T273" s="15"/>
      <c r="U273" s="15"/>
      <c r="V273" s="505"/>
      <c r="W273" s="505"/>
      <c r="X273" s="505"/>
      <c r="Y273" s="505"/>
      <c r="Z273" s="505"/>
      <c r="AA273" s="505"/>
      <c r="AB273" s="505"/>
    </row>
    <row r="274" spans="3:28" x14ac:dyDescent="0.15">
      <c r="C274" s="32" t="str">
        <f t="shared" si="287"/>
        <v>Ending balance</v>
      </c>
      <c r="D274" s="505"/>
      <c r="E274" s="536"/>
      <c r="F274" s="536">
        <f t="shared" si="288"/>
        <v>2890000</v>
      </c>
      <c r="G274" s="536">
        <f t="shared" si="288"/>
        <v>2890000</v>
      </c>
      <c r="H274" s="536">
        <f t="shared" si="288"/>
        <v>2858854.8812853061</v>
      </c>
      <c r="I274" s="536">
        <f t="shared" si="288"/>
        <v>2825674.7664680597</v>
      </c>
      <c r="J274" s="536">
        <f t="shared" si="288"/>
        <v>2790326.6905987505</v>
      </c>
      <c r="K274" s="15"/>
      <c r="L274" s="15"/>
      <c r="M274" s="15"/>
      <c r="N274" s="15"/>
      <c r="O274" s="15"/>
      <c r="P274" s="15"/>
      <c r="Q274" s="15"/>
      <c r="R274" s="15"/>
      <c r="S274" s="15"/>
      <c r="T274" s="15"/>
      <c r="U274" s="15"/>
      <c r="V274" s="505"/>
      <c r="W274" s="505"/>
      <c r="X274" s="505"/>
      <c r="Y274" s="505"/>
      <c r="Z274" s="505"/>
      <c r="AA274" s="505"/>
      <c r="AB274" s="505"/>
    </row>
    <row r="275" spans="3:28" x14ac:dyDescent="0.15">
      <c r="C275" s="505"/>
      <c r="D275" s="505"/>
      <c r="E275" s="536"/>
      <c r="F275" s="536"/>
      <c r="G275" s="536"/>
      <c r="H275" s="536"/>
      <c r="I275" s="660"/>
      <c r="J275" s="660"/>
      <c r="K275" s="15"/>
      <c r="L275" s="15"/>
      <c r="M275" s="15"/>
      <c r="N275" s="15"/>
      <c r="O275" s="15"/>
      <c r="P275" s="15"/>
      <c r="Q275" s="15"/>
      <c r="R275" s="15"/>
      <c r="S275" s="15"/>
      <c r="T275" s="15"/>
      <c r="U275" s="15"/>
      <c r="V275" s="505"/>
      <c r="W275" s="505"/>
      <c r="X275" s="505"/>
      <c r="Y275" s="505"/>
      <c r="Z275" s="505"/>
      <c r="AA275" s="505"/>
      <c r="AB275" s="505"/>
    </row>
    <row r="276" spans="3:28" x14ac:dyDescent="0.15">
      <c r="C276" s="270">
        <f>+C223</f>
        <v>0</v>
      </c>
      <c r="D276" s="505"/>
      <c r="E276" s="536"/>
      <c r="F276" s="536"/>
      <c r="G276" s="536"/>
      <c r="H276" s="536"/>
      <c r="I276" s="660"/>
      <c r="J276" s="660"/>
      <c r="K276" s="15"/>
      <c r="L276" s="15"/>
      <c r="M276" s="15"/>
      <c r="N276" s="15"/>
      <c r="O276" s="15"/>
      <c r="P276" s="15"/>
      <c r="Q276" s="15"/>
      <c r="R276" s="15"/>
      <c r="S276" s="15"/>
      <c r="T276" s="15"/>
      <c r="U276" s="15"/>
      <c r="V276" s="505"/>
      <c r="W276" s="505"/>
      <c r="X276" s="505"/>
      <c r="Y276" s="505"/>
      <c r="Z276" s="505"/>
      <c r="AA276" s="505"/>
      <c r="AB276" s="505"/>
    </row>
    <row r="277" spans="3:28" x14ac:dyDescent="0.15">
      <c r="C277" s="505"/>
      <c r="D277" s="505"/>
      <c r="E277" s="536"/>
      <c r="F277" s="536"/>
      <c r="G277" s="536"/>
      <c r="H277" s="536"/>
      <c r="I277" s="660"/>
      <c r="J277" s="660"/>
      <c r="K277" s="15"/>
      <c r="L277" s="15"/>
      <c r="M277" s="15"/>
      <c r="N277" s="15"/>
      <c r="O277" s="15"/>
      <c r="P277" s="15"/>
      <c r="Q277" s="15"/>
      <c r="R277" s="15"/>
      <c r="S277" s="15"/>
      <c r="T277" s="15"/>
      <c r="U277" s="15"/>
      <c r="V277" s="505"/>
      <c r="W277" s="505"/>
      <c r="X277" s="505"/>
      <c r="Y277" s="505"/>
      <c r="Z277" s="505"/>
      <c r="AA277" s="505"/>
      <c r="AB277" s="505"/>
    </row>
    <row r="278" spans="3:28" x14ac:dyDescent="0.15">
      <c r="C278" s="36" t="str">
        <f>+C225</f>
        <v>Refinance Valuation (from Proforma above)</v>
      </c>
      <c r="D278" s="505"/>
      <c r="E278" s="536"/>
      <c r="F278" s="536">
        <f ca="1">F102</f>
        <v>3061443.6923076925</v>
      </c>
      <c r="G278" s="536">
        <f ca="1">G102</f>
        <v>4568109.5815384611</v>
      </c>
      <c r="H278" s="536">
        <f ca="1">H102</f>
        <v>6042519.7731692307</v>
      </c>
      <c r="I278" s="536">
        <f ca="1">I102</f>
        <v>6337334.1686326154</v>
      </c>
      <c r="J278" s="536">
        <f ca="1">J102</f>
        <v>6645258.7720052656</v>
      </c>
      <c r="K278" s="15"/>
      <c r="L278" s="15"/>
      <c r="M278" s="15"/>
      <c r="N278" s="15"/>
      <c r="O278" s="15"/>
      <c r="P278" s="15"/>
      <c r="Q278" s="15"/>
      <c r="R278" s="15"/>
      <c r="S278" s="15"/>
      <c r="T278" s="15"/>
      <c r="U278" s="15"/>
      <c r="V278" s="505"/>
      <c r="W278" s="505"/>
      <c r="X278" s="505"/>
      <c r="Y278" s="505"/>
      <c r="Z278" s="505"/>
      <c r="AA278" s="505"/>
      <c r="AB278" s="505"/>
    </row>
    <row r="279" spans="3:28" x14ac:dyDescent="0.15">
      <c r="C279" s="35"/>
      <c r="D279" s="505"/>
      <c r="E279" s="536"/>
      <c r="F279" s="536"/>
      <c r="G279" s="536"/>
      <c r="H279" s="536"/>
      <c r="I279" s="660"/>
      <c r="J279" s="660"/>
      <c r="K279" s="15"/>
      <c r="L279" s="15"/>
      <c r="M279" s="15"/>
      <c r="N279" s="15"/>
      <c r="O279" s="15"/>
      <c r="P279" s="15"/>
      <c r="Q279" s="15"/>
      <c r="R279" s="15"/>
      <c r="S279" s="15"/>
      <c r="T279" s="15"/>
      <c r="U279" s="15"/>
      <c r="V279" s="505"/>
      <c r="W279" s="505"/>
      <c r="X279" s="505"/>
      <c r="Y279" s="505"/>
      <c r="Z279" s="505"/>
      <c r="AA279" s="505"/>
      <c r="AB279" s="505"/>
    </row>
    <row r="280" spans="3:28" x14ac:dyDescent="0.15">
      <c r="C280" s="508" t="str">
        <f>+C227</f>
        <v>Net Cash Flow after Debt Service</v>
      </c>
      <c r="D280" s="505"/>
      <c r="E280" s="536"/>
      <c r="F280" s="536">
        <f ca="1">F104</f>
        <v>10163.648333333345</v>
      </c>
      <c r="G280" s="536">
        <f ca="1">G104</f>
        <v>108096.93113333333</v>
      </c>
      <c r="H280" s="536">
        <f ca="1">H104</f>
        <v>172788.47487463956</v>
      </c>
      <c r="I280" s="536">
        <f ca="1">I104</f>
        <v>191951.4105797596</v>
      </c>
      <c r="J280" s="536">
        <f ca="1">J104</f>
        <v>211966.50979898186</v>
      </c>
      <c r="K280" s="15"/>
      <c r="L280" s="15"/>
      <c r="M280" s="15"/>
      <c r="N280" s="15"/>
      <c r="O280" s="15"/>
      <c r="P280" s="15"/>
      <c r="Q280" s="15"/>
      <c r="R280" s="15"/>
      <c r="S280" s="15"/>
      <c r="T280" s="15"/>
      <c r="U280" s="15"/>
      <c r="V280" s="505"/>
      <c r="W280" s="505"/>
      <c r="X280" s="505"/>
      <c r="Y280" s="505"/>
      <c r="Z280" s="505"/>
      <c r="AA280" s="505"/>
      <c r="AB280" s="505"/>
    </row>
    <row r="281" spans="3:28" x14ac:dyDescent="0.15">
      <c r="C281" s="508" t="str">
        <f>+C228</f>
        <v>Cash from Sale of POH</v>
      </c>
      <c r="D281" s="505"/>
      <c r="E281" s="536"/>
      <c r="F281" s="536">
        <f t="shared" ref="F281:J284" si="289">F105</f>
        <v>0</v>
      </c>
      <c r="G281" s="536">
        <f t="shared" si="289"/>
        <v>0</v>
      </c>
      <c r="H281" s="536">
        <f t="shared" si="289"/>
        <v>0</v>
      </c>
      <c r="I281" s="536">
        <f t="shared" si="289"/>
        <v>0</v>
      </c>
      <c r="J281" s="536">
        <f t="shared" si="289"/>
        <v>0</v>
      </c>
      <c r="K281" s="15"/>
      <c r="L281" s="15"/>
      <c r="M281" s="15"/>
      <c r="N281" s="15"/>
      <c r="O281" s="15"/>
      <c r="P281" s="15"/>
      <c r="Q281" s="15"/>
      <c r="R281" s="15"/>
      <c r="S281" s="15"/>
      <c r="T281" s="15"/>
      <c r="U281" s="15"/>
      <c r="V281" s="505"/>
      <c r="W281" s="505"/>
      <c r="X281" s="505"/>
      <c r="Y281" s="505"/>
      <c r="Z281" s="505"/>
      <c r="AA281" s="505"/>
      <c r="AB281" s="505"/>
    </row>
    <row r="282" spans="3:28" x14ac:dyDescent="0.15">
      <c r="C282" s="508" t="str">
        <f>+C229</f>
        <v>Net Operating Cash Flow From POH</v>
      </c>
      <c r="D282" s="505"/>
      <c r="E282" s="536"/>
      <c r="F282" s="536">
        <f t="shared" si="289"/>
        <v>152820</v>
      </c>
      <c r="G282" s="536">
        <f t="shared" si="289"/>
        <v>173479</v>
      </c>
      <c r="H282" s="536">
        <f t="shared" si="289"/>
        <v>173479</v>
      </c>
      <c r="I282" s="536">
        <f t="shared" si="289"/>
        <v>173479</v>
      </c>
      <c r="J282" s="536">
        <f t="shared" si="289"/>
        <v>173479</v>
      </c>
      <c r="K282" s="15"/>
      <c r="L282" s="15"/>
      <c r="M282" s="15"/>
      <c r="N282" s="15"/>
      <c r="O282" s="15"/>
      <c r="P282" s="15"/>
      <c r="Q282" s="15"/>
      <c r="R282" s="15"/>
      <c r="S282" s="15"/>
      <c r="T282" s="15"/>
      <c r="U282" s="15"/>
      <c r="V282" s="505"/>
      <c r="W282" s="505"/>
      <c r="X282" s="505"/>
      <c r="Y282" s="505"/>
      <c r="Z282" s="505"/>
      <c r="AA282" s="505"/>
      <c r="AB282" s="505"/>
    </row>
    <row r="283" spans="3:28" x14ac:dyDescent="0.15">
      <c r="C283" s="508" t="str">
        <f>+C230</f>
        <v>Note Income from POH</v>
      </c>
      <c r="D283" s="505"/>
      <c r="E283" s="536"/>
      <c r="F283" s="536">
        <f t="shared" si="289"/>
        <v>0</v>
      </c>
      <c r="G283" s="536">
        <f t="shared" si="289"/>
        <v>0</v>
      </c>
      <c r="H283" s="536">
        <f t="shared" si="289"/>
        <v>0</v>
      </c>
      <c r="I283" s="536">
        <f t="shared" si="289"/>
        <v>0</v>
      </c>
      <c r="J283" s="536">
        <f t="shared" si="289"/>
        <v>0</v>
      </c>
      <c r="K283" s="15"/>
      <c r="L283" s="15"/>
      <c r="M283" s="15"/>
      <c r="N283" s="15"/>
      <c r="O283" s="15"/>
      <c r="P283" s="15"/>
      <c r="Q283" s="15"/>
      <c r="R283" s="15"/>
      <c r="S283" s="15"/>
      <c r="T283" s="15"/>
      <c r="U283" s="15"/>
      <c r="V283" s="505"/>
      <c r="W283" s="505"/>
      <c r="X283" s="505"/>
      <c r="Y283" s="505"/>
      <c r="Z283" s="505"/>
      <c r="AA283" s="505"/>
      <c r="AB283" s="505"/>
    </row>
    <row r="284" spans="3:28" x14ac:dyDescent="0.15">
      <c r="C284" s="508" t="str">
        <f>+C231</f>
        <v>Acquisition Fee</v>
      </c>
      <c r="D284" s="505"/>
      <c r="E284" s="536"/>
      <c r="F284" s="536">
        <f t="shared" si="289"/>
        <v>0</v>
      </c>
      <c r="G284" s="536">
        <f t="shared" si="289"/>
        <v>0</v>
      </c>
      <c r="H284" s="536">
        <f t="shared" si="289"/>
        <v>0</v>
      </c>
      <c r="I284" s="536">
        <f t="shared" si="289"/>
        <v>0</v>
      </c>
      <c r="J284" s="536">
        <f t="shared" si="289"/>
        <v>0</v>
      </c>
      <c r="K284" s="15"/>
      <c r="L284" s="15"/>
      <c r="M284" s="15"/>
      <c r="N284" s="15"/>
      <c r="O284" s="15"/>
      <c r="P284" s="15"/>
      <c r="Q284" s="15"/>
      <c r="R284" s="15"/>
      <c r="S284" s="15"/>
      <c r="T284" s="15"/>
      <c r="U284" s="15"/>
      <c r="V284" s="505"/>
      <c r="W284" s="505"/>
      <c r="X284" s="505"/>
      <c r="Y284" s="505"/>
      <c r="Z284" s="505"/>
      <c r="AA284" s="505"/>
      <c r="AB284" s="505"/>
    </row>
    <row r="285" spans="3:28" x14ac:dyDescent="0.15">
      <c r="C285" s="508" t="str">
        <f t="shared" ref="C285:C288" si="290">+C232</f>
        <v>Acquisition Fee</v>
      </c>
      <c r="D285" s="505"/>
      <c r="E285" s="536"/>
      <c r="F285" s="536">
        <f t="shared" ref="F285:J288" si="291">F108</f>
        <v>0</v>
      </c>
      <c r="G285" s="536">
        <f t="shared" si="291"/>
        <v>0</v>
      </c>
      <c r="H285" s="536">
        <f t="shared" si="291"/>
        <v>0</v>
      </c>
      <c r="I285" s="536">
        <f t="shared" si="291"/>
        <v>0</v>
      </c>
      <c r="J285" s="536">
        <f t="shared" si="291"/>
        <v>0</v>
      </c>
      <c r="K285" s="15"/>
      <c r="L285" s="15"/>
      <c r="M285" s="15"/>
      <c r="N285" s="15"/>
      <c r="O285" s="15"/>
      <c r="P285" s="15"/>
      <c r="Q285" s="15"/>
      <c r="R285" s="15"/>
      <c r="S285" s="15"/>
      <c r="T285" s="15"/>
      <c r="U285" s="15"/>
      <c r="V285" s="505"/>
      <c r="W285" s="505"/>
      <c r="X285" s="505"/>
      <c r="Y285" s="505"/>
      <c r="Z285" s="505"/>
      <c r="AA285" s="505"/>
      <c r="AB285" s="505"/>
    </row>
    <row r="286" spans="3:28" x14ac:dyDescent="0.15">
      <c r="C286" s="508" t="str">
        <f t="shared" si="290"/>
        <v>Asset Management Fee</v>
      </c>
      <c r="D286" s="505"/>
      <c r="E286" s="536"/>
      <c r="F286" s="536">
        <f t="shared" si="291"/>
        <v>0</v>
      </c>
      <c r="G286" s="536">
        <f t="shared" si="291"/>
        <v>0</v>
      </c>
      <c r="H286" s="536">
        <f t="shared" si="291"/>
        <v>0</v>
      </c>
      <c r="I286" s="536">
        <f t="shared" si="291"/>
        <v>0</v>
      </c>
      <c r="J286" s="536">
        <f t="shared" si="291"/>
        <v>0</v>
      </c>
      <c r="K286" s="15"/>
      <c r="L286" s="15"/>
      <c r="M286" s="15"/>
      <c r="N286" s="15"/>
      <c r="O286" s="15"/>
      <c r="P286" s="15"/>
      <c r="Q286" s="15"/>
      <c r="R286" s="15"/>
      <c r="S286" s="15"/>
      <c r="T286" s="15"/>
      <c r="U286" s="15"/>
      <c r="V286" s="505"/>
      <c r="W286" s="505"/>
      <c r="X286" s="505"/>
      <c r="Y286" s="505"/>
      <c r="Z286" s="505"/>
      <c r="AA286" s="505"/>
      <c r="AB286" s="505"/>
    </row>
    <row r="287" spans="3:28" x14ac:dyDescent="0.15">
      <c r="C287" s="508" t="str">
        <f t="shared" si="290"/>
        <v>Refinance Fee</v>
      </c>
      <c r="D287" s="505"/>
      <c r="E287" s="536"/>
      <c r="F287" s="536">
        <f t="shared" si="291"/>
        <v>0</v>
      </c>
      <c r="G287" s="536">
        <f t="shared" si="291"/>
        <v>0</v>
      </c>
      <c r="H287" s="536">
        <f t="shared" si="291"/>
        <v>0</v>
      </c>
      <c r="I287" s="536">
        <f t="shared" si="291"/>
        <v>0</v>
      </c>
      <c r="J287" s="536">
        <f t="shared" ca="1" si="291"/>
        <v>0</v>
      </c>
      <c r="K287" s="15"/>
      <c r="L287" s="15"/>
      <c r="M287" s="15"/>
      <c r="N287" s="15"/>
      <c r="O287" s="15"/>
      <c r="P287" s="15"/>
      <c r="Q287" s="15"/>
      <c r="R287" s="15"/>
      <c r="S287" s="15"/>
      <c r="T287" s="15"/>
      <c r="U287" s="15"/>
      <c r="V287" s="505"/>
      <c r="W287" s="505"/>
      <c r="X287" s="505"/>
      <c r="Y287" s="505"/>
      <c r="Z287" s="505"/>
      <c r="AA287" s="505"/>
      <c r="AB287" s="505"/>
    </row>
    <row r="288" spans="3:28" x14ac:dyDescent="0.15">
      <c r="C288" s="508">
        <f t="shared" si="290"/>
        <v>0</v>
      </c>
      <c r="D288" s="505"/>
      <c r="E288" s="536"/>
      <c r="F288" s="536">
        <f t="shared" si="291"/>
        <v>0</v>
      </c>
      <c r="G288" s="536">
        <f t="shared" si="291"/>
        <v>0</v>
      </c>
      <c r="H288" s="536">
        <f t="shared" si="291"/>
        <v>0</v>
      </c>
      <c r="I288" s="536">
        <f t="shared" si="291"/>
        <v>0</v>
      </c>
      <c r="J288" s="536">
        <f t="shared" si="291"/>
        <v>0</v>
      </c>
      <c r="K288" s="15"/>
      <c r="L288" s="15"/>
      <c r="M288" s="15"/>
      <c r="N288" s="15"/>
      <c r="O288" s="15"/>
      <c r="P288" s="15"/>
      <c r="Q288" s="15"/>
      <c r="R288" s="15"/>
      <c r="S288" s="15"/>
      <c r="T288" s="15"/>
      <c r="U288" s="15"/>
      <c r="V288" s="505"/>
      <c r="W288" s="505"/>
      <c r="X288" s="505"/>
      <c r="Y288" s="505"/>
      <c r="Z288" s="505"/>
      <c r="AA288" s="505"/>
      <c r="AB288" s="505"/>
    </row>
    <row r="289" spans="3:28" x14ac:dyDescent="0.15">
      <c r="C289" s="508" t="str">
        <f>+C236</f>
        <v>Return of Capital (other)</v>
      </c>
      <c r="D289" s="505"/>
      <c r="E289" s="536"/>
      <c r="F289" s="536">
        <f t="shared" ref="F289:I290" si="292">F113</f>
        <v>0</v>
      </c>
      <c r="G289" s="536">
        <f t="shared" si="292"/>
        <v>0</v>
      </c>
      <c r="H289" s="536">
        <f t="shared" si="292"/>
        <v>0</v>
      </c>
      <c r="I289" s="536">
        <f t="shared" si="292"/>
        <v>0</v>
      </c>
      <c r="J289" s="536"/>
      <c r="K289" s="15"/>
      <c r="L289" s="15"/>
      <c r="M289" s="15"/>
      <c r="N289" s="15"/>
      <c r="O289" s="15"/>
      <c r="P289" s="15"/>
      <c r="Q289" s="15"/>
      <c r="R289" s="15"/>
      <c r="S289" s="15"/>
      <c r="T289" s="15"/>
      <c r="U289" s="15"/>
      <c r="V289" s="505"/>
      <c r="W289" s="505"/>
      <c r="X289" s="505"/>
      <c r="Y289" s="505"/>
      <c r="Z289" s="505"/>
      <c r="AA289" s="505"/>
      <c r="AB289" s="505"/>
    </row>
    <row r="290" spans="3:28" x14ac:dyDescent="0.15">
      <c r="C290" s="508" t="str">
        <f>+C237</f>
        <v>Sale Proceeds at Exit</v>
      </c>
      <c r="D290" s="505"/>
      <c r="E290" s="536"/>
      <c r="F290" s="536">
        <f t="shared" si="292"/>
        <v>0</v>
      </c>
      <c r="G290" s="536">
        <f t="shared" si="292"/>
        <v>0</v>
      </c>
      <c r="H290" s="536">
        <f t="shared" si="292"/>
        <v>0</v>
      </c>
      <c r="I290" s="536">
        <f t="shared" si="292"/>
        <v>0</v>
      </c>
      <c r="J290" s="536">
        <f ca="1">+(J266/RefiCap)*(1-Cost_of_Sale)</f>
        <v>6445901.0088451076</v>
      </c>
      <c r="K290" s="15"/>
      <c r="L290" s="15"/>
      <c r="M290" s="15"/>
      <c r="N290" s="15"/>
      <c r="O290" s="15"/>
      <c r="P290" s="15"/>
      <c r="Q290" s="15"/>
      <c r="R290" s="15"/>
      <c r="S290" s="15"/>
      <c r="T290" s="15"/>
      <c r="U290" s="15"/>
      <c r="V290" s="505"/>
      <c r="W290" s="505"/>
      <c r="X290" s="505"/>
      <c r="Y290" s="505"/>
      <c r="Z290" s="505"/>
      <c r="AA290" s="505"/>
      <c r="AB290" s="505"/>
    </row>
    <row r="291" spans="3:28" x14ac:dyDescent="0.15">
      <c r="C291" s="508" t="str">
        <f>+C238</f>
        <v>Repay Outstanding Loan</v>
      </c>
      <c r="D291" s="505"/>
      <c r="E291" s="536"/>
      <c r="F291" s="536"/>
      <c r="G291" s="536"/>
      <c r="H291" s="536"/>
      <c r="I291" s="536"/>
      <c r="J291" s="536">
        <f>-J274</f>
        <v>-2790326.6905987505</v>
      </c>
      <c r="K291" s="15"/>
      <c r="L291" s="15"/>
      <c r="M291" s="15"/>
      <c r="N291" s="15"/>
      <c r="O291" s="15"/>
      <c r="P291" s="15"/>
      <c r="Q291" s="15"/>
      <c r="R291" s="15"/>
      <c r="S291" s="15"/>
      <c r="T291" s="15"/>
      <c r="U291" s="15"/>
      <c r="V291" s="505"/>
      <c r="W291" s="505"/>
      <c r="X291" s="505"/>
      <c r="Y291" s="505"/>
      <c r="Z291" s="505"/>
      <c r="AA291" s="505"/>
      <c r="AB291" s="505"/>
    </row>
    <row r="292" spans="3:28" ht="14" thickBot="1" x14ac:dyDescent="0.2">
      <c r="C292" s="580" t="str">
        <f>+C239</f>
        <v>Pretax Income Available for Distribution</v>
      </c>
      <c r="D292" s="505"/>
      <c r="E292" s="536">
        <f>E239</f>
        <v>-2419999.5</v>
      </c>
      <c r="F292" s="536">
        <f ca="1">SUM(F280:F291)</f>
        <v>162983.64833333335</v>
      </c>
      <c r="G292" s="536">
        <f t="shared" ref="G292:J292" ca="1" si="293">SUM(G280:G291)</f>
        <v>281575.93113333336</v>
      </c>
      <c r="H292" s="536">
        <f t="shared" ca="1" si="293"/>
        <v>346267.47487463953</v>
      </c>
      <c r="I292" s="536">
        <f t="shared" ca="1" si="293"/>
        <v>365430.41057975963</v>
      </c>
      <c r="J292" s="536">
        <f t="shared" ca="1" si="293"/>
        <v>4041019.8280453393</v>
      </c>
      <c r="K292" s="15"/>
      <c r="L292" s="15"/>
      <c r="M292" s="15"/>
      <c r="N292" s="15"/>
      <c r="O292" s="15"/>
      <c r="P292" s="15"/>
      <c r="Q292" s="15"/>
      <c r="R292" s="15"/>
      <c r="S292" s="15"/>
      <c r="T292" s="15"/>
      <c r="U292" s="15"/>
      <c r="V292" s="505"/>
      <c r="W292" s="505"/>
      <c r="X292" s="505"/>
      <c r="Y292" s="505"/>
      <c r="Z292" s="505"/>
      <c r="AA292" s="505"/>
      <c r="AB292" s="505"/>
    </row>
    <row r="293" spans="3:28" ht="14" thickTop="1" x14ac:dyDescent="0.15">
      <c r="C293" s="505"/>
      <c r="D293" s="505"/>
      <c r="E293" s="50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3:28" x14ac:dyDescent="0.15">
      <c r="C294" s="11" t="s">
        <v>381</v>
      </c>
      <c r="D294" s="505"/>
      <c r="E294" s="534">
        <f ca="1">IRR(E292:J292)</f>
        <v>0.18964339177038103</v>
      </c>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3:28" x14ac:dyDescent="0.15">
      <c r="C295" s="508"/>
      <c r="D295" s="505"/>
      <c r="E295" s="50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3:28" x14ac:dyDescent="0.15">
      <c r="C296" s="11" t="str">
        <f t="shared" ref="C296:C309" si="294">+C243</f>
        <v>Distributions</v>
      </c>
      <c r="D296" s="505"/>
      <c r="E296" s="505"/>
      <c r="F296" s="13"/>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3:28" x14ac:dyDescent="0.15">
      <c r="C297" s="508" t="str">
        <f t="shared" si="294"/>
        <v>Investor Preferred Return</v>
      </c>
      <c r="D297" s="505"/>
      <c r="E297" s="505"/>
      <c r="F297" s="13"/>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3:28" x14ac:dyDescent="0.15">
      <c r="C298" s="23" t="str">
        <f t="shared" si="294"/>
        <v>Beginning balance</v>
      </c>
      <c r="D298" s="505"/>
      <c r="E298" s="536"/>
      <c r="F298" s="660">
        <f>-E292</f>
        <v>2419999.5</v>
      </c>
      <c r="G298" s="660">
        <f ca="1">+F301</f>
        <v>2378015.8266666667</v>
      </c>
      <c r="H298" s="660">
        <f t="shared" ref="H298:J298" ca="1" si="295">+G301</f>
        <v>2215340.6868666662</v>
      </c>
      <c r="I298" s="660">
        <f t="shared" ca="1" si="295"/>
        <v>1979840.2463353602</v>
      </c>
      <c r="J298" s="660">
        <f t="shared" ca="1" si="295"/>
        <v>1713401.8480723687</v>
      </c>
      <c r="K298" s="15"/>
      <c r="L298" s="15"/>
      <c r="M298" s="15"/>
      <c r="N298" s="15"/>
      <c r="O298" s="15"/>
      <c r="P298" s="15"/>
      <c r="Q298" s="15"/>
      <c r="R298" s="15"/>
      <c r="S298" s="15"/>
      <c r="T298" s="15"/>
      <c r="U298" s="15"/>
      <c r="V298" s="15"/>
      <c r="W298" s="15"/>
      <c r="X298" s="15"/>
      <c r="Y298" s="15"/>
      <c r="Z298" s="15"/>
      <c r="AA298" s="15"/>
      <c r="AB298" s="15"/>
    </row>
    <row r="299" spans="3:28" x14ac:dyDescent="0.15">
      <c r="C299" s="23" t="str">
        <f t="shared" si="294"/>
        <v>Preferred return</v>
      </c>
      <c r="D299" s="505"/>
      <c r="E299" s="536"/>
      <c r="F299" s="660">
        <f>+F298*InvestorPref</f>
        <v>120999.97500000001</v>
      </c>
      <c r="G299" s="660">
        <f ca="1">+G298*InvestorPref</f>
        <v>118900.79133333334</v>
      </c>
      <c r="H299" s="660">
        <f ca="1">+H298*InvestorPref</f>
        <v>110767.03434333332</v>
      </c>
      <c r="I299" s="660">
        <f ca="1">+I298*InvestorPref</f>
        <v>98992.012316768014</v>
      </c>
      <c r="J299" s="660">
        <f ca="1">+J298*InvestorPref</f>
        <v>85670.092403618444</v>
      </c>
      <c r="K299" s="15"/>
      <c r="L299" s="15"/>
      <c r="M299" s="15"/>
      <c r="N299" s="15"/>
      <c r="O299" s="15"/>
      <c r="P299" s="15"/>
      <c r="Q299" s="15"/>
      <c r="R299" s="15"/>
      <c r="S299" s="15"/>
      <c r="T299" s="15"/>
      <c r="U299" s="15"/>
      <c r="V299" s="15"/>
      <c r="W299" s="15"/>
      <c r="X299" s="15"/>
      <c r="Y299" s="15"/>
      <c r="Z299" s="15"/>
      <c r="AA299" s="15"/>
      <c r="AB299" s="15"/>
    </row>
    <row r="300" spans="3:28" x14ac:dyDescent="0.15">
      <c r="C300" s="23" t="str">
        <f t="shared" si="294"/>
        <v>Payment</v>
      </c>
      <c r="D300" s="505"/>
      <c r="E300" s="536"/>
      <c r="F300" s="660">
        <f ca="1">MAX(-F298-F299,-F292)</f>
        <v>-162983.64833333335</v>
      </c>
      <c r="G300" s="660">
        <f t="shared" ref="G300:J300" ca="1" si="296">MAX(-G298-G299,-G292)</f>
        <v>-281575.93113333336</v>
      </c>
      <c r="H300" s="660">
        <f t="shared" ca="1" si="296"/>
        <v>-346267.47487463953</v>
      </c>
      <c r="I300" s="660">
        <f t="shared" ca="1" si="296"/>
        <v>-365430.41057975963</v>
      </c>
      <c r="J300" s="660">
        <f t="shared" ca="1" si="296"/>
        <v>-1799071.940475987</v>
      </c>
      <c r="K300" s="15"/>
      <c r="L300" s="15"/>
      <c r="M300" s="15"/>
      <c r="N300" s="15"/>
      <c r="O300" s="15"/>
      <c r="P300" s="15"/>
      <c r="Q300" s="15"/>
      <c r="R300" s="15"/>
      <c r="S300" s="15"/>
      <c r="T300" s="15"/>
      <c r="U300" s="15"/>
      <c r="V300" s="15"/>
      <c r="W300" s="15"/>
      <c r="X300" s="15"/>
      <c r="Y300" s="15"/>
      <c r="Z300" s="15"/>
      <c r="AA300" s="15"/>
      <c r="AB300" s="15"/>
    </row>
    <row r="301" spans="3:28" x14ac:dyDescent="0.15">
      <c r="C301" s="23" t="str">
        <f t="shared" si="294"/>
        <v>Ending balance</v>
      </c>
      <c r="D301" s="505"/>
      <c r="E301" s="536"/>
      <c r="F301" s="746">
        <f ca="1">SUM(F298:F300)</f>
        <v>2378015.8266666667</v>
      </c>
      <c r="G301" s="746">
        <f t="shared" ref="G301:J301" ca="1" si="297">SUM(G298:G300)</f>
        <v>2215340.6868666662</v>
      </c>
      <c r="H301" s="746">
        <f t="shared" ca="1" si="297"/>
        <v>1979840.2463353602</v>
      </c>
      <c r="I301" s="746">
        <f t="shared" ca="1" si="297"/>
        <v>1713401.8480723687</v>
      </c>
      <c r="J301" s="746">
        <f t="shared" ca="1" si="297"/>
        <v>0</v>
      </c>
      <c r="K301" s="15"/>
      <c r="L301" s="15"/>
      <c r="M301" s="15"/>
      <c r="N301" s="15"/>
      <c r="O301" s="15"/>
      <c r="P301" s="15"/>
      <c r="Q301" s="15"/>
      <c r="R301" s="15"/>
      <c r="S301" s="15"/>
      <c r="T301" s="15"/>
      <c r="U301" s="15"/>
      <c r="V301" s="15"/>
      <c r="W301" s="15"/>
      <c r="X301" s="15"/>
      <c r="Y301" s="15"/>
      <c r="Z301" s="15"/>
      <c r="AA301" s="15"/>
      <c r="AB301" s="15"/>
    </row>
    <row r="302" spans="3:28" x14ac:dyDescent="0.15">
      <c r="C302" s="508" t="str">
        <f t="shared" si="294"/>
        <v>Available After Pref / Return Of Capital</v>
      </c>
      <c r="D302" s="505"/>
      <c r="E302" s="536"/>
      <c r="F302" s="660">
        <f ca="1">+F292+F300</f>
        <v>0</v>
      </c>
      <c r="G302" s="660">
        <f t="shared" ref="G302:J302" ca="1" si="298">+G292+G300</f>
        <v>0</v>
      </c>
      <c r="H302" s="660">
        <f t="shared" ca="1" si="298"/>
        <v>0</v>
      </c>
      <c r="I302" s="660">
        <f t="shared" ca="1" si="298"/>
        <v>0</v>
      </c>
      <c r="J302" s="660">
        <f t="shared" ca="1" si="298"/>
        <v>2241947.8875693521</v>
      </c>
      <c r="K302" s="15"/>
      <c r="L302" s="15"/>
      <c r="M302" s="15"/>
      <c r="N302" s="15"/>
      <c r="O302" s="15"/>
      <c r="P302" s="15"/>
      <c r="Q302" s="15"/>
      <c r="R302" s="15"/>
      <c r="S302" s="15"/>
      <c r="T302" s="15"/>
      <c r="U302" s="15"/>
      <c r="V302" s="15"/>
      <c r="W302" s="15"/>
      <c r="X302" s="15"/>
      <c r="Y302" s="15"/>
      <c r="Z302" s="15"/>
      <c r="AA302" s="15"/>
      <c r="AB302" s="15"/>
    </row>
    <row r="303" spans="3:28" x14ac:dyDescent="0.15">
      <c r="C303" s="41" t="str">
        <f t="shared" si="294"/>
        <v>Split</v>
      </c>
      <c r="D303" s="505"/>
      <c r="E303" s="536"/>
      <c r="F303" s="660"/>
      <c r="G303" s="660"/>
      <c r="H303" s="660"/>
      <c r="I303" s="660"/>
      <c r="J303" s="660"/>
      <c r="K303" s="15"/>
      <c r="L303" s="15"/>
      <c r="M303" s="15"/>
      <c r="N303" s="15"/>
      <c r="O303" s="15"/>
      <c r="P303" s="15"/>
      <c r="Q303" s="15"/>
      <c r="R303" s="15"/>
      <c r="S303" s="15"/>
      <c r="T303" s="15"/>
      <c r="U303" s="15"/>
      <c r="V303" s="15"/>
      <c r="W303" s="15"/>
      <c r="X303" s="15"/>
      <c r="Y303" s="15"/>
      <c r="Z303" s="15"/>
      <c r="AA303" s="15"/>
      <c r="AB303" s="15"/>
    </row>
    <row r="304" spans="3:28" x14ac:dyDescent="0.15">
      <c r="C304" s="542" t="str">
        <f t="shared" si="294"/>
        <v>Investor</v>
      </c>
      <c r="D304" s="505"/>
      <c r="E304" s="536"/>
      <c r="F304" s="660">
        <f ca="1">+F302*InvestorPromote</f>
        <v>0</v>
      </c>
      <c r="G304" s="660">
        <f ca="1">+G302*InvestorPromote</f>
        <v>0</v>
      </c>
      <c r="H304" s="660">
        <f ca="1">+H302*InvestorPromote</f>
        <v>0</v>
      </c>
      <c r="I304" s="660">
        <f ca="1">+I302*InvestorPromote</f>
        <v>0</v>
      </c>
      <c r="J304" s="660">
        <f ca="1">+J302*InvestorPromote</f>
        <v>1120973.943784676</v>
      </c>
      <c r="K304" s="15"/>
      <c r="L304" s="15"/>
      <c r="M304" s="15"/>
      <c r="N304" s="15"/>
      <c r="O304" s="15"/>
      <c r="P304" s="15"/>
      <c r="Q304" s="15"/>
      <c r="R304" s="15"/>
      <c r="S304" s="15"/>
      <c r="T304" s="15"/>
      <c r="U304" s="15"/>
      <c r="V304" s="15"/>
      <c r="W304" s="15"/>
      <c r="X304" s="15"/>
      <c r="Y304" s="15"/>
      <c r="Z304" s="15"/>
      <c r="AA304" s="15"/>
      <c r="AB304" s="15"/>
    </row>
    <row r="305" spans="3:28" x14ac:dyDescent="0.15">
      <c r="C305" s="542" t="str">
        <f t="shared" si="294"/>
        <v>BVG</v>
      </c>
      <c r="D305" s="505"/>
      <c r="E305" s="536"/>
      <c r="F305" s="660">
        <f ca="1">+F302*BVGPromote</f>
        <v>0</v>
      </c>
      <c r="G305" s="660">
        <f ca="1">+G302*BVGPromote</f>
        <v>0</v>
      </c>
      <c r="H305" s="660">
        <f ca="1">+H302*BVGPromote</f>
        <v>0</v>
      </c>
      <c r="I305" s="660">
        <f ca="1">+I302*BVGPromote</f>
        <v>0</v>
      </c>
      <c r="J305" s="660">
        <f ca="1">+J302*BVGPromote</f>
        <v>1120973.943784676</v>
      </c>
      <c r="K305" s="15"/>
      <c r="L305" s="15"/>
      <c r="M305" s="15"/>
      <c r="N305" s="15"/>
      <c r="O305" s="15"/>
      <c r="P305" s="15"/>
      <c r="Q305" s="15"/>
      <c r="R305" s="15"/>
      <c r="S305" s="15"/>
      <c r="T305" s="15"/>
      <c r="U305" s="15"/>
      <c r="V305" s="15"/>
      <c r="W305" s="15"/>
      <c r="X305" s="15"/>
      <c r="Y305" s="15"/>
      <c r="Z305" s="15"/>
      <c r="AA305" s="15"/>
      <c r="AB305" s="15"/>
    </row>
    <row r="306" spans="3:28" x14ac:dyDescent="0.15">
      <c r="C306" s="41" t="str">
        <f t="shared" si="294"/>
        <v>Total</v>
      </c>
      <c r="D306" s="505"/>
      <c r="E306" s="536"/>
      <c r="F306" s="660"/>
      <c r="G306" s="660"/>
      <c r="H306" s="660"/>
      <c r="I306" s="660"/>
      <c r="J306" s="660"/>
      <c r="K306" s="15"/>
      <c r="L306" s="15"/>
      <c r="M306" s="15"/>
      <c r="N306" s="15"/>
      <c r="O306" s="15"/>
      <c r="P306" s="15"/>
      <c r="Q306" s="15"/>
      <c r="R306" s="15"/>
      <c r="S306" s="15"/>
      <c r="T306" s="15"/>
      <c r="U306" s="15"/>
      <c r="V306" s="15"/>
      <c r="W306" s="15"/>
      <c r="X306" s="15"/>
      <c r="Y306" s="15"/>
      <c r="Z306" s="15"/>
      <c r="AA306" s="15"/>
      <c r="AB306" s="15"/>
    </row>
    <row r="307" spans="3:28" x14ac:dyDescent="0.15">
      <c r="C307" s="542" t="str">
        <f t="shared" si="294"/>
        <v>Investor</v>
      </c>
      <c r="D307" s="505"/>
      <c r="E307" s="536"/>
      <c r="F307" s="660">
        <f ca="1">-F300+F304</f>
        <v>162983.64833333335</v>
      </c>
      <c r="G307" s="660">
        <f t="shared" ref="G307:H307" ca="1" si="299">-G300+G304</f>
        <v>281575.93113333336</v>
      </c>
      <c r="H307" s="660">
        <f t="shared" ca="1" si="299"/>
        <v>346267.47487463953</v>
      </c>
      <c r="I307" s="660">
        <f t="shared" ref="I307:J307" ca="1" si="300">-I300+I304</f>
        <v>365430.41057975963</v>
      </c>
      <c r="J307" s="660">
        <f t="shared" ca="1" si="300"/>
        <v>2920045.8842606628</v>
      </c>
      <c r="K307" s="15"/>
      <c r="L307" s="15"/>
      <c r="M307" s="15"/>
      <c r="N307" s="15"/>
      <c r="O307" s="15"/>
      <c r="P307" s="15"/>
      <c r="Q307" s="15"/>
      <c r="R307" s="15"/>
      <c r="S307" s="15"/>
      <c r="T307" s="15"/>
      <c r="U307" s="15"/>
      <c r="V307" s="15"/>
      <c r="W307" s="15"/>
      <c r="X307" s="15"/>
      <c r="Y307" s="15"/>
      <c r="Z307" s="15"/>
      <c r="AA307" s="15"/>
      <c r="AB307" s="15"/>
    </row>
    <row r="308" spans="3:28" x14ac:dyDescent="0.15">
      <c r="C308" s="542" t="str">
        <f t="shared" si="294"/>
        <v>BVG</v>
      </c>
      <c r="D308" s="505"/>
      <c r="E308" s="536"/>
      <c r="F308" s="660">
        <f ca="1">+F305</f>
        <v>0</v>
      </c>
      <c r="G308" s="660">
        <f t="shared" ref="G308:H308" ca="1" si="301">+G305</f>
        <v>0</v>
      </c>
      <c r="H308" s="660">
        <f t="shared" ca="1" si="301"/>
        <v>0</v>
      </c>
      <c r="I308" s="660">
        <f t="shared" ref="I308:J308" ca="1" si="302">+I305</f>
        <v>0</v>
      </c>
      <c r="J308" s="660">
        <f t="shared" ca="1" si="302"/>
        <v>1120973.943784676</v>
      </c>
      <c r="K308" s="15"/>
      <c r="L308" s="15"/>
      <c r="M308" s="15"/>
      <c r="N308" s="15"/>
      <c r="O308" s="15"/>
      <c r="P308" s="15"/>
      <c r="Q308" s="15"/>
      <c r="R308" s="15"/>
      <c r="S308" s="15"/>
      <c r="T308" s="15"/>
      <c r="U308" s="15"/>
      <c r="V308" s="15"/>
      <c r="W308" s="15"/>
      <c r="X308" s="15"/>
      <c r="Y308" s="15"/>
      <c r="Z308" s="15"/>
      <c r="AA308" s="15"/>
      <c r="AB308" s="15"/>
    </row>
    <row r="309" spans="3:28" x14ac:dyDescent="0.15">
      <c r="C309" s="41" t="str">
        <f t="shared" si="294"/>
        <v>Total Project Cash Flow</v>
      </c>
      <c r="D309" s="505"/>
      <c r="E309" s="587">
        <f>E292</f>
        <v>-2419999.5</v>
      </c>
      <c r="F309" s="662">
        <f ca="1">+F307</f>
        <v>162983.64833333335</v>
      </c>
      <c r="G309" s="662">
        <f t="shared" ref="G309:H309" ca="1" si="303">+G307</f>
        <v>281575.93113333336</v>
      </c>
      <c r="H309" s="662">
        <f t="shared" ca="1" si="303"/>
        <v>346267.47487463953</v>
      </c>
      <c r="I309" s="662">
        <f t="shared" ref="I309:J309" ca="1" si="304">+I307</f>
        <v>365430.41057975963</v>
      </c>
      <c r="J309" s="662">
        <f t="shared" ca="1" si="304"/>
        <v>2920045.8842606628</v>
      </c>
      <c r="K309" s="15"/>
      <c r="L309" s="15"/>
      <c r="M309" s="15"/>
      <c r="N309" s="15"/>
      <c r="O309" s="15"/>
      <c r="P309" s="15"/>
      <c r="Q309" s="15"/>
      <c r="R309" s="15"/>
      <c r="S309" s="15"/>
      <c r="T309" s="15"/>
      <c r="U309" s="15"/>
      <c r="V309" s="15"/>
      <c r="W309" s="15"/>
      <c r="X309" s="15"/>
      <c r="Y309" s="15"/>
      <c r="Z309" s="15"/>
      <c r="AA309" s="15"/>
      <c r="AB309" s="15"/>
    </row>
    <row r="310" spans="3:28" x14ac:dyDescent="0.15">
      <c r="C310" s="505"/>
      <c r="D310" s="505"/>
      <c r="E310" s="50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3:28" x14ac:dyDescent="0.15">
      <c r="C311" s="505" t="s">
        <v>382</v>
      </c>
      <c r="D311" s="505"/>
      <c r="E311" s="534">
        <f ca="1">IRR(E309:J309)</f>
        <v>0.12930252627909411</v>
      </c>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3:28" x14ac:dyDescent="0.15">
      <c r="C312" s="505" t="str">
        <f>+C259</f>
        <v>Investor Equity Multiple</v>
      </c>
      <c r="D312" s="505"/>
      <c r="E312" s="536">
        <f ca="1">SUM(F309:J309)/-E309</f>
        <v>1.6844232195840241</v>
      </c>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3:28" x14ac:dyDescent="0.15">
      <c r="C313" s="505" t="str">
        <f>+C260</f>
        <v>Total Investor Cash Flow</v>
      </c>
      <c r="D313" s="505"/>
      <c r="E313" s="536">
        <f ca="1">SUM(F309:J309)</f>
        <v>4076303.3491817284</v>
      </c>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3:28" x14ac:dyDescent="0.15">
      <c r="C314" s="505" t="s">
        <v>383</v>
      </c>
      <c r="E314" s="536">
        <f ca="1">SUM(F308:J308)</f>
        <v>1120973.943784676</v>
      </c>
      <c r="F314" s="505"/>
      <c r="G314" s="505"/>
      <c r="H314" s="505"/>
      <c r="I314" s="505"/>
      <c r="J314" s="505"/>
      <c r="K314" s="505"/>
      <c r="L314" s="505"/>
      <c r="M314" s="505"/>
      <c r="N314" s="505"/>
      <c r="O314" s="505"/>
      <c r="P314" s="505"/>
      <c r="Q314" s="505"/>
      <c r="R314" s="505"/>
      <c r="S314" s="505"/>
      <c r="T314" s="505"/>
      <c r="U314" s="505"/>
      <c r="V314" s="505"/>
      <c r="W314" s="505"/>
      <c r="X314" s="505"/>
      <c r="Y314" s="505"/>
      <c r="Z314" s="505"/>
      <c r="AA314" s="505"/>
      <c r="AB314" s="505"/>
    </row>
    <row r="316" spans="3:28" ht="12" customHeight="1" x14ac:dyDescent="0.15">
      <c r="C316" s="505"/>
      <c r="E316" s="505"/>
      <c r="F316" s="505"/>
      <c r="G316" s="505"/>
      <c r="H316" s="505"/>
      <c r="I316" s="505"/>
      <c r="J316" s="505"/>
      <c r="K316" s="505"/>
      <c r="L316" s="505"/>
      <c r="M316" s="505"/>
      <c r="N316" s="505"/>
      <c r="O316" s="505"/>
      <c r="P316" s="505"/>
      <c r="Q316" s="505"/>
      <c r="R316" s="505"/>
      <c r="S316" s="505"/>
      <c r="T316" s="505"/>
      <c r="U316" s="505"/>
      <c r="V316" s="505"/>
      <c r="W316" s="505"/>
      <c r="X316" s="505"/>
      <c r="Y316" s="505"/>
      <c r="Z316" s="505"/>
      <c r="AA316" s="505"/>
      <c r="AB316" s="505"/>
    </row>
    <row r="317" spans="3:28" ht="16" x14ac:dyDescent="0.2">
      <c r="C317" s="760" t="s">
        <v>384</v>
      </c>
      <c r="D317" s="760"/>
      <c r="E317" s="760"/>
      <c r="F317" s="760"/>
      <c r="G317" s="760"/>
      <c r="H317" s="760"/>
      <c r="I317" s="760"/>
      <c r="J317" s="760"/>
      <c r="K317" s="760"/>
      <c r="L317" s="760"/>
      <c r="M317" s="760"/>
      <c r="N317" s="760"/>
      <c r="O317" s="760"/>
      <c r="P317" s="15"/>
      <c r="Q317" s="15"/>
      <c r="R317" s="15"/>
      <c r="S317" s="15"/>
      <c r="T317" s="15"/>
      <c r="U317" s="15"/>
      <c r="V317" s="505"/>
      <c r="W317" s="505"/>
      <c r="X317" s="505"/>
      <c r="Y317" s="505"/>
      <c r="Z317" s="505"/>
      <c r="AA317" s="505"/>
      <c r="AB317" s="505"/>
    </row>
    <row r="318" spans="3:28" ht="15" x14ac:dyDescent="0.2">
      <c r="C318" s="305"/>
      <c r="D318" s="305"/>
      <c r="E318" s="305"/>
      <c r="F318" s="659" t="s">
        <v>22</v>
      </c>
      <c r="G318" s="659" t="s">
        <v>23</v>
      </c>
      <c r="H318" s="659" t="s">
        <v>24</v>
      </c>
      <c r="I318" s="659" t="s">
        <v>25</v>
      </c>
      <c r="J318" s="659" t="s">
        <v>39</v>
      </c>
      <c r="K318" s="659" t="s">
        <v>40</v>
      </c>
      <c r="L318" s="659" t="s">
        <v>359</v>
      </c>
      <c r="M318" s="659" t="s">
        <v>360</v>
      </c>
      <c r="N318" s="659" t="s">
        <v>361</v>
      </c>
      <c r="O318" s="659" t="s">
        <v>362</v>
      </c>
      <c r="P318" s="306"/>
      <c r="Q318" s="306"/>
      <c r="R318" s="306"/>
      <c r="S318" s="306"/>
      <c r="T318" s="306"/>
      <c r="U318" s="306"/>
      <c r="V318" s="505"/>
      <c r="W318" s="505"/>
      <c r="X318" s="505"/>
      <c r="Y318" s="505"/>
      <c r="Z318" s="505"/>
      <c r="AA318" s="505"/>
      <c r="AB318" s="505"/>
    </row>
    <row r="319" spans="3:28" x14ac:dyDescent="0.15">
      <c r="C319" s="505" t="s">
        <v>225</v>
      </c>
      <c r="D319" s="505"/>
      <c r="E319" s="536"/>
      <c r="F319" s="660">
        <f t="shared" ref="F319:O319" ca="1" si="305">+F85</f>
        <v>198993.84000000003</v>
      </c>
      <c r="G319" s="660">
        <f t="shared" ca="1" si="305"/>
        <v>296927.12280000001</v>
      </c>
      <c r="H319" s="660">
        <f t="shared" ca="1" si="305"/>
        <v>392763.785256</v>
      </c>
      <c r="I319" s="660">
        <f t="shared" ca="1" si="305"/>
        <v>411926.72096112004</v>
      </c>
      <c r="J319" s="660">
        <f t="shared" ca="1" si="305"/>
        <v>431941.8201803423</v>
      </c>
      <c r="K319" s="660">
        <f t="shared" ca="1" si="305"/>
        <v>452844.8823759493</v>
      </c>
      <c r="L319" s="660">
        <f t="shared" ca="1" si="305"/>
        <v>474673.17324714828</v>
      </c>
      <c r="M319" s="660">
        <f t="shared" ca="1" si="305"/>
        <v>497465.48406471853</v>
      </c>
      <c r="N319" s="660">
        <f t="shared" ca="1" si="305"/>
        <v>521262.19339274534</v>
      </c>
      <c r="O319" s="660">
        <f t="shared" ca="1" si="305"/>
        <v>546105.33129320177</v>
      </c>
      <c r="P319" s="15"/>
      <c r="Q319" s="15"/>
      <c r="R319" s="15"/>
      <c r="S319" s="15"/>
      <c r="T319" s="15"/>
      <c r="U319" s="15"/>
      <c r="V319" s="505"/>
      <c r="W319" s="505"/>
      <c r="X319" s="505"/>
      <c r="Y319" s="505"/>
      <c r="Z319" s="505"/>
      <c r="AA319" s="505"/>
      <c r="AB319" s="505"/>
    </row>
    <row r="320" spans="3:28" x14ac:dyDescent="0.15">
      <c r="C320" s="505"/>
      <c r="D320" s="505"/>
      <c r="E320" s="536"/>
      <c r="F320" s="660"/>
      <c r="G320" s="660"/>
      <c r="H320" s="660"/>
      <c r="I320" s="660"/>
      <c r="J320" s="660"/>
      <c r="K320" s="660"/>
      <c r="L320" s="660"/>
      <c r="M320" s="660"/>
      <c r="N320" s="660"/>
      <c r="O320" s="660"/>
      <c r="P320" s="15"/>
      <c r="Q320" s="15"/>
      <c r="R320" s="15"/>
      <c r="S320" s="15"/>
      <c r="T320" s="15"/>
      <c r="U320" s="15"/>
      <c r="V320" s="505"/>
      <c r="W320" s="505"/>
      <c r="X320" s="505"/>
      <c r="Y320" s="505"/>
      <c r="Z320" s="505"/>
      <c r="AA320" s="505"/>
      <c r="AB320" s="505"/>
    </row>
    <row r="321" spans="3:28" x14ac:dyDescent="0.15">
      <c r="C321" s="11" t="str">
        <f t="shared" ref="C321:C327" si="306">+C268</f>
        <v>Debt service</v>
      </c>
      <c r="D321" s="505"/>
      <c r="E321" s="536"/>
      <c r="F321" s="660"/>
      <c r="G321" s="660"/>
      <c r="H321" s="660"/>
      <c r="I321" s="660"/>
      <c r="J321" s="660"/>
      <c r="K321" s="660"/>
      <c r="L321" s="660"/>
      <c r="M321" s="660"/>
      <c r="N321" s="660"/>
      <c r="O321" s="660"/>
      <c r="P321" s="15"/>
      <c r="Q321" s="15"/>
      <c r="R321" s="15"/>
      <c r="S321" s="15"/>
      <c r="T321" s="15"/>
      <c r="U321" s="15"/>
      <c r="V321" s="505"/>
      <c r="W321" s="505"/>
      <c r="X321" s="505"/>
      <c r="Y321" s="505"/>
      <c r="Z321" s="505"/>
      <c r="AA321" s="505"/>
      <c r="AB321" s="505"/>
    </row>
    <row r="322" spans="3:28" x14ac:dyDescent="0.15">
      <c r="C322" s="32" t="str">
        <f t="shared" si="306"/>
        <v>Additional debt/Refinance</v>
      </c>
      <c r="D322" s="505"/>
      <c r="E322" s="536"/>
      <c r="F322" s="536">
        <f t="shared" ref="F322:O322" si="307">F92</f>
        <v>2890000</v>
      </c>
      <c r="G322" s="536">
        <f t="shared" si="307"/>
        <v>2890000</v>
      </c>
      <c r="H322" s="536">
        <f t="shared" si="307"/>
        <v>2890000</v>
      </c>
      <c r="I322" s="536">
        <f t="shared" si="307"/>
        <v>2858854.8812853061</v>
      </c>
      <c r="J322" s="536">
        <f t="shared" si="307"/>
        <v>2825674.7664680597</v>
      </c>
      <c r="K322" s="536">
        <f t="shared" si="307"/>
        <v>2790326.6905987505</v>
      </c>
      <c r="L322" s="536">
        <f t="shared" ca="1" si="307"/>
        <v>4273416.9824675694</v>
      </c>
      <c r="M322" s="536">
        <f t="shared" ca="1" si="307"/>
        <v>4224382.0785523914</v>
      </c>
      <c r="N322" s="536">
        <f t="shared" ca="1" si="307"/>
        <v>4172113.4248800566</v>
      </c>
      <c r="O322" s="536">
        <f t="shared" ca="1" si="307"/>
        <v>4116397.7623910601</v>
      </c>
      <c r="P322" s="15"/>
      <c r="Q322" s="15"/>
      <c r="R322" s="15"/>
      <c r="S322" s="15"/>
      <c r="T322" s="15"/>
      <c r="U322" s="15"/>
      <c r="V322" s="505"/>
      <c r="W322" s="505"/>
      <c r="X322" s="505"/>
      <c r="Y322" s="505"/>
      <c r="Z322" s="505"/>
      <c r="AA322" s="505"/>
      <c r="AB322" s="505"/>
    </row>
    <row r="323" spans="3:28" x14ac:dyDescent="0.15">
      <c r="C323" s="508" t="str">
        <f t="shared" si="306"/>
        <v>Additional debt/Refinance</v>
      </c>
      <c r="D323" s="505"/>
      <c r="E323" s="536"/>
      <c r="F323" s="536">
        <f t="shared" ref="F323:O323" si="308">F93</f>
        <v>0</v>
      </c>
      <c r="G323" s="536">
        <f t="shared" si="308"/>
        <v>0</v>
      </c>
      <c r="H323" s="536">
        <f t="shared" si="308"/>
        <v>0</v>
      </c>
      <c r="I323" s="536">
        <f t="shared" si="308"/>
        <v>0</v>
      </c>
      <c r="J323" s="536">
        <f t="shared" si="308"/>
        <v>0</v>
      </c>
      <c r="K323" s="536">
        <f t="shared" ca="1" si="308"/>
        <v>1529091.511204672</v>
      </c>
      <c r="L323" s="536">
        <f t="shared" si="308"/>
        <v>0</v>
      </c>
      <c r="M323" s="536">
        <f t="shared" si="308"/>
        <v>0</v>
      </c>
      <c r="N323" s="536">
        <f t="shared" si="308"/>
        <v>0</v>
      </c>
      <c r="O323" s="536">
        <f t="shared" si="308"/>
        <v>0</v>
      </c>
      <c r="P323" s="15"/>
      <c r="Q323" s="15"/>
      <c r="R323" s="15"/>
      <c r="S323" s="15"/>
      <c r="T323" s="15"/>
      <c r="U323" s="15"/>
      <c r="V323" s="505"/>
      <c r="W323" s="505"/>
      <c r="X323" s="505"/>
      <c r="Y323" s="505"/>
      <c r="Z323" s="505"/>
      <c r="AA323" s="505"/>
      <c r="AB323" s="505"/>
    </row>
    <row r="324" spans="3:28" x14ac:dyDescent="0.15">
      <c r="C324" s="32" t="str">
        <f t="shared" si="306"/>
        <v>Payment</v>
      </c>
      <c r="D324" s="505"/>
      <c r="E324" s="536"/>
      <c r="F324" s="536">
        <f t="shared" ref="F324:O324" si="309">F94</f>
        <v>188830.19166666668</v>
      </c>
      <c r="G324" s="536">
        <f t="shared" si="309"/>
        <v>188830.19166666668</v>
      </c>
      <c r="H324" s="536">
        <f t="shared" si="309"/>
        <v>219975.31038136044</v>
      </c>
      <c r="I324" s="536">
        <f t="shared" si="309"/>
        <v>219975.31038136044</v>
      </c>
      <c r="J324" s="536">
        <f t="shared" si="309"/>
        <v>219975.31038136044</v>
      </c>
      <c r="K324" s="536">
        <f t="shared" ca="1" si="309"/>
        <v>330857.85095686791</v>
      </c>
      <c r="L324" s="536">
        <f t="shared" ca="1" si="309"/>
        <v>330857.85095686791</v>
      </c>
      <c r="M324" s="536">
        <f t="shared" ca="1" si="309"/>
        <v>330857.85095686791</v>
      </c>
      <c r="N324" s="536">
        <f t="shared" ca="1" si="309"/>
        <v>330857.85095686791</v>
      </c>
      <c r="O324" s="536">
        <f t="shared" ca="1" si="309"/>
        <v>330857.85095686791</v>
      </c>
      <c r="P324" s="15"/>
      <c r="Q324" s="15"/>
      <c r="R324" s="15"/>
      <c r="S324" s="15"/>
      <c r="T324" s="15"/>
      <c r="U324" s="15"/>
      <c r="V324" s="505"/>
      <c r="W324" s="505"/>
      <c r="X324" s="505"/>
      <c r="Y324" s="505"/>
      <c r="Z324" s="505"/>
      <c r="AA324" s="505"/>
      <c r="AB324" s="505"/>
    </row>
    <row r="325" spans="3:28" x14ac:dyDescent="0.15">
      <c r="C325" s="32" t="str">
        <f t="shared" si="306"/>
        <v>Principal</v>
      </c>
      <c r="D325" s="505"/>
      <c r="E325" s="536"/>
      <c r="F325" s="536">
        <f t="shared" ref="F325:O325" si="310">F95</f>
        <v>0</v>
      </c>
      <c r="G325" s="536">
        <f t="shared" si="310"/>
        <v>0</v>
      </c>
      <c r="H325" s="536">
        <f t="shared" si="310"/>
        <v>31145.118714693759</v>
      </c>
      <c r="I325" s="536">
        <f t="shared" si="310"/>
        <v>33180.114817246271</v>
      </c>
      <c r="J325" s="536">
        <f t="shared" si="310"/>
        <v>35348.075869309454</v>
      </c>
      <c r="K325" s="536">
        <f t="shared" ca="1" si="310"/>
        <v>46001.219335852598</v>
      </c>
      <c r="L325" s="536">
        <f t="shared" ca="1" si="310"/>
        <v>49034.903915178496</v>
      </c>
      <c r="M325" s="536">
        <f t="shared" ca="1" si="310"/>
        <v>52268.653672334622</v>
      </c>
      <c r="N325" s="536">
        <f t="shared" ca="1" si="310"/>
        <v>55715.662488996633</v>
      </c>
      <c r="O325" s="536">
        <f t="shared" ca="1" si="310"/>
        <v>59389.994355849107</v>
      </c>
      <c r="P325" s="15"/>
      <c r="Q325" s="15"/>
      <c r="R325" s="15"/>
      <c r="S325" s="15"/>
      <c r="T325" s="15"/>
      <c r="U325" s="15"/>
      <c r="V325" s="505"/>
      <c r="W325" s="505"/>
      <c r="X325" s="505"/>
      <c r="Y325" s="505"/>
      <c r="Z325" s="505"/>
      <c r="AA325" s="505"/>
      <c r="AB325" s="505"/>
    </row>
    <row r="326" spans="3:28" x14ac:dyDescent="0.15">
      <c r="C326" s="32" t="str">
        <f t="shared" si="306"/>
        <v>Interest</v>
      </c>
      <c r="D326" s="505"/>
      <c r="E326" s="536"/>
      <c r="F326" s="536">
        <f t="shared" ref="F326:O326" si="311">F96</f>
        <v>188830.19166666668</v>
      </c>
      <c r="G326" s="536">
        <f t="shared" si="311"/>
        <v>188830.19166666668</v>
      </c>
      <c r="H326" s="536">
        <f t="shared" si="311"/>
        <v>188830.19166666668</v>
      </c>
      <c r="I326" s="536">
        <f t="shared" si="311"/>
        <v>186795.19556411417</v>
      </c>
      <c r="J326" s="536">
        <f t="shared" si="311"/>
        <v>184627.23451205099</v>
      </c>
      <c r="K326" s="536">
        <f t="shared" ca="1" si="311"/>
        <v>284856.63162101532</v>
      </c>
      <c r="L326" s="536">
        <f t="shared" ca="1" si="311"/>
        <v>281822.94704168942</v>
      </c>
      <c r="M326" s="536">
        <f t="shared" ca="1" si="311"/>
        <v>278589.19728453329</v>
      </c>
      <c r="N326" s="536">
        <f t="shared" ca="1" si="311"/>
        <v>275142.18846787128</v>
      </c>
      <c r="O326" s="536">
        <f t="shared" ca="1" si="311"/>
        <v>271467.85660101881</v>
      </c>
      <c r="P326" s="15"/>
      <c r="Q326" s="15"/>
      <c r="R326" s="15"/>
      <c r="S326" s="15"/>
      <c r="T326" s="15"/>
      <c r="U326" s="15"/>
      <c r="V326" s="505"/>
      <c r="W326" s="505"/>
      <c r="X326" s="505"/>
      <c r="Y326" s="505"/>
      <c r="Z326" s="505"/>
      <c r="AA326" s="505"/>
      <c r="AB326" s="505"/>
    </row>
    <row r="327" spans="3:28" x14ac:dyDescent="0.15">
      <c r="C327" s="32" t="str">
        <f t="shared" si="306"/>
        <v>Ending balance</v>
      </c>
      <c r="D327" s="505"/>
      <c r="E327" s="536"/>
      <c r="F327" s="745">
        <f t="shared" ref="F327:O327" si="312">F97</f>
        <v>2890000</v>
      </c>
      <c r="G327" s="745">
        <f t="shared" si="312"/>
        <v>2890000</v>
      </c>
      <c r="H327" s="745">
        <f t="shared" si="312"/>
        <v>2858854.8812853061</v>
      </c>
      <c r="I327" s="745">
        <f t="shared" si="312"/>
        <v>2825674.7664680597</v>
      </c>
      <c r="J327" s="745">
        <f t="shared" si="312"/>
        <v>2790326.6905987505</v>
      </c>
      <c r="K327" s="745">
        <f t="shared" ca="1" si="312"/>
        <v>4273416.9824675694</v>
      </c>
      <c r="L327" s="745">
        <f t="shared" ca="1" si="312"/>
        <v>4224382.0785523914</v>
      </c>
      <c r="M327" s="745">
        <f t="shared" ca="1" si="312"/>
        <v>4172113.4248800566</v>
      </c>
      <c r="N327" s="745">
        <f t="shared" ca="1" si="312"/>
        <v>4116397.7623910601</v>
      </c>
      <c r="O327" s="745">
        <f t="shared" ca="1" si="312"/>
        <v>4057007.7680352111</v>
      </c>
      <c r="P327" s="15"/>
      <c r="Q327" s="15"/>
      <c r="R327" s="15"/>
      <c r="S327" s="15"/>
      <c r="T327" s="15"/>
      <c r="U327" s="15"/>
      <c r="V327" s="505"/>
      <c r="W327" s="505"/>
      <c r="X327" s="505"/>
      <c r="Y327" s="505"/>
      <c r="Z327" s="505"/>
      <c r="AA327" s="505"/>
      <c r="AB327" s="505"/>
    </row>
    <row r="328" spans="3:28" x14ac:dyDescent="0.15">
      <c r="C328" s="505"/>
      <c r="D328" s="505"/>
      <c r="E328" s="536"/>
      <c r="F328" s="536"/>
      <c r="G328" s="536"/>
      <c r="H328" s="536"/>
      <c r="I328" s="660"/>
      <c r="J328" s="660"/>
      <c r="K328" s="660"/>
      <c r="L328" s="660"/>
      <c r="M328" s="660"/>
      <c r="N328" s="660"/>
      <c r="O328" s="660"/>
      <c r="P328" s="15"/>
      <c r="Q328" s="15"/>
      <c r="R328" s="15"/>
      <c r="S328" s="15"/>
      <c r="T328" s="15"/>
      <c r="U328" s="15"/>
      <c r="V328" s="505"/>
      <c r="W328" s="505"/>
      <c r="X328" s="505"/>
      <c r="Y328" s="505"/>
      <c r="Z328" s="505"/>
      <c r="AA328" s="505"/>
      <c r="AB328" s="505"/>
    </row>
    <row r="329" spans="3:28" x14ac:dyDescent="0.15">
      <c r="C329" s="270">
        <f>+C276</f>
        <v>0</v>
      </c>
      <c r="D329" s="505"/>
      <c r="E329" s="536"/>
      <c r="F329" s="536"/>
      <c r="G329" s="536"/>
      <c r="H329" s="536"/>
      <c r="I329" s="660"/>
      <c r="J329" s="660"/>
      <c r="K329" s="660"/>
      <c r="L329" s="660"/>
      <c r="M329" s="660"/>
      <c r="N329" s="660"/>
      <c r="O329" s="660"/>
      <c r="P329" s="15"/>
      <c r="Q329" s="15"/>
      <c r="R329" s="15"/>
      <c r="S329" s="15"/>
      <c r="T329" s="15"/>
      <c r="U329" s="15"/>
      <c r="V329" s="505"/>
      <c r="W329" s="505"/>
      <c r="X329" s="505"/>
      <c r="Y329" s="505"/>
      <c r="Z329" s="505"/>
      <c r="AA329" s="505"/>
      <c r="AB329" s="505"/>
    </row>
    <row r="330" spans="3:28" x14ac:dyDescent="0.15">
      <c r="C330" s="505"/>
      <c r="D330" s="505"/>
      <c r="E330" s="536"/>
      <c r="F330" s="536"/>
      <c r="G330" s="536"/>
      <c r="H330" s="536"/>
      <c r="I330" s="660"/>
      <c r="J330" s="660"/>
      <c r="K330" s="660"/>
      <c r="L330" s="660"/>
      <c r="M330" s="660"/>
      <c r="N330" s="660"/>
      <c r="O330" s="660"/>
      <c r="P330" s="15"/>
      <c r="Q330" s="15"/>
      <c r="R330" s="15"/>
      <c r="S330" s="15"/>
      <c r="T330" s="15"/>
      <c r="U330" s="15"/>
      <c r="V330" s="505"/>
      <c r="W330" s="505"/>
      <c r="X330" s="505"/>
      <c r="Y330" s="505"/>
      <c r="Z330" s="505"/>
      <c r="AA330" s="505"/>
      <c r="AB330" s="505"/>
    </row>
    <row r="331" spans="3:28" x14ac:dyDescent="0.15">
      <c r="C331" s="36" t="str">
        <f>+C278</f>
        <v>Refinance Valuation (from Proforma above)</v>
      </c>
      <c r="D331" s="505"/>
      <c r="E331" s="536"/>
      <c r="F331" s="536">
        <f t="shared" ref="F331:O331" ca="1" si="313">F102</f>
        <v>3061443.6923076925</v>
      </c>
      <c r="G331" s="536">
        <f t="shared" ca="1" si="313"/>
        <v>4568109.5815384611</v>
      </c>
      <c r="H331" s="536">
        <f t="shared" ca="1" si="313"/>
        <v>6042519.7731692307</v>
      </c>
      <c r="I331" s="536">
        <f t="shared" ca="1" si="313"/>
        <v>6337334.1686326154</v>
      </c>
      <c r="J331" s="536">
        <f t="shared" ca="1" si="313"/>
        <v>6645258.7720052656</v>
      </c>
      <c r="K331" s="536">
        <f t="shared" ca="1" si="313"/>
        <v>6966844.3442453733</v>
      </c>
      <c r="L331" s="536">
        <f t="shared" ca="1" si="313"/>
        <v>7302664.2038022811</v>
      </c>
      <c r="M331" s="536">
        <f t="shared" ca="1" si="313"/>
        <v>7653315.1394572081</v>
      </c>
      <c r="N331" s="536">
        <f t="shared" ca="1" si="313"/>
        <v>8019418.3598883897</v>
      </c>
      <c r="O331" s="536">
        <f t="shared" ca="1" si="313"/>
        <v>8401620.481433874</v>
      </c>
      <c r="P331" s="15"/>
      <c r="Q331" s="15"/>
      <c r="R331" s="15"/>
      <c r="S331" s="15"/>
      <c r="T331" s="15"/>
      <c r="U331" s="15"/>
      <c r="V331" s="505"/>
      <c r="W331" s="505"/>
      <c r="X331" s="505"/>
      <c r="Y331" s="505"/>
      <c r="Z331" s="505"/>
      <c r="AA331" s="505"/>
      <c r="AB331" s="505"/>
    </row>
    <row r="332" spans="3:28" x14ac:dyDescent="0.15">
      <c r="C332" s="35"/>
      <c r="D332" s="505"/>
      <c r="E332" s="536"/>
      <c r="F332" s="536"/>
      <c r="G332" s="536"/>
      <c r="H332" s="536"/>
      <c r="I332" s="660"/>
      <c r="J332" s="660"/>
      <c r="K332" s="660"/>
      <c r="L332" s="660"/>
      <c r="M332" s="660"/>
      <c r="N332" s="660"/>
      <c r="O332" s="660"/>
      <c r="P332" s="15"/>
      <c r="Q332" s="15"/>
      <c r="R332" s="15"/>
      <c r="S332" s="15"/>
      <c r="T332" s="15"/>
      <c r="U332" s="15"/>
      <c r="V332" s="505"/>
      <c r="W332" s="505"/>
      <c r="X332" s="505"/>
      <c r="Y332" s="505"/>
      <c r="Z332" s="505"/>
      <c r="AA332" s="505"/>
      <c r="AB332" s="505"/>
    </row>
    <row r="333" spans="3:28" x14ac:dyDescent="0.15">
      <c r="C333" s="508" t="str">
        <f>+C280</f>
        <v>Net Cash Flow after Debt Service</v>
      </c>
      <c r="D333" s="505"/>
      <c r="E333" s="536"/>
      <c r="F333" s="536">
        <f t="shared" ref="F333:O333" ca="1" si="314">F104</f>
        <v>10163.648333333345</v>
      </c>
      <c r="G333" s="536">
        <f t="shared" ca="1" si="314"/>
        <v>108096.93113333333</v>
      </c>
      <c r="H333" s="536">
        <f t="shared" ca="1" si="314"/>
        <v>172788.47487463956</v>
      </c>
      <c r="I333" s="536">
        <f t="shared" ca="1" si="314"/>
        <v>191951.4105797596</v>
      </c>
      <c r="J333" s="536">
        <f t="shared" ca="1" si="314"/>
        <v>211966.50979898186</v>
      </c>
      <c r="K333" s="536">
        <f t="shared" ca="1" si="314"/>
        <v>121987.03141908138</v>
      </c>
      <c r="L333" s="536">
        <f t="shared" ca="1" si="314"/>
        <v>143815.32229028037</v>
      </c>
      <c r="M333" s="536">
        <f t="shared" ca="1" si="314"/>
        <v>166607.63310785062</v>
      </c>
      <c r="N333" s="536">
        <f t="shared" ca="1" si="314"/>
        <v>190404.34243587742</v>
      </c>
      <c r="O333" s="536">
        <f t="shared" ca="1" si="314"/>
        <v>215247.48033633386</v>
      </c>
      <c r="P333" s="15"/>
      <c r="Q333" s="15"/>
      <c r="R333" s="15"/>
      <c r="S333" s="15"/>
      <c r="T333" s="15"/>
      <c r="U333" s="15"/>
      <c r="V333" s="505"/>
      <c r="W333" s="505"/>
      <c r="X333" s="505"/>
      <c r="Y333" s="505"/>
      <c r="Z333" s="505"/>
      <c r="AA333" s="505"/>
      <c r="AB333" s="505"/>
    </row>
    <row r="334" spans="3:28" x14ac:dyDescent="0.15">
      <c r="C334" s="508" t="str">
        <f>+C281</f>
        <v>Cash from Sale of POH</v>
      </c>
      <c r="D334" s="505"/>
      <c r="E334" s="536"/>
      <c r="F334" s="536">
        <f t="shared" ref="F334:O334" si="315">F105</f>
        <v>0</v>
      </c>
      <c r="G334" s="536">
        <f t="shared" si="315"/>
        <v>0</v>
      </c>
      <c r="H334" s="536">
        <f t="shared" si="315"/>
        <v>0</v>
      </c>
      <c r="I334" s="536">
        <f t="shared" si="315"/>
        <v>0</v>
      </c>
      <c r="J334" s="536">
        <f t="shared" si="315"/>
        <v>0</v>
      </c>
      <c r="K334" s="536">
        <f t="shared" si="315"/>
        <v>0</v>
      </c>
      <c r="L334" s="536">
        <f t="shared" si="315"/>
        <v>0</v>
      </c>
      <c r="M334" s="536">
        <f t="shared" si="315"/>
        <v>0</v>
      </c>
      <c r="N334" s="536">
        <f t="shared" si="315"/>
        <v>0</v>
      </c>
      <c r="O334" s="536">
        <f t="shared" si="315"/>
        <v>0</v>
      </c>
      <c r="P334" s="15"/>
      <c r="Q334" s="15"/>
      <c r="R334" s="15"/>
      <c r="S334" s="15"/>
      <c r="T334" s="15"/>
      <c r="U334" s="15"/>
      <c r="V334" s="505"/>
      <c r="W334" s="505"/>
      <c r="X334" s="505"/>
      <c r="Y334" s="505"/>
      <c r="Z334" s="505"/>
      <c r="AA334" s="505"/>
      <c r="AB334" s="505"/>
    </row>
    <row r="335" spans="3:28" x14ac:dyDescent="0.15">
      <c r="C335" s="508" t="str">
        <f>+C282</f>
        <v>Net Operating Cash Flow From POH</v>
      </c>
      <c r="D335" s="505"/>
      <c r="E335" s="536"/>
      <c r="F335" s="536">
        <f t="shared" ref="F335:O335" si="316">F106</f>
        <v>152820</v>
      </c>
      <c r="G335" s="536">
        <f t="shared" si="316"/>
        <v>173479</v>
      </c>
      <c r="H335" s="536">
        <f t="shared" si="316"/>
        <v>173479</v>
      </c>
      <c r="I335" s="536">
        <f t="shared" si="316"/>
        <v>173479</v>
      </c>
      <c r="J335" s="536">
        <f t="shared" si="316"/>
        <v>173479</v>
      </c>
      <c r="K335" s="536">
        <f t="shared" si="316"/>
        <v>173479</v>
      </c>
      <c r="L335" s="536">
        <f t="shared" si="316"/>
        <v>173479</v>
      </c>
      <c r="M335" s="536">
        <f t="shared" si="316"/>
        <v>173479</v>
      </c>
      <c r="N335" s="536">
        <f t="shared" si="316"/>
        <v>173479</v>
      </c>
      <c r="O335" s="536">
        <f t="shared" si="316"/>
        <v>173479</v>
      </c>
      <c r="P335" s="15"/>
      <c r="Q335" s="15"/>
      <c r="R335" s="15"/>
      <c r="S335" s="15"/>
      <c r="T335" s="15"/>
      <c r="U335" s="15"/>
      <c r="V335" s="505"/>
      <c r="W335" s="505"/>
      <c r="X335" s="505"/>
      <c r="Y335" s="505"/>
      <c r="Z335" s="505"/>
      <c r="AA335" s="505"/>
      <c r="AB335" s="505"/>
    </row>
    <row r="336" spans="3:28" x14ac:dyDescent="0.15">
      <c r="C336" s="508" t="str">
        <f>+C283</f>
        <v>Note Income from POH</v>
      </c>
      <c r="D336" s="505"/>
      <c r="E336" s="536"/>
      <c r="F336" s="536">
        <f t="shared" ref="F336:O337" si="317">F107</f>
        <v>0</v>
      </c>
      <c r="G336" s="536">
        <f t="shared" si="317"/>
        <v>0</v>
      </c>
      <c r="H336" s="536">
        <f t="shared" si="317"/>
        <v>0</v>
      </c>
      <c r="I336" s="536">
        <f t="shared" si="317"/>
        <v>0</v>
      </c>
      <c r="J336" s="536">
        <f t="shared" si="317"/>
        <v>0</v>
      </c>
      <c r="K336" s="536">
        <f t="shared" si="317"/>
        <v>0</v>
      </c>
      <c r="L336" s="536">
        <f t="shared" si="317"/>
        <v>0</v>
      </c>
      <c r="M336" s="536">
        <f t="shared" si="317"/>
        <v>0</v>
      </c>
      <c r="N336" s="536">
        <f t="shared" si="317"/>
        <v>0</v>
      </c>
      <c r="O336" s="536">
        <f t="shared" si="317"/>
        <v>0</v>
      </c>
      <c r="P336" s="15"/>
      <c r="Q336" s="15"/>
      <c r="R336" s="15"/>
      <c r="S336" s="15"/>
      <c r="T336" s="15"/>
      <c r="U336" s="15"/>
      <c r="V336" s="505"/>
      <c r="W336" s="505"/>
      <c r="X336" s="505"/>
      <c r="Y336" s="505"/>
      <c r="Z336" s="505"/>
      <c r="AA336" s="505"/>
      <c r="AB336" s="505"/>
    </row>
    <row r="337" spans="3:28" x14ac:dyDescent="0.15">
      <c r="C337" s="508" t="str">
        <f>+C284</f>
        <v>Acquisition Fee</v>
      </c>
      <c r="D337" s="505"/>
      <c r="E337" s="536"/>
      <c r="F337" s="536">
        <f t="shared" si="317"/>
        <v>0</v>
      </c>
      <c r="G337" s="536">
        <f t="shared" si="317"/>
        <v>0</v>
      </c>
      <c r="H337" s="536">
        <f t="shared" si="317"/>
        <v>0</v>
      </c>
      <c r="I337" s="536">
        <f t="shared" si="317"/>
        <v>0</v>
      </c>
      <c r="J337" s="536">
        <f t="shared" si="317"/>
        <v>0</v>
      </c>
      <c r="K337" s="536">
        <f t="shared" si="317"/>
        <v>0</v>
      </c>
      <c r="L337" s="536">
        <f t="shared" si="317"/>
        <v>0</v>
      </c>
      <c r="M337" s="536">
        <f t="shared" si="317"/>
        <v>0</v>
      </c>
      <c r="N337" s="536">
        <f t="shared" si="317"/>
        <v>0</v>
      </c>
      <c r="O337" s="536">
        <f t="shared" si="317"/>
        <v>0</v>
      </c>
      <c r="P337" s="15"/>
      <c r="Q337" s="15"/>
      <c r="R337" s="15"/>
      <c r="S337" s="15"/>
      <c r="T337" s="15"/>
      <c r="U337" s="15"/>
      <c r="V337" s="505"/>
      <c r="W337" s="505"/>
      <c r="X337" s="505"/>
      <c r="Y337" s="505"/>
      <c r="Z337" s="505"/>
      <c r="AA337" s="505"/>
      <c r="AB337" s="505"/>
    </row>
    <row r="338" spans="3:28" x14ac:dyDescent="0.15">
      <c r="C338" s="508" t="str">
        <f t="shared" ref="C338:C341" si="318">+C285</f>
        <v>Acquisition Fee</v>
      </c>
      <c r="D338" s="505"/>
      <c r="E338" s="536"/>
      <c r="F338" s="536">
        <f t="shared" ref="F338:O338" si="319">F108</f>
        <v>0</v>
      </c>
      <c r="G338" s="536">
        <f t="shared" si="319"/>
        <v>0</v>
      </c>
      <c r="H338" s="536">
        <f t="shared" si="319"/>
        <v>0</v>
      </c>
      <c r="I338" s="536">
        <f t="shared" si="319"/>
        <v>0</v>
      </c>
      <c r="J338" s="536">
        <f t="shared" si="319"/>
        <v>0</v>
      </c>
      <c r="K338" s="536">
        <f t="shared" si="319"/>
        <v>0</v>
      </c>
      <c r="L338" s="536">
        <f t="shared" si="319"/>
        <v>0</v>
      </c>
      <c r="M338" s="536">
        <f t="shared" si="319"/>
        <v>0</v>
      </c>
      <c r="N338" s="536">
        <f t="shared" si="319"/>
        <v>0</v>
      </c>
      <c r="O338" s="536">
        <f t="shared" si="319"/>
        <v>0</v>
      </c>
      <c r="P338" s="15"/>
      <c r="Q338" s="15"/>
      <c r="R338" s="15"/>
      <c r="S338" s="15"/>
      <c r="T338" s="15"/>
      <c r="U338" s="15"/>
      <c r="V338" s="505"/>
      <c r="W338" s="505"/>
      <c r="X338" s="505"/>
      <c r="Y338" s="505"/>
      <c r="Z338" s="505"/>
      <c r="AA338" s="505"/>
      <c r="AB338" s="505"/>
    </row>
    <row r="339" spans="3:28" x14ac:dyDescent="0.15">
      <c r="C339" s="508" t="str">
        <f t="shared" si="318"/>
        <v>Asset Management Fee</v>
      </c>
      <c r="D339" s="505"/>
      <c r="E339" s="536"/>
      <c r="F339" s="536">
        <f t="shared" ref="F339:O339" si="320">F109</f>
        <v>0</v>
      </c>
      <c r="G339" s="536">
        <f t="shared" si="320"/>
        <v>0</v>
      </c>
      <c r="H339" s="536">
        <f t="shared" si="320"/>
        <v>0</v>
      </c>
      <c r="I339" s="536">
        <f t="shared" si="320"/>
        <v>0</v>
      </c>
      <c r="J339" s="536">
        <f t="shared" si="320"/>
        <v>0</v>
      </c>
      <c r="K339" s="536">
        <f t="shared" si="320"/>
        <v>0</v>
      </c>
      <c r="L339" s="536">
        <f t="shared" si="320"/>
        <v>0</v>
      </c>
      <c r="M339" s="536">
        <f t="shared" si="320"/>
        <v>0</v>
      </c>
      <c r="N339" s="536">
        <f t="shared" si="320"/>
        <v>0</v>
      </c>
      <c r="O339" s="536">
        <f t="shared" si="320"/>
        <v>0</v>
      </c>
      <c r="P339" s="15"/>
      <c r="Q339" s="15"/>
      <c r="R339" s="15"/>
      <c r="S339" s="15"/>
      <c r="T339" s="15"/>
      <c r="U339" s="15"/>
      <c r="V339" s="505"/>
      <c r="W339" s="505"/>
      <c r="X339" s="505"/>
      <c r="Y339" s="505"/>
      <c r="Z339" s="505"/>
      <c r="AA339" s="505"/>
      <c r="AB339" s="505"/>
    </row>
    <row r="340" spans="3:28" x14ac:dyDescent="0.15">
      <c r="C340" s="508" t="str">
        <f t="shared" si="318"/>
        <v>Refinance Fee</v>
      </c>
      <c r="D340" s="505"/>
      <c r="E340" s="536"/>
      <c r="F340" s="536">
        <f t="shared" ref="F340:O341" si="321">F110</f>
        <v>0</v>
      </c>
      <c r="G340" s="536">
        <f t="shared" si="321"/>
        <v>0</v>
      </c>
      <c r="H340" s="536">
        <f t="shared" si="321"/>
        <v>0</v>
      </c>
      <c r="I340" s="536">
        <f t="shared" si="321"/>
        <v>0</v>
      </c>
      <c r="J340" s="536">
        <f t="shared" ca="1" si="321"/>
        <v>0</v>
      </c>
      <c r="K340" s="536">
        <f t="shared" ca="1" si="321"/>
        <v>0</v>
      </c>
      <c r="L340" s="536">
        <f t="shared" si="321"/>
        <v>0</v>
      </c>
      <c r="M340" s="536">
        <f t="shared" si="321"/>
        <v>0</v>
      </c>
      <c r="N340" s="536">
        <f t="shared" si="321"/>
        <v>0</v>
      </c>
      <c r="O340" s="536">
        <f t="shared" si="321"/>
        <v>0</v>
      </c>
      <c r="P340" s="15"/>
      <c r="Q340" s="15"/>
      <c r="R340" s="15"/>
      <c r="S340" s="15"/>
      <c r="T340" s="15"/>
      <c r="U340" s="15"/>
      <c r="V340" s="505"/>
      <c r="W340" s="505"/>
      <c r="X340" s="505"/>
      <c r="Y340" s="505"/>
      <c r="Z340" s="505"/>
      <c r="AA340" s="505"/>
      <c r="AB340" s="505"/>
    </row>
    <row r="341" spans="3:28" x14ac:dyDescent="0.15">
      <c r="C341" s="508">
        <f t="shared" si="318"/>
        <v>0</v>
      </c>
      <c r="D341" s="505"/>
      <c r="E341" s="536"/>
      <c r="F341" s="536">
        <f t="shared" si="321"/>
        <v>0</v>
      </c>
      <c r="G341" s="536">
        <f t="shared" si="321"/>
        <v>0</v>
      </c>
      <c r="H341" s="536">
        <f t="shared" si="321"/>
        <v>0</v>
      </c>
      <c r="I341" s="536">
        <f t="shared" si="321"/>
        <v>0</v>
      </c>
      <c r="J341" s="536">
        <f t="shared" si="321"/>
        <v>0</v>
      </c>
      <c r="K341" s="536">
        <f t="shared" si="321"/>
        <v>0</v>
      </c>
      <c r="L341" s="536">
        <f t="shared" si="321"/>
        <v>0</v>
      </c>
      <c r="M341" s="536">
        <f t="shared" si="321"/>
        <v>0</v>
      </c>
      <c r="N341" s="536">
        <f t="shared" si="321"/>
        <v>0</v>
      </c>
      <c r="O341" s="536">
        <f t="shared" si="321"/>
        <v>0</v>
      </c>
      <c r="P341" s="15"/>
      <c r="Q341" s="15"/>
      <c r="R341" s="15"/>
      <c r="S341" s="15"/>
      <c r="T341" s="15"/>
      <c r="U341" s="15"/>
      <c r="V341" s="505"/>
      <c r="W341" s="505"/>
      <c r="X341" s="505"/>
      <c r="Y341" s="505"/>
      <c r="Z341" s="505"/>
      <c r="AA341" s="505"/>
      <c r="AB341" s="505"/>
    </row>
    <row r="342" spans="3:28" x14ac:dyDescent="0.15">
      <c r="C342" s="508" t="str">
        <f>+C289</f>
        <v>Return of Capital (other)</v>
      </c>
      <c r="D342" s="505"/>
      <c r="E342" s="536"/>
      <c r="F342" s="536">
        <f t="shared" ref="F342:N342" si="322">F113</f>
        <v>0</v>
      </c>
      <c r="G342" s="536">
        <f t="shared" si="322"/>
        <v>0</v>
      </c>
      <c r="H342" s="536">
        <f t="shared" si="322"/>
        <v>0</v>
      </c>
      <c r="I342" s="536">
        <f t="shared" si="322"/>
        <v>0</v>
      </c>
      <c r="J342" s="536">
        <f t="shared" ca="1" si="322"/>
        <v>1529091.511204672</v>
      </c>
      <c r="K342" s="536">
        <f t="shared" si="322"/>
        <v>0</v>
      </c>
      <c r="L342" s="536">
        <f t="shared" si="322"/>
        <v>0</v>
      </c>
      <c r="M342" s="536">
        <f t="shared" si="322"/>
        <v>0</v>
      </c>
      <c r="N342" s="536">
        <f t="shared" si="322"/>
        <v>0</v>
      </c>
      <c r="O342" s="536">
        <f>IF(FirstRefiYear=10,0,O113)</f>
        <v>0</v>
      </c>
      <c r="P342" s="15"/>
      <c r="Q342" s="15"/>
      <c r="R342" s="15"/>
      <c r="S342" s="15"/>
      <c r="T342" s="15"/>
      <c r="U342" s="15"/>
      <c r="V342" s="505"/>
      <c r="W342" s="505"/>
      <c r="X342" s="505"/>
      <c r="Y342" s="505"/>
      <c r="Z342" s="505"/>
      <c r="AA342" s="505"/>
      <c r="AB342" s="505"/>
    </row>
    <row r="343" spans="3:28" x14ac:dyDescent="0.15">
      <c r="C343" s="508" t="str">
        <f>+C290</f>
        <v>Sale Proceeds at Exit</v>
      </c>
      <c r="D343" s="505"/>
      <c r="E343" s="536"/>
      <c r="F343" s="536">
        <f t="shared" ref="F343:N343" si="323">F114</f>
        <v>0</v>
      </c>
      <c r="G343" s="536">
        <f t="shared" si="323"/>
        <v>0</v>
      </c>
      <c r="H343" s="536">
        <f t="shared" si="323"/>
        <v>0</v>
      </c>
      <c r="I343" s="536">
        <f t="shared" si="323"/>
        <v>0</v>
      </c>
      <c r="J343" s="536">
        <f t="shared" si="323"/>
        <v>0</v>
      </c>
      <c r="K343" s="536">
        <f t="shared" si="323"/>
        <v>0</v>
      </c>
      <c r="L343" s="536">
        <f t="shared" si="323"/>
        <v>0</v>
      </c>
      <c r="M343" s="536">
        <f t="shared" si="323"/>
        <v>0</v>
      </c>
      <c r="N343" s="536">
        <f t="shared" si="323"/>
        <v>0</v>
      </c>
      <c r="O343" s="536">
        <f ca="1">+(O319/RefiCap)*(1-Cost_of_Sale)</f>
        <v>8149571.8669908578</v>
      </c>
      <c r="P343" s="15"/>
      <c r="Q343" s="15"/>
      <c r="R343" s="15"/>
      <c r="S343" s="15"/>
      <c r="T343" s="15"/>
      <c r="U343" s="15"/>
      <c r="V343" s="505"/>
      <c r="W343" s="505"/>
      <c r="X343" s="505"/>
      <c r="Y343" s="505"/>
      <c r="Z343" s="505"/>
      <c r="AA343" s="505"/>
      <c r="AB343" s="505"/>
    </row>
    <row r="344" spans="3:28" x14ac:dyDescent="0.15">
      <c r="C344" s="508" t="str">
        <f>+C291</f>
        <v>Repay Outstanding Loan</v>
      </c>
      <c r="D344" s="505"/>
      <c r="E344" s="536"/>
      <c r="F344" s="536"/>
      <c r="G344" s="536"/>
      <c r="H344" s="536"/>
      <c r="I344" s="536"/>
      <c r="J344" s="536"/>
      <c r="K344" s="536"/>
      <c r="L344" s="536"/>
      <c r="M344" s="536"/>
      <c r="N344" s="536"/>
      <c r="O344" s="536">
        <f ca="1">-O327</f>
        <v>-4057007.7680352111</v>
      </c>
      <c r="P344" s="15"/>
      <c r="Q344" s="15"/>
      <c r="R344" s="15"/>
      <c r="S344" s="15"/>
      <c r="T344" s="15"/>
      <c r="U344" s="15"/>
      <c r="V344" s="505"/>
      <c r="W344" s="505"/>
      <c r="X344" s="505"/>
      <c r="Y344" s="505"/>
      <c r="Z344" s="505"/>
      <c r="AA344" s="505"/>
      <c r="AB344" s="505"/>
    </row>
    <row r="345" spans="3:28" ht="14" thickBot="1" x14ac:dyDescent="0.2">
      <c r="C345" s="580" t="str">
        <f>+C292</f>
        <v>Pretax Income Available for Distribution</v>
      </c>
      <c r="D345" s="505"/>
      <c r="E345" s="536">
        <f>E292</f>
        <v>-2419999.5</v>
      </c>
      <c r="F345" s="536">
        <f ca="1">SUM(F333:F344)</f>
        <v>162983.64833333335</v>
      </c>
      <c r="G345" s="536">
        <f t="shared" ref="G345:O345" ca="1" si="324">SUM(G333:G344)</f>
        <v>281575.93113333336</v>
      </c>
      <c r="H345" s="536">
        <f t="shared" ca="1" si="324"/>
        <v>346267.47487463953</v>
      </c>
      <c r="I345" s="536">
        <f t="shared" ca="1" si="324"/>
        <v>365430.41057975963</v>
      </c>
      <c r="J345" s="536">
        <f t="shared" ca="1" si="324"/>
        <v>1914537.0210036538</v>
      </c>
      <c r="K345" s="536">
        <f t="shared" ca="1" si="324"/>
        <v>295466.03141908138</v>
      </c>
      <c r="L345" s="536">
        <f t="shared" ca="1" si="324"/>
        <v>317294.32229028037</v>
      </c>
      <c r="M345" s="536">
        <f t="shared" ca="1" si="324"/>
        <v>340086.63310785062</v>
      </c>
      <c r="N345" s="536">
        <f t="shared" ca="1" si="324"/>
        <v>363883.34243587742</v>
      </c>
      <c r="O345" s="536">
        <f t="shared" ca="1" si="324"/>
        <v>4481290.5792919807</v>
      </c>
      <c r="P345" s="15"/>
      <c r="Q345" s="15"/>
      <c r="R345" s="15"/>
      <c r="S345" s="15"/>
      <c r="T345" s="15"/>
      <c r="U345" s="15"/>
      <c r="V345" s="505"/>
      <c r="W345" s="505"/>
      <c r="X345" s="505"/>
      <c r="Y345" s="505"/>
      <c r="Z345" s="505"/>
      <c r="AA345" s="505"/>
      <c r="AB345" s="505"/>
    </row>
    <row r="346" spans="3:28" ht="14" thickTop="1" x14ac:dyDescent="0.15">
      <c r="C346" s="505"/>
      <c r="D346" s="505"/>
      <c r="E346" s="50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3:28" x14ac:dyDescent="0.15">
      <c r="C347" s="11" t="s">
        <v>385</v>
      </c>
      <c r="D347" s="505"/>
      <c r="E347" s="534">
        <f ca="1">IRR(E345:O345)</f>
        <v>0.20952945366216902</v>
      </c>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3:28" x14ac:dyDescent="0.15">
      <c r="C348" s="508"/>
      <c r="D348" s="505"/>
      <c r="E348" s="50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3:28" x14ac:dyDescent="0.15">
      <c r="C349" s="11" t="str">
        <f t="shared" ref="C349:C362" si="325">+C296</f>
        <v>Distributions</v>
      </c>
      <c r="D349" s="505"/>
      <c r="E349" s="536"/>
      <c r="F349" s="660"/>
      <c r="G349" s="660"/>
      <c r="H349" s="660"/>
      <c r="I349" s="660"/>
      <c r="J349" s="660"/>
      <c r="K349" s="660"/>
      <c r="L349" s="660"/>
      <c r="M349" s="660"/>
      <c r="N349" s="660"/>
      <c r="O349" s="660"/>
      <c r="P349" s="15"/>
      <c r="Q349" s="15"/>
      <c r="R349" s="15"/>
      <c r="S349" s="15"/>
      <c r="T349" s="15"/>
      <c r="U349" s="15"/>
      <c r="V349" s="15"/>
      <c r="W349" s="15"/>
      <c r="X349" s="15"/>
      <c r="Y349" s="15"/>
      <c r="Z349" s="15"/>
      <c r="AA349" s="15"/>
      <c r="AB349" s="15"/>
    </row>
    <row r="350" spans="3:28" x14ac:dyDescent="0.15">
      <c r="C350" s="508" t="str">
        <f t="shared" si="325"/>
        <v>Investor Preferred Return</v>
      </c>
      <c r="D350" s="505"/>
      <c r="E350" s="536"/>
      <c r="F350" s="660"/>
      <c r="G350" s="660"/>
      <c r="H350" s="660"/>
      <c r="I350" s="660"/>
      <c r="J350" s="660"/>
      <c r="K350" s="660"/>
      <c r="L350" s="660"/>
      <c r="M350" s="660"/>
      <c r="N350" s="660"/>
      <c r="O350" s="660"/>
      <c r="P350" s="15"/>
      <c r="Q350" s="15"/>
      <c r="R350" s="15"/>
      <c r="S350" s="15"/>
      <c r="T350" s="15"/>
      <c r="U350" s="15"/>
      <c r="V350" s="15"/>
      <c r="W350" s="15"/>
      <c r="X350" s="15"/>
      <c r="Y350" s="15"/>
      <c r="Z350" s="15"/>
      <c r="AA350" s="15"/>
      <c r="AB350" s="15"/>
    </row>
    <row r="351" spans="3:28" x14ac:dyDescent="0.15">
      <c r="C351" s="23" t="str">
        <f t="shared" si="325"/>
        <v>Beginning balance</v>
      </c>
      <c r="D351" s="505"/>
      <c r="E351" s="536"/>
      <c r="F351" s="660">
        <f>-E345</f>
        <v>2419999.5</v>
      </c>
      <c r="G351" s="660">
        <f ca="1">+F354</f>
        <v>2378015.8266666667</v>
      </c>
      <c r="H351" s="660">
        <f t="shared" ref="H351:O351" ca="1" si="326">+G354</f>
        <v>2215340.6868666662</v>
      </c>
      <c r="I351" s="660">
        <f t="shared" ca="1" si="326"/>
        <v>1979840.2463353602</v>
      </c>
      <c r="J351" s="660">
        <f t="shared" ca="1" si="326"/>
        <v>1713401.8480723687</v>
      </c>
      <c r="K351" s="660">
        <f t="shared" ca="1" si="326"/>
        <v>0</v>
      </c>
      <c r="L351" s="660">
        <f t="shared" ca="1" si="326"/>
        <v>0</v>
      </c>
      <c r="M351" s="660">
        <f t="shared" ca="1" si="326"/>
        <v>0</v>
      </c>
      <c r="N351" s="660">
        <f t="shared" ca="1" si="326"/>
        <v>0</v>
      </c>
      <c r="O351" s="660">
        <f t="shared" ca="1" si="326"/>
        <v>0</v>
      </c>
      <c r="P351" s="15"/>
      <c r="Q351" s="15"/>
      <c r="R351" s="15"/>
      <c r="S351" s="15"/>
      <c r="T351" s="15"/>
      <c r="U351" s="15"/>
      <c r="V351" s="15"/>
      <c r="W351" s="15"/>
      <c r="X351" s="15"/>
      <c r="Y351" s="15"/>
      <c r="Z351" s="15"/>
      <c r="AA351" s="15"/>
      <c r="AB351" s="15"/>
    </row>
    <row r="352" spans="3:28" x14ac:dyDescent="0.15">
      <c r="C352" s="23" t="str">
        <f t="shared" si="325"/>
        <v>Preferred return</v>
      </c>
      <c r="D352" s="505"/>
      <c r="E352" s="536"/>
      <c r="F352" s="660">
        <f t="shared" ref="F352:O352" si="327">+F351*InvestorPref</f>
        <v>120999.97500000001</v>
      </c>
      <c r="G352" s="660">
        <f t="shared" ca="1" si="327"/>
        <v>118900.79133333334</v>
      </c>
      <c r="H352" s="660">
        <f t="shared" ca="1" si="327"/>
        <v>110767.03434333332</v>
      </c>
      <c r="I352" s="660">
        <f t="shared" ca="1" si="327"/>
        <v>98992.012316768014</v>
      </c>
      <c r="J352" s="660">
        <f t="shared" ca="1" si="327"/>
        <v>85670.092403618444</v>
      </c>
      <c r="K352" s="660">
        <f t="shared" ca="1" si="327"/>
        <v>0</v>
      </c>
      <c r="L352" s="660">
        <f t="shared" ca="1" si="327"/>
        <v>0</v>
      </c>
      <c r="M352" s="660">
        <f t="shared" ca="1" si="327"/>
        <v>0</v>
      </c>
      <c r="N352" s="660">
        <f t="shared" ca="1" si="327"/>
        <v>0</v>
      </c>
      <c r="O352" s="660">
        <f t="shared" ca="1" si="327"/>
        <v>0</v>
      </c>
      <c r="P352" s="15"/>
      <c r="Q352" s="15"/>
      <c r="R352" s="15"/>
      <c r="S352" s="15"/>
      <c r="T352" s="15"/>
      <c r="U352" s="15"/>
      <c r="V352" s="15"/>
      <c r="W352" s="15"/>
      <c r="X352" s="15"/>
      <c r="Y352" s="15"/>
      <c r="Z352" s="15"/>
      <c r="AA352" s="15"/>
      <c r="AB352" s="15"/>
    </row>
    <row r="353" spans="3:28" x14ac:dyDescent="0.15">
      <c r="C353" s="23" t="str">
        <f t="shared" si="325"/>
        <v>Payment</v>
      </c>
      <c r="D353" s="505"/>
      <c r="E353" s="536"/>
      <c r="F353" s="660">
        <f ca="1">MAX(-F351-F352,-F345)</f>
        <v>-162983.64833333335</v>
      </c>
      <c r="G353" s="660">
        <f t="shared" ref="G353:O353" ca="1" si="328">MAX(-G351-G352,-G345)</f>
        <v>-281575.93113333336</v>
      </c>
      <c r="H353" s="660">
        <f t="shared" ca="1" si="328"/>
        <v>-346267.47487463953</v>
      </c>
      <c r="I353" s="660">
        <f t="shared" ca="1" si="328"/>
        <v>-365430.41057975963</v>
      </c>
      <c r="J353" s="660">
        <f t="shared" ca="1" si="328"/>
        <v>-1799071.940475987</v>
      </c>
      <c r="K353" s="660">
        <f t="shared" ca="1" si="328"/>
        <v>0</v>
      </c>
      <c r="L353" s="660">
        <f t="shared" ca="1" si="328"/>
        <v>0</v>
      </c>
      <c r="M353" s="660">
        <f t="shared" ca="1" si="328"/>
        <v>0</v>
      </c>
      <c r="N353" s="660">
        <f t="shared" ca="1" si="328"/>
        <v>0</v>
      </c>
      <c r="O353" s="660">
        <f t="shared" ca="1" si="328"/>
        <v>0</v>
      </c>
      <c r="P353" s="15"/>
      <c r="Q353" s="15"/>
      <c r="R353" s="15"/>
      <c r="S353" s="15"/>
      <c r="T353" s="15"/>
      <c r="U353" s="15"/>
      <c r="V353" s="15"/>
      <c r="W353" s="15"/>
      <c r="X353" s="15"/>
      <c r="Y353" s="15"/>
      <c r="Z353" s="15"/>
      <c r="AA353" s="15"/>
      <c r="AB353" s="15"/>
    </row>
    <row r="354" spans="3:28" x14ac:dyDescent="0.15">
      <c r="C354" s="23" t="str">
        <f t="shared" si="325"/>
        <v>Ending balance</v>
      </c>
      <c r="D354" s="505"/>
      <c r="E354" s="536"/>
      <c r="F354" s="746">
        <f ca="1">SUM(F351:F353)</f>
        <v>2378015.8266666667</v>
      </c>
      <c r="G354" s="746">
        <f t="shared" ref="G354:O354" ca="1" si="329">SUM(G351:G353)</f>
        <v>2215340.6868666662</v>
      </c>
      <c r="H354" s="746">
        <f t="shared" ca="1" si="329"/>
        <v>1979840.2463353602</v>
      </c>
      <c r="I354" s="746">
        <f t="shared" ca="1" si="329"/>
        <v>1713401.8480723687</v>
      </c>
      <c r="J354" s="746">
        <f t="shared" ca="1" si="329"/>
        <v>0</v>
      </c>
      <c r="K354" s="746">
        <f t="shared" ca="1" si="329"/>
        <v>0</v>
      </c>
      <c r="L354" s="746">
        <f t="shared" ca="1" si="329"/>
        <v>0</v>
      </c>
      <c r="M354" s="746">
        <f t="shared" ca="1" si="329"/>
        <v>0</v>
      </c>
      <c r="N354" s="746">
        <f t="shared" ca="1" si="329"/>
        <v>0</v>
      </c>
      <c r="O354" s="746">
        <f t="shared" ca="1" si="329"/>
        <v>0</v>
      </c>
      <c r="P354" s="15"/>
      <c r="Q354" s="15"/>
      <c r="R354" s="15"/>
      <c r="S354" s="15"/>
      <c r="T354" s="15"/>
      <c r="U354" s="15"/>
      <c r="V354" s="15"/>
      <c r="W354" s="15"/>
      <c r="X354" s="15"/>
      <c r="Y354" s="15"/>
      <c r="Z354" s="15"/>
      <c r="AA354" s="15"/>
      <c r="AB354" s="15"/>
    </row>
    <row r="355" spans="3:28" x14ac:dyDescent="0.15">
      <c r="C355" s="508" t="str">
        <f t="shared" si="325"/>
        <v>Available After Pref / Return Of Capital</v>
      </c>
      <c r="D355" s="505"/>
      <c r="E355" s="536"/>
      <c r="F355" s="660">
        <f ca="1">+F345+F353</f>
        <v>0</v>
      </c>
      <c r="G355" s="660">
        <f t="shared" ref="G355:O355" ca="1" si="330">+G345+G353</f>
        <v>0</v>
      </c>
      <c r="H355" s="660">
        <f t="shared" ca="1" si="330"/>
        <v>0</v>
      </c>
      <c r="I355" s="660">
        <f t="shared" ca="1" si="330"/>
        <v>0</v>
      </c>
      <c r="J355" s="660">
        <f t="shared" ca="1" si="330"/>
        <v>115465.08052766672</v>
      </c>
      <c r="K355" s="660">
        <f t="shared" ca="1" si="330"/>
        <v>295466.03141908138</v>
      </c>
      <c r="L355" s="660">
        <f t="shared" ca="1" si="330"/>
        <v>317294.32229028037</v>
      </c>
      <c r="M355" s="660">
        <f t="shared" ca="1" si="330"/>
        <v>340086.63310785062</v>
      </c>
      <c r="N355" s="660">
        <f t="shared" ca="1" si="330"/>
        <v>363883.34243587742</v>
      </c>
      <c r="O355" s="660">
        <f t="shared" ca="1" si="330"/>
        <v>4481290.5792919807</v>
      </c>
      <c r="P355" s="15"/>
      <c r="Q355" s="15"/>
      <c r="R355" s="15"/>
      <c r="S355" s="15"/>
      <c r="T355" s="15"/>
      <c r="U355" s="15"/>
      <c r="V355" s="15"/>
      <c r="W355" s="15"/>
      <c r="X355" s="15"/>
      <c r="Y355" s="15"/>
      <c r="Z355" s="15"/>
      <c r="AA355" s="15"/>
      <c r="AB355" s="15"/>
    </row>
    <row r="356" spans="3:28" x14ac:dyDescent="0.15">
      <c r="C356" s="41" t="str">
        <f t="shared" si="325"/>
        <v>Split</v>
      </c>
      <c r="D356" s="505"/>
      <c r="E356" s="536"/>
      <c r="F356" s="660"/>
      <c r="G356" s="660"/>
      <c r="H356" s="660"/>
      <c r="I356" s="660"/>
      <c r="J356" s="660"/>
      <c r="K356" s="660"/>
      <c r="L356" s="660"/>
      <c r="M356" s="660"/>
      <c r="N356" s="660"/>
      <c r="O356" s="660"/>
      <c r="P356" s="15"/>
      <c r="Q356" s="15"/>
      <c r="R356" s="15"/>
      <c r="S356" s="15"/>
      <c r="T356" s="15"/>
      <c r="U356" s="15"/>
      <c r="V356" s="15"/>
      <c r="W356" s="15"/>
      <c r="X356" s="15"/>
      <c r="Y356" s="15"/>
      <c r="Z356" s="15"/>
      <c r="AA356" s="15"/>
      <c r="AB356" s="15"/>
    </row>
    <row r="357" spans="3:28" x14ac:dyDescent="0.15">
      <c r="C357" s="542" t="str">
        <f t="shared" si="325"/>
        <v>Investor</v>
      </c>
      <c r="D357" s="505"/>
      <c r="E357" s="536"/>
      <c r="F357" s="660">
        <f t="shared" ref="F357:O357" ca="1" si="331">+F355*InvestorPromote</f>
        <v>0</v>
      </c>
      <c r="G357" s="660">
        <f t="shared" ca="1" si="331"/>
        <v>0</v>
      </c>
      <c r="H357" s="660">
        <f t="shared" ca="1" si="331"/>
        <v>0</v>
      </c>
      <c r="I357" s="660">
        <f t="shared" ca="1" si="331"/>
        <v>0</v>
      </c>
      <c r="J357" s="660">
        <f t="shared" ca="1" si="331"/>
        <v>57732.540263833362</v>
      </c>
      <c r="K357" s="660">
        <f t="shared" ca="1" si="331"/>
        <v>147733.01570954069</v>
      </c>
      <c r="L357" s="660">
        <f t="shared" ca="1" si="331"/>
        <v>158647.16114514018</v>
      </c>
      <c r="M357" s="660">
        <f t="shared" ca="1" si="331"/>
        <v>170043.31655392531</v>
      </c>
      <c r="N357" s="660">
        <f t="shared" ca="1" si="331"/>
        <v>181941.67121793871</v>
      </c>
      <c r="O357" s="660">
        <f t="shared" ca="1" si="331"/>
        <v>2240645.2896459904</v>
      </c>
      <c r="P357" s="15"/>
      <c r="Q357" s="15"/>
      <c r="R357" s="15"/>
      <c r="S357" s="15"/>
      <c r="T357" s="15"/>
      <c r="U357" s="15"/>
      <c r="V357" s="15"/>
      <c r="W357" s="15"/>
      <c r="X357" s="15"/>
      <c r="Y357" s="15"/>
      <c r="Z357" s="15"/>
      <c r="AA357" s="15"/>
      <c r="AB357" s="15"/>
    </row>
    <row r="358" spans="3:28" x14ac:dyDescent="0.15">
      <c r="C358" s="542" t="str">
        <f t="shared" si="325"/>
        <v>BVG</v>
      </c>
      <c r="D358" s="505"/>
      <c r="E358" s="536"/>
      <c r="F358" s="660">
        <f t="shared" ref="F358:O358" ca="1" si="332">+F355*BVGPromote</f>
        <v>0</v>
      </c>
      <c r="G358" s="660">
        <f t="shared" ca="1" si="332"/>
        <v>0</v>
      </c>
      <c r="H358" s="660">
        <f t="shared" ca="1" si="332"/>
        <v>0</v>
      </c>
      <c r="I358" s="660">
        <f t="shared" ca="1" si="332"/>
        <v>0</v>
      </c>
      <c r="J358" s="660">
        <f t="shared" ca="1" si="332"/>
        <v>57732.540263833362</v>
      </c>
      <c r="K358" s="660">
        <f t="shared" ca="1" si="332"/>
        <v>147733.01570954069</v>
      </c>
      <c r="L358" s="660">
        <f t="shared" ca="1" si="332"/>
        <v>158647.16114514018</v>
      </c>
      <c r="M358" s="660">
        <f t="shared" ca="1" si="332"/>
        <v>170043.31655392531</v>
      </c>
      <c r="N358" s="660">
        <f t="shared" ca="1" si="332"/>
        <v>181941.67121793871</v>
      </c>
      <c r="O358" s="660">
        <f t="shared" ca="1" si="332"/>
        <v>2240645.2896459904</v>
      </c>
      <c r="P358" s="15"/>
      <c r="Q358" s="15"/>
      <c r="R358" s="15"/>
      <c r="S358" s="15"/>
      <c r="T358" s="15"/>
      <c r="U358" s="15"/>
      <c r="V358" s="15"/>
      <c r="W358" s="15"/>
      <c r="X358" s="15"/>
      <c r="Y358" s="15"/>
      <c r="Z358" s="15"/>
      <c r="AA358" s="15"/>
      <c r="AB358" s="15"/>
    </row>
    <row r="359" spans="3:28" x14ac:dyDescent="0.15">
      <c r="C359" s="41" t="str">
        <f t="shared" si="325"/>
        <v>Total</v>
      </c>
      <c r="D359" s="505"/>
      <c r="E359" s="536"/>
      <c r="F359" s="660"/>
      <c r="G359" s="660"/>
      <c r="H359" s="660"/>
      <c r="I359" s="660"/>
      <c r="J359" s="660"/>
      <c r="K359" s="660"/>
      <c r="L359" s="660"/>
      <c r="M359" s="660"/>
      <c r="N359" s="660"/>
      <c r="O359" s="660"/>
      <c r="P359" s="15"/>
      <c r="Q359" s="15"/>
      <c r="R359" s="15"/>
      <c r="S359" s="15"/>
      <c r="T359" s="15"/>
      <c r="U359" s="15"/>
      <c r="V359" s="15"/>
      <c r="W359" s="15"/>
      <c r="X359" s="15"/>
      <c r="Y359" s="15"/>
      <c r="Z359" s="15"/>
      <c r="AA359" s="15"/>
      <c r="AB359" s="15"/>
    </row>
    <row r="360" spans="3:28" x14ac:dyDescent="0.15">
      <c r="C360" s="542" t="str">
        <f t="shared" si="325"/>
        <v>Investor</v>
      </c>
      <c r="D360" s="505"/>
      <c r="E360" s="536"/>
      <c r="F360" s="660">
        <f ca="1">-F353+F357</f>
        <v>162983.64833333335</v>
      </c>
      <c r="G360" s="660">
        <f t="shared" ref="G360:J360" ca="1" si="333">-G353+G357</f>
        <v>281575.93113333336</v>
      </c>
      <c r="H360" s="660">
        <f t="shared" ca="1" si="333"/>
        <v>346267.47487463953</v>
      </c>
      <c r="I360" s="660">
        <f t="shared" ca="1" si="333"/>
        <v>365430.41057975963</v>
      </c>
      <c r="J360" s="660">
        <f t="shared" ca="1" si="333"/>
        <v>1856804.4807398203</v>
      </c>
      <c r="K360" s="660">
        <f t="shared" ref="K360:O360" ca="1" si="334">-K353+K357</f>
        <v>147733.01570954069</v>
      </c>
      <c r="L360" s="660">
        <f t="shared" ca="1" si="334"/>
        <v>158647.16114514018</v>
      </c>
      <c r="M360" s="660">
        <f t="shared" ca="1" si="334"/>
        <v>170043.31655392531</v>
      </c>
      <c r="N360" s="660">
        <f t="shared" ca="1" si="334"/>
        <v>181941.67121793871</v>
      </c>
      <c r="O360" s="660">
        <f t="shared" ca="1" si="334"/>
        <v>2240645.2896459904</v>
      </c>
      <c r="P360" s="15"/>
      <c r="Q360" s="15"/>
      <c r="R360" s="15"/>
      <c r="S360" s="15"/>
      <c r="T360" s="15"/>
      <c r="U360" s="15"/>
      <c r="V360" s="15"/>
      <c r="W360" s="15"/>
      <c r="X360" s="15"/>
      <c r="Y360" s="15"/>
      <c r="Z360" s="15"/>
      <c r="AA360" s="15"/>
      <c r="AB360" s="15"/>
    </row>
    <row r="361" spans="3:28" x14ac:dyDescent="0.15">
      <c r="C361" s="542" t="str">
        <f t="shared" si="325"/>
        <v>BVG</v>
      </c>
      <c r="D361" s="505"/>
      <c r="E361" s="536"/>
      <c r="F361" s="660">
        <f ca="1">+F358</f>
        <v>0</v>
      </c>
      <c r="G361" s="660">
        <f t="shared" ref="G361:J361" ca="1" si="335">+G358</f>
        <v>0</v>
      </c>
      <c r="H361" s="660">
        <f t="shared" ca="1" si="335"/>
        <v>0</v>
      </c>
      <c r="I361" s="660">
        <f t="shared" ca="1" si="335"/>
        <v>0</v>
      </c>
      <c r="J361" s="660">
        <f t="shared" ca="1" si="335"/>
        <v>57732.540263833362</v>
      </c>
      <c r="K361" s="660">
        <f t="shared" ref="K361:O361" ca="1" si="336">+K358</f>
        <v>147733.01570954069</v>
      </c>
      <c r="L361" s="660">
        <f t="shared" ca="1" si="336"/>
        <v>158647.16114514018</v>
      </c>
      <c r="M361" s="660">
        <f t="shared" ca="1" si="336"/>
        <v>170043.31655392531</v>
      </c>
      <c r="N361" s="660">
        <f t="shared" ca="1" si="336"/>
        <v>181941.67121793871</v>
      </c>
      <c r="O361" s="660">
        <f t="shared" ca="1" si="336"/>
        <v>2240645.2896459904</v>
      </c>
      <c r="P361" s="15"/>
      <c r="Q361" s="15"/>
      <c r="R361" s="15"/>
      <c r="S361" s="15"/>
      <c r="T361" s="15"/>
      <c r="U361" s="15"/>
      <c r="V361" s="15"/>
      <c r="W361" s="15"/>
      <c r="X361" s="15"/>
      <c r="Y361" s="15"/>
      <c r="Z361" s="15"/>
      <c r="AA361" s="15"/>
      <c r="AB361" s="15"/>
    </row>
    <row r="362" spans="3:28" x14ac:dyDescent="0.15">
      <c r="C362" s="41" t="str">
        <f t="shared" si="325"/>
        <v>Total Project Cash Flow</v>
      </c>
      <c r="D362" s="505"/>
      <c r="E362" s="587">
        <f>E345</f>
        <v>-2419999.5</v>
      </c>
      <c r="F362" s="662">
        <f ca="1">+F360</f>
        <v>162983.64833333335</v>
      </c>
      <c r="G362" s="662">
        <f t="shared" ref="G362:J362" ca="1" si="337">+G360</f>
        <v>281575.93113333336</v>
      </c>
      <c r="H362" s="662">
        <f t="shared" ca="1" si="337"/>
        <v>346267.47487463953</v>
      </c>
      <c r="I362" s="662">
        <f t="shared" ca="1" si="337"/>
        <v>365430.41057975963</v>
      </c>
      <c r="J362" s="662">
        <f t="shared" ca="1" si="337"/>
        <v>1856804.4807398203</v>
      </c>
      <c r="K362" s="662">
        <f t="shared" ref="K362:O362" ca="1" si="338">+K360</f>
        <v>147733.01570954069</v>
      </c>
      <c r="L362" s="662">
        <f t="shared" ca="1" si="338"/>
        <v>158647.16114514018</v>
      </c>
      <c r="M362" s="662">
        <f t="shared" ca="1" si="338"/>
        <v>170043.31655392531</v>
      </c>
      <c r="N362" s="662">
        <f t="shared" ca="1" si="338"/>
        <v>181941.67121793871</v>
      </c>
      <c r="O362" s="662">
        <f t="shared" ca="1" si="338"/>
        <v>2240645.2896459904</v>
      </c>
      <c r="P362" s="15"/>
      <c r="Q362" s="15"/>
      <c r="R362" s="15"/>
      <c r="S362" s="15"/>
      <c r="T362" s="15"/>
      <c r="U362" s="15"/>
      <c r="V362" s="15"/>
      <c r="W362" s="15"/>
      <c r="X362" s="15"/>
      <c r="Y362" s="15"/>
      <c r="Z362" s="15"/>
      <c r="AA362" s="15"/>
      <c r="AB362" s="15"/>
    </row>
    <row r="363" spans="3:28" x14ac:dyDescent="0.15">
      <c r="C363" s="505"/>
      <c r="D363" s="505"/>
      <c r="E363" s="50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3:28" x14ac:dyDescent="0.15">
      <c r="C364" s="505" t="s">
        <v>386</v>
      </c>
      <c r="D364" s="505"/>
      <c r="E364" s="534">
        <f ca="1">IRR(E362:O362)</f>
        <v>0.15667048128000749</v>
      </c>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3:28" x14ac:dyDescent="0.15">
      <c r="C365" s="505" t="s">
        <v>356</v>
      </c>
      <c r="D365" s="505"/>
      <c r="E365" s="536">
        <f ca="1">SUM(F362:O362)/-E362</f>
        <v>2.4430056286926596</v>
      </c>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3:28" x14ac:dyDescent="0.15">
      <c r="C366" s="505" t="s">
        <v>379</v>
      </c>
      <c r="D366" s="505"/>
      <c r="E366" s="536">
        <f ca="1">SUM(F362:O362)</f>
        <v>5912072.399933422</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3:28" x14ac:dyDescent="0.15">
      <c r="C367" s="505" t="s">
        <v>383</v>
      </c>
      <c r="E367" s="536">
        <f ca="1">SUM(F361:O361)</f>
        <v>2956742.9945363686</v>
      </c>
      <c r="F367" s="505"/>
      <c r="G367" s="505"/>
      <c r="H367" s="505"/>
      <c r="I367" s="505"/>
      <c r="J367" s="505"/>
      <c r="K367" s="505"/>
      <c r="L367" s="505"/>
      <c r="M367" s="505"/>
      <c r="N367" s="505"/>
      <c r="O367" s="505"/>
      <c r="P367" s="505"/>
      <c r="Q367" s="505"/>
      <c r="R367" s="505"/>
      <c r="S367" s="505"/>
      <c r="T367" s="505"/>
      <c r="U367" s="505"/>
      <c r="V367" s="505"/>
      <c r="W367" s="505"/>
      <c r="X367" s="505"/>
      <c r="Y367" s="505"/>
      <c r="Z367" s="505"/>
      <c r="AA367" s="505"/>
      <c r="AB367" s="505"/>
    </row>
    <row r="372" spans="2:28" s="310" customFormat="1" x14ac:dyDescent="0.15">
      <c r="B372" s="460"/>
      <c r="C372" s="311" t="s">
        <v>387</v>
      </c>
      <c r="D372" s="309"/>
      <c r="E372" s="663"/>
      <c r="F372" s="663"/>
      <c r="G372" s="663"/>
      <c r="H372" s="663"/>
      <c r="I372" s="663"/>
      <c r="J372" s="663"/>
      <c r="K372" s="663"/>
      <c r="L372" s="663"/>
      <c r="M372" s="663"/>
      <c r="N372" s="663"/>
      <c r="O372" s="663"/>
      <c r="P372" s="663"/>
      <c r="Q372" s="663"/>
      <c r="R372" s="663"/>
      <c r="S372" s="663"/>
      <c r="T372" s="663"/>
      <c r="U372" s="663"/>
      <c r="V372" s="663"/>
      <c r="W372" s="663"/>
      <c r="X372" s="663"/>
      <c r="Y372" s="663"/>
      <c r="Z372" s="663"/>
      <c r="AA372" s="663"/>
      <c r="AB372" s="663"/>
    </row>
  </sheetData>
  <sheetProtection algorithmName="SHA-512" hashValue="511JttZx2vxAr+jfgge2sypjGZG4P4ASB6Y/MCJHNoyIHh1YPtIhinnnGyqunXbJtt5fPIQcAMP6sa+DSZmgMQ==" saltValue="IwpKmMEvJM4nsvlkesHWig==" spinCount="100000" sheet="1" objects="1" scenarios="1"/>
  <mergeCells count="12">
    <mergeCell ref="R22:S22"/>
    <mergeCell ref="R17:U17"/>
    <mergeCell ref="C264:J264"/>
    <mergeCell ref="C190:O190"/>
    <mergeCell ref="C317:O317"/>
    <mergeCell ref="D1:E1"/>
    <mergeCell ref="C211:H211"/>
    <mergeCell ref="A155:O155"/>
    <mergeCell ref="C176:D176"/>
    <mergeCell ref="C167:F167"/>
    <mergeCell ref="C157:E157"/>
    <mergeCell ref="M17:P17"/>
  </mergeCells>
  <phoneticPr fontId="0" type="noConversion"/>
  <conditionalFormatting sqref="D100">
    <cfRule type="cellIs" priority="3" operator="greaterThanOrEqual">
      <formula>$D$97</formula>
    </cfRule>
    <cfRule type="cellIs" dxfId="26" priority="5" operator="greaterThan">
      <formula>$D$97</formula>
    </cfRule>
  </conditionalFormatting>
  <conditionalFormatting sqref="D56:AJ79">
    <cfRule type="expression" dxfId="25" priority="16">
      <formula>IF(_xlfn.ISFORMULA(D56),FALSE,TRUE)</formula>
    </cfRule>
  </conditionalFormatting>
  <conditionalFormatting sqref="E56:E79">
    <cfRule type="expression" dxfId="24" priority="1">
      <formula>$N$4="BVG Defaults"</formula>
    </cfRule>
  </conditionalFormatting>
  <conditionalFormatting sqref="F56:F79">
    <cfRule type="expression" dxfId="23" priority="2">
      <formula>E56&lt;&gt;12*F56</formula>
    </cfRule>
  </conditionalFormatting>
  <conditionalFormatting sqref="F87:M88">
    <cfRule type="expression" dxfId="22" priority="6">
      <formula>IF(_xlfn.ISFORMULA(F87),FALSE,TRUE)</formula>
    </cfRule>
  </conditionalFormatting>
  <conditionalFormatting sqref="F28:AJ31 F34:AJ40 F44:AJ49 F51:AJ51">
    <cfRule type="expression" dxfId="21" priority="29">
      <formula>IF(_xlfn.ISFORMULA(F28),FALSE,TRUE)</formula>
    </cfRule>
  </conditionalFormatting>
  <conditionalFormatting sqref="F91:AJ91">
    <cfRule type="notContainsBlanks" dxfId="20" priority="14">
      <formula>LEN(TRIM(F91))&gt;0</formula>
    </cfRule>
  </conditionalFormatting>
  <dataValidations disablePrompts="1" count="1">
    <dataValidation type="list" allowBlank="1" showInputMessage="1" showErrorMessage="1" sqref="N5" xr:uid="{2193E996-7C81-4AAD-8533-F2C743F15953}">
      <formula1>"Yes, No"</formula1>
    </dataValidation>
  </dataValidations>
  <pageMargins left="0.25" right="0.25" top="0.75" bottom="0.75" header="0.3" footer="0.3"/>
  <pageSetup scale="58" fitToHeight="0" orientation="landscape"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857B535-2106-4A67-820C-683114398DF3}">
          <x14:formula1>
            <xm:f>'IE Data Entry'!$Q$2:$Q$6</xm:f>
          </x14:formula1>
          <xm:sqref>N4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T15"/>
  <sheetViews>
    <sheetView workbookViewId="0">
      <selection activeCell="T12" sqref="T12"/>
    </sheetView>
  </sheetViews>
  <sheetFormatPr baseColWidth="10" defaultColWidth="8.83203125" defaultRowHeight="13" x14ac:dyDescent="0.15"/>
  <cols>
    <col min="1" max="1" width="25" customWidth="1"/>
    <col min="2" max="2" width="9" bestFit="1" customWidth="1"/>
    <col min="3" max="3" width="16" customWidth="1"/>
    <col min="4" max="4" width="7.33203125" bestFit="1" customWidth="1"/>
    <col min="5" max="5" width="4.33203125" bestFit="1" customWidth="1"/>
    <col min="6" max="6" width="14.1640625" bestFit="1" customWidth="1"/>
    <col min="7" max="7" width="5.33203125" bestFit="1" customWidth="1"/>
    <col min="8" max="8" width="10.83203125" bestFit="1" customWidth="1"/>
    <col min="9" max="9" width="11.5" customWidth="1"/>
    <col min="10" max="10" width="2.83203125" customWidth="1"/>
    <col min="11" max="11" width="10" customWidth="1"/>
    <col min="12" max="12" width="20.83203125" customWidth="1"/>
    <col min="13" max="13" width="12.5" customWidth="1"/>
    <col min="14" max="14" width="14.83203125" customWidth="1"/>
    <col min="15" max="15" width="15.5" customWidth="1"/>
    <col min="16" max="16" width="10.5" customWidth="1"/>
    <col min="17" max="17" width="14.6640625" customWidth="1"/>
    <col min="18" max="18" width="12.83203125" customWidth="1"/>
    <col min="19" max="19" width="12.5" customWidth="1"/>
    <col min="20" max="20" width="13.1640625" customWidth="1"/>
  </cols>
  <sheetData>
    <row r="1" spans="1:20" ht="15" x14ac:dyDescent="0.2">
      <c r="A1" s="767" t="s">
        <v>388</v>
      </c>
      <c r="B1" s="767"/>
      <c r="C1" s="767"/>
      <c r="D1" s="767"/>
      <c r="E1" s="767"/>
      <c r="G1" s="767" t="s">
        <v>389</v>
      </c>
      <c r="H1" s="767"/>
      <c r="I1" s="767"/>
      <c r="J1" s="767"/>
      <c r="K1" s="482"/>
      <c r="L1" s="768" t="s">
        <v>390</v>
      </c>
      <c r="M1" s="768"/>
      <c r="N1" s="768"/>
      <c r="O1" s="768"/>
      <c r="P1" s="768"/>
      <c r="Q1" s="768"/>
      <c r="R1" s="768"/>
      <c r="S1" s="768"/>
      <c r="T1" s="768"/>
    </row>
    <row r="2" spans="1:20" x14ac:dyDescent="0.15">
      <c r="A2" s="505" t="s">
        <v>391</v>
      </c>
      <c r="B2" s="524"/>
      <c r="C2" s="505"/>
      <c r="L2" s="677" t="s">
        <v>392</v>
      </c>
      <c r="M2" s="556"/>
      <c r="N2" s="556"/>
      <c r="O2" s="677" t="s">
        <v>393</v>
      </c>
      <c r="P2" s="677"/>
      <c r="Q2" s="556"/>
      <c r="R2" s="677" t="s">
        <v>394</v>
      </c>
      <c r="S2" s="678">
        <f>C4</f>
        <v>0</v>
      </c>
      <c r="T2" s="556"/>
    </row>
    <row r="3" spans="1:20" ht="15" x14ac:dyDescent="0.2">
      <c r="A3" s="505" t="s">
        <v>395</v>
      </c>
      <c r="B3" s="483" t="s">
        <v>396</v>
      </c>
      <c r="C3" s="484" t="s">
        <v>397</v>
      </c>
      <c r="D3" s="485" t="s">
        <v>398</v>
      </c>
      <c r="L3" s="556" t="s">
        <v>399</v>
      </c>
      <c r="M3" s="678">
        <v>80000</v>
      </c>
      <c r="N3" s="682" t="s">
        <v>400</v>
      </c>
      <c r="O3" s="556" t="s">
        <v>401</v>
      </c>
      <c r="P3" s="678">
        <f>B5</f>
        <v>0</v>
      </c>
      <c r="Q3" s="682" t="s">
        <v>400</v>
      </c>
      <c r="R3" s="556"/>
      <c r="S3" s="556"/>
      <c r="T3" s="556"/>
    </row>
    <row r="4" spans="1:20" ht="14" x14ac:dyDescent="0.2">
      <c r="A4" s="508" t="s">
        <v>402</v>
      </c>
      <c r="B4" s="564"/>
      <c r="C4" s="564"/>
      <c r="D4" s="564"/>
      <c r="E4" s="66"/>
      <c r="L4" s="556" t="s">
        <v>403</v>
      </c>
      <c r="M4" s="679">
        <v>0.05</v>
      </c>
      <c r="N4" s="564">
        <f>M4*M3</f>
        <v>4000</v>
      </c>
      <c r="O4" s="556" t="s">
        <v>403</v>
      </c>
      <c r="P4" s="679">
        <v>0.15</v>
      </c>
      <c r="Q4" s="688">
        <f>P4*P3</f>
        <v>0</v>
      </c>
      <c r="R4" s="556"/>
      <c r="S4" s="556"/>
      <c r="T4" s="556"/>
    </row>
    <row r="5" spans="1:20" ht="14" x14ac:dyDescent="0.2">
      <c r="A5" s="505" t="s">
        <v>404</v>
      </c>
      <c r="B5" s="565"/>
      <c r="C5" s="564"/>
      <c r="D5" s="510"/>
      <c r="E5" s="66"/>
      <c r="L5" s="556" t="s">
        <v>307</v>
      </c>
      <c r="M5" s="679">
        <v>0.10199999999999999</v>
      </c>
      <c r="N5" s="556"/>
      <c r="O5" s="556" t="s">
        <v>307</v>
      </c>
      <c r="P5" s="679">
        <v>0.08</v>
      </c>
      <c r="Q5" s="556"/>
      <c r="R5" s="556"/>
      <c r="S5" s="556"/>
      <c r="T5" s="556"/>
    </row>
    <row r="6" spans="1:20" ht="14" x14ac:dyDescent="0.2">
      <c r="A6" s="505" t="s">
        <v>405</v>
      </c>
      <c r="B6" s="566"/>
      <c r="C6" s="567"/>
      <c r="D6" s="510"/>
      <c r="E6" s="66"/>
      <c r="L6" s="556" t="s">
        <v>406</v>
      </c>
      <c r="M6" s="680">
        <v>23</v>
      </c>
      <c r="N6" s="556"/>
      <c r="O6" s="556" t="s">
        <v>406</v>
      </c>
      <c r="P6" s="680">
        <v>30</v>
      </c>
      <c r="Q6" s="556"/>
      <c r="R6" s="556"/>
      <c r="S6" s="556"/>
      <c r="T6" s="556"/>
    </row>
    <row r="7" spans="1:20" ht="14" x14ac:dyDescent="0.2">
      <c r="A7" s="505" t="s">
        <v>407</v>
      </c>
      <c r="B7" s="565"/>
      <c r="C7" s="564"/>
      <c r="D7" s="510"/>
      <c r="E7" s="66"/>
      <c r="L7" s="556" t="s">
        <v>408</v>
      </c>
      <c r="M7" s="681">
        <f>500/12</f>
        <v>41.666666666666664</v>
      </c>
      <c r="N7" s="556"/>
      <c r="O7" s="556" t="s">
        <v>409</v>
      </c>
      <c r="P7" s="681">
        <f>0.01*P3/12</f>
        <v>0</v>
      </c>
      <c r="Q7" s="556"/>
      <c r="R7" s="556"/>
      <c r="S7" s="556"/>
      <c r="T7" s="556"/>
    </row>
    <row r="8" spans="1:20" ht="14" x14ac:dyDescent="0.2">
      <c r="A8" s="505" t="s">
        <v>410</v>
      </c>
      <c r="B8" s="555"/>
      <c r="C8" s="555"/>
      <c r="D8" s="510"/>
      <c r="E8" s="66"/>
      <c r="L8" s="556"/>
      <c r="M8" s="556"/>
      <c r="N8" s="556"/>
      <c r="O8" s="556"/>
      <c r="P8" s="556"/>
      <c r="Q8" s="556"/>
      <c r="R8" s="556"/>
      <c r="S8" s="556"/>
      <c r="T8" s="556"/>
    </row>
    <row r="9" spans="1:20" ht="15" customHeight="1" x14ac:dyDescent="0.2">
      <c r="A9" s="505"/>
      <c r="B9" s="565"/>
      <c r="C9" s="555"/>
      <c r="D9" s="510"/>
      <c r="E9" s="66"/>
      <c r="F9" s="66"/>
      <c r="G9" s="66"/>
      <c r="L9" s="682" t="s">
        <v>411</v>
      </c>
      <c r="M9" s="682" t="s">
        <v>412</v>
      </c>
      <c r="N9" s="682" t="s">
        <v>413</v>
      </c>
      <c r="O9" s="683" t="s">
        <v>414</v>
      </c>
      <c r="P9" s="682" t="s">
        <v>415</v>
      </c>
      <c r="Q9" s="683" t="s">
        <v>416</v>
      </c>
      <c r="R9" s="682" t="s">
        <v>417</v>
      </c>
      <c r="S9" s="682" t="s">
        <v>413</v>
      </c>
      <c r="T9" s="683" t="s">
        <v>416</v>
      </c>
    </row>
    <row r="10" spans="1:20" ht="15" customHeight="1" x14ac:dyDescent="0.2">
      <c r="A10" s="505"/>
      <c r="B10" s="555"/>
      <c r="C10" s="555"/>
      <c r="D10" s="510"/>
      <c r="E10" s="66"/>
      <c r="F10" s="66"/>
      <c r="G10" s="66"/>
      <c r="L10" s="684" t="s">
        <v>418</v>
      </c>
      <c r="M10" s="684" t="s">
        <v>399</v>
      </c>
      <c r="N10" s="684" t="s">
        <v>306</v>
      </c>
      <c r="O10" s="685"/>
      <c r="P10" s="684" t="s">
        <v>419</v>
      </c>
      <c r="Q10" s="685" t="s">
        <v>420</v>
      </c>
      <c r="R10" s="684" t="s">
        <v>0</v>
      </c>
      <c r="S10" s="684" t="s">
        <v>306</v>
      </c>
      <c r="T10" s="685" t="s">
        <v>420</v>
      </c>
    </row>
    <row r="11" spans="1:20" ht="15" x14ac:dyDescent="0.2">
      <c r="A11" s="482"/>
      <c r="B11" s="482"/>
      <c r="C11" s="482"/>
      <c r="D11" s="482"/>
      <c r="E11" s="482"/>
      <c r="F11" s="66"/>
      <c r="G11" s="66"/>
      <c r="L11" s="678">
        <f>Proforma!F29</f>
        <v>565</v>
      </c>
      <c r="M11" s="686">
        <f>M3</f>
        <v>80000</v>
      </c>
      <c r="N11" s="686">
        <f>PMT(M5/12,M6*12,-M11*(1-M4))</f>
        <v>715.15984620729603</v>
      </c>
      <c r="O11" s="687">
        <f>N11+L11+M7</f>
        <v>1321.8265128739629</v>
      </c>
      <c r="P11" s="686">
        <f>S2</f>
        <v>0</v>
      </c>
      <c r="Q11" s="689">
        <f>P11-O11</f>
        <v>-1321.8265128739629</v>
      </c>
      <c r="R11" s="686">
        <f>P3</f>
        <v>0</v>
      </c>
      <c r="S11" s="686">
        <f>PMT(P5/12,P6*12,-R11*(1-P4))+P7</f>
        <v>0</v>
      </c>
      <c r="T11" s="689">
        <f>S11-O11</f>
        <v>-1321.8265128739629</v>
      </c>
    </row>
    <row r="12" spans="1:20" x14ac:dyDescent="0.15">
      <c r="B12" s="555"/>
      <c r="C12" s="555"/>
      <c r="D12" s="555"/>
    </row>
    <row r="13" spans="1:20" x14ac:dyDescent="0.15">
      <c r="B13" s="555"/>
      <c r="C13" s="555"/>
      <c r="D13" s="555"/>
    </row>
    <row r="15" spans="1:20" x14ac:dyDescent="0.15">
      <c r="A15" s="505"/>
    </row>
  </sheetData>
  <mergeCells count="3">
    <mergeCell ref="A1:E1"/>
    <mergeCell ref="G1:J1"/>
    <mergeCell ref="L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S103"/>
  <sheetViews>
    <sheetView topLeftCell="A24" workbookViewId="0">
      <selection activeCell="T12" sqref="T12"/>
    </sheetView>
  </sheetViews>
  <sheetFormatPr baseColWidth="10" defaultColWidth="9.1640625" defaultRowHeight="15" x14ac:dyDescent="0.2"/>
  <cols>
    <col min="1" max="1" width="27.6640625" style="150" bestFit="1" customWidth="1"/>
    <col min="2" max="2" width="9.5" style="154" bestFit="1" customWidth="1"/>
    <col min="3" max="3" width="10.33203125" style="150" bestFit="1" customWidth="1"/>
    <col min="4" max="4" width="10.6640625" style="150" bestFit="1" customWidth="1"/>
    <col min="5" max="5" width="9.83203125" style="150" bestFit="1" customWidth="1"/>
    <col min="6" max="6" width="9.83203125" style="150" customWidth="1"/>
    <col min="7" max="7" width="10.33203125" style="150" bestFit="1" customWidth="1"/>
    <col min="8" max="8" width="10.1640625" style="150" bestFit="1" customWidth="1"/>
    <col min="9" max="10" width="13.83203125" style="150" customWidth="1"/>
    <col min="11" max="11" width="1.5" style="150" customWidth="1"/>
    <col min="12" max="12" width="38.5" style="150" customWidth="1"/>
    <col min="13" max="13" width="55.5" style="150" customWidth="1"/>
    <col min="14" max="14" width="9.1640625" style="150"/>
    <col min="15" max="15" width="20.6640625" style="150" customWidth="1"/>
    <col min="16" max="16384" width="9.1640625" style="150"/>
  </cols>
  <sheetData>
    <row r="1" spans="1:19" x14ac:dyDescent="0.2">
      <c r="A1" s="769" t="s">
        <v>421</v>
      </c>
      <c r="B1" s="769"/>
      <c r="C1" s="769"/>
      <c r="D1" s="769"/>
      <c r="E1" s="769"/>
      <c r="F1" s="769"/>
      <c r="G1" s="769"/>
      <c r="H1" s="769"/>
      <c r="I1" s="769"/>
      <c r="J1" s="769"/>
      <c r="K1" s="769"/>
      <c r="L1" s="769"/>
      <c r="M1" s="769"/>
      <c r="P1" s="771" t="s">
        <v>422</v>
      </c>
      <c r="Q1" s="772"/>
      <c r="R1" s="772"/>
      <c r="S1" s="773"/>
    </row>
    <row r="2" spans="1:19" x14ac:dyDescent="0.2">
      <c r="A2" s="150" t="s">
        <v>423</v>
      </c>
      <c r="B2" s="151"/>
      <c r="C2" s="152"/>
      <c r="D2" s="152"/>
      <c r="E2" s="152"/>
      <c r="F2" s="152"/>
      <c r="G2" s="152"/>
      <c r="H2" s="152"/>
      <c r="I2" s="152"/>
      <c r="J2" s="152"/>
      <c r="K2" s="152"/>
      <c r="L2" s="152"/>
      <c r="M2" s="152"/>
      <c r="P2" s="253">
        <f>VLOOKUP(Proforma!N4,Q2:R6,2,FALSE)</f>
        <v>0</v>
      </c>
      <c r="Q2" s="525">
        <f>Current_Year-1</f>
        <v>2024</v>
      </c>
      <c r="R2" s="505">
        <v>0</v>
      </c>
      <c r="S2" s="254"/>
    </row>
    <row r="3" spans="1:19" x14ac:dyDescent="0.2">
      <c r="A3" s="150" t="s">
        <v>424</v>
      </c>
      <c r="B3" s="153">
        <v>2025</v>
      </c>
      <c r="C3" s="154"/>
      <c r="D3" s="154"/>
      <c r="P3" s="253"/>
      <c r="Q3" s="525" t="str">
        <f>F9</f>
        <v>Trailing 12</v>
      </c>
      <c r="R3" s="505">
        <v>1</v>
      </c>
      <c r="S3" s="254"/>
    </row>
    <row r="4" spans="1:19" x14ac:dyDescent="0.2">
      <c r="A4" s="150" t="s">
        <v>425</v>
      </c>
      <c r="B4" s="154">
        <f>+B3-1</f>
        <v>2024</v>
      </c>
      <c r="C4" s="154">
        <f>+B4-1</f>
        <v>2023</v>
      </c>
      <c r="D4" s="154">
        <f>+C4-1</f>
        <v>2022</v>
      </c>
      <c r="P4" s="568"/>
      <c r="Q4" s="525" t="str">
        <f>H9&amp;" Annualized"</f>
        <v>2025 Annualized</v>
      </c>
      <c r="R4" s="505">
        <v>2</v>
      </c>
      <c r="S4" s="254"/>
    </row>
    <row r="5" spans="1:19" x14ac:dyDescent="0.2">
      <c r="A5" s="150" t="str">
        <f>"For YTD "&amp;B3&amp;" Income Statement"</f>
        <v>For YTD 2025 Income Statement</v>
      </c>
      <c r="B5" s="150"/>
      <c r="C5" s="155" t="s">
        <v>426</v>
      </c>
      <c r="D5" s="156">
        <v>45382</v>
      </c>
      <c r="E5" s="157"/>
      <c r="F5" s="157"/>
      <c r="G5" s="158" t="s">
        <v>427</v>
      </c>
      <c r="H5" s="159">
        <f>MONTH(D5)</f>
        <v>3</v>
      </c>
      <c r="P5" s="568"/>
      <c r="Q5" s="652" t="s">
        <v>171</v>
      </c>
      <c r="R5" s="505">
        <v>3</v>
      </c>
      <c r="S5" s="254"/>
    </row>
    <row r="6" spans="1:19" ht="14.25" customHeight="1" thickBot="1" x14ac:dyDescent="0.25">
      <c r="B6" s="150"/>
      <c r="P6" s="653"/>
      <c r="Q6" s="706" t="s">
        <v>428</v>
      </c>
      <c r="R6" s="210">
        <v>4</v>
      </c>
      <c r="S6" s="255"/>
    </row>
    <row r="7" spans="1:19" x14ac:dyDescent="0.2">
      <c r="A7" s="770" t="s">
        <v>429</v>
      </c>
      <c r="B7" s="770"/>
      <c r="C7" s="770"/>
      <c r="D7" s="770"/>
      <c r="E7" s="770"/>
      <c r="F7" s="770"/>
      <c r="G7" s="770"/>
      <c r="H7" s="770"/>
      <c r="I7" s="770"/>
      <c r="J7" s="770"/>
      <c r="K7" s="770"/>
      <c r="L7" s="770"/>
      <c r="M7" s="770"/>
    </row>
    <row r="8" spans="1:19" x14ac:dyDescent="0.2">
      <c r="A8" s="160"/>
      <c r="B8" s="161" t="s">
        <v>430</v>
      </c>
      <c r="C8" s="161"/>
      <c r="D8" s="161"/>
      <c r="E8" s="161"/>
      <c r="F8" s="161"/>
      <c r="G8" s="161" t="s">
        <v>431</v>
      </c>
      <c r="H8" s="161" t="s">
        <v>432</v>
      </c>
      <c r="I8" s="161" t="s">
        <v>433</v>
      </c>
      <c r="J8" s="161" t="s">
        <v>334</v>
      </c>
      <c r="K8" s="161"/>
    </row>
    <row r="9" spans="1:19" ht="16" thickBot="1" x14ac:dyDescent="0.25">
      <c r="A9" s="160" t="s">
        <v>434</v>
      </c>
      <c r="B9" s="161" t="s">
        <v>435</v>
      </c>
      <c r="C9" s="161">
        <f>+D4</f>
        <v>2022</v>
      </c>
      <c r="D9" s="161">
        <f>+C4</f>
        <v>2023</v>
      </c>
      <c r="E9" s="161">
        <f>+B4</f>
        <v>2024</v>
      </c>
      <c r="F9" s="161" t="s">
        <v>163</v>
      </c>
      <c r="G9" s="161">
        <f>Current_Year</f>
        <v>2025</v>
      </c>
      <c r="H9" s="162">
        <f>Current_Year</f>
        <v>2025</v>
      </c>
      <c r="I9" s="161" t="s">
        <v>436</v>
      </c>
      <c r="J9" s="161" t="s">
        <v>437</v>
      </c>
      <c r="K9" s="162"/>
      <c r="L9" s="163" t="s">
        <v>438</v>
      </c>
      <c r="M9" s="163" t="s">
        <v>187</v>
      </c>
    </row>
    <row r="10" spans="1:19" x14ac:dyDescent="0.2">
      <c r="A10" s="642" t="str">
        <f>+Proforma!C29</f>
        <v xml:space="preserve">MH </v>
      </c>
      <c r="B10" s="643">
        <v>1</v>
      </c>
      <c r="C10" s="644"/>
      <c r="D10" s="644"/>
      <c r="E10" s="644"/>
      <c r="F10" s="644"/>
      <c r="G10" s="644"/>
      <c r="H10" s="164">
        <f t="shared" ref="H10:H24" si="0">+G10/$H$5*12</f>
        <v>0</v>
      </c>
      <c r="I10" s="644"/>
      <c r="J10" s="644"/>
      <c r="L10" s="150" t="str">
        <f t="shared" ref="L10:L24" si="1">VLOOKUP($B10,Income_Account_Codes,2,)</f>
        <v>MH Space Rent Tier 1</v>
      </c>
      <c r="O10" s="642" t="s">
        <v>439</v>
      </c>
      <c r="P10" s="643">
        <v>1</v>
      </c>
      <c r="Q10" s="569"/>
    </row>
    <row r="11" spans="1:19" x14ac:dyDescent="0.2">
      <c r="A11" s="690" t="str">
        <f>+Proforma!C30</f>
        <v>RV</v>
      </c>
      <c r="B11" s="643">
        <v>2</v>
      </c>
      <c r="C11" s="644"/>
      <c r="D11" s="644"/>
      <c r="E11" s="644"/>
      <c r="F11" s="644"/>
      <c r="G11" s="644"/>
      <c r="H11" s="164">
        <f t="shared" si="0"/>
        <v>0</v>
      </c>
      <c r="I11" s="644"/>
      <c r="J11" s="644"/>
      <c r="L11" s="150" t="str">
        <f t="shared" si="1"/>
        <v>RV Space Rent Permanent</v>
      </c>
      <c r="O11" s="690" t="s">
        <v>440</v>
      </c>
      <c r="P11" s="643">
        <v>2</v>
      </c>
      <c r="Q11" s="569"/>
    </row>
    <row r="12" spans="1:19" x14ac:dyDescent="0.2">
      <c r="A12" s="642" t="str">
        <f>+Proforma!C31</f>
        <v>Other</v>
      </c>
      <c r="B12" s="643">
        <v>3</v>
      </c>
      <c r="C12" s="644"/>
      <c r="D12" s="644"/>
      <c r="E12" s="644"/>
      <c r="F12" s="644"/>
      <c r="G12" s="644"/>
      <c r="H12" s="164">
        <f t="shared" si="0"/>
        <v>0</v>
      </c>
      <c r="I12" s="644"/>
      <c r="J12" s="644"/>
      <c r="L12" s="150" t="str">
        <f t="shared" si="1"/>
        <v>Other Rental Income</v>
      </c>
      <c r="O12" s="642" t="s">
        <v>441</v>
      </c>
      <c r="P12" s="643">
        <v>3</v>
      </c>
      <c r="Q12" s="569"/>
    </row>
    <row r="13" spans="1:19" x14ac:dyDescent="0.2">
      <c r="A13" s="690" t="s">
        <v>442</v>
      </c>
      <c r="B13" s="643">
        <v>4</v>
      </c>
      <c r="C13" s="644"/>
      <c r="D13" s="644"/>
      <c r="E13" s="644"/>
      <c r="F13" s="644"/>
      <c r="G13" s="644"/>
      <c r="H13" s="164">
        <f t="shared" si="0"/>
        <v>0</v>
      </c>
      <c r="I13" s="644"/>
      <c r="J13" s="644"/>
      <c r="L13" s="150" t="str">
        <f t="shared" si="1"/>
        <v>Vacancy Loss</v>
      </c>
      <c r="O13" s="690" t="s">
        <v>442</v>
      </c>
      <c r="P13" s="643">
        <v>4</v>
      </c>
      <c r="Q13" s="569"/>
    </row>
    <row r="14" spans="1:19" x14ac:dyDescent="0.2">
      <c r="A14" s="642" t="s">
        <v>260</v>
      </c>
      <c r="B14" s="643">
        <v>4403</v>
      </c>
      <c r="C14" s="644"/>
      <c r="D14" s="644"/>
      <c r="E14" s="644"/>
      <c r="F14" s="644"/>
      <c r="G14" s="644"/>
      <c r="H14" s="164">
        <f t="shared" si="0"/>
        <v>0</v>
      </c>
      <c r="I14" s="644"/>
      <c r="J14" s="644"/>
      <c r="L14" s="150" t="str">
        <f t="shared" si="1"/>
        <v>Electric</v>
      </c>
      <c r="O14" s="642" t="s">
        <v>260</v>
      </c>
      <c r="P14" s="643">
        <v>4403</v>
      </c>
      <c r="Q14" s="569"/>
    </row>
    <row r="15" spans="1:19" x14ac:dyDescent="0.2">
      <c r="A15" s="642" t="s">
        <v>261</v>
      </c>
      <c r="B15" s="643">
        <v>4401</v>
      </c>
      <c r="C15" s="644"/>
      <c r="D15" s="644"/>
      <c r="E15" s="644"/>
      <c r="F15" s="644"/>
      <c r="G15" s="644"/>
      <c r="H15" s="164">
        <f t="shared" si="0"/>
        <v>0</v>
      </c>
      <c r="I15" s="644"/>
      <c r="J15" s="644"/>
      <c r="L15" s="150" t="str">
        <f t="shared" si="1"/>
        <v>Gas / Propane</v>
      </c>
      <c r="O15" s="642" t="s">
        <v>261</v>
      </c>
      <c r="P15" s="643">
        <v>4401</v>
      </c>
      <c r="Q15" s="569"/>
    </row>
    <row r="16" spans="1:19" x14ac:dyDescent="0.2">
      <c r="A16" s="642" t="s">
        <v>262</v>
      </c>
      <c r="B16" s="643">
        <v>4404</v>
      </c>
      <c r="C16" s="644"/>
      <c r="D16" s="644"/>
      <c r="E16" s="644"/>
      <c r="F16" s="644"/>
      <c r="G16" s="644"/>
      <c r="H16" s="164">
        <f t="shared" si="0"/>
        <v>0</v>
      </c>
      <c r="I16" s="644"/>
      <c r="J16" s="644"/>
      <c r="L16" s="150" t="str">
        <f t="shared" si="1"/>
        <v>Trash</v>
      </c>
      <c r="O16" s="642" t="s">
        <v>262</v>
      </c>
      <c r="P16" s="643">
        <v>4404</v>
      </c>
      <c r="Q16" s="569"/>
    </row>
    <row r="17" spans="1:17" x14ac:dyDescent="0.2">
      <c r="A17" s="642" t="s">
        <v>184</v>
      </c>
      <c r="B17" s="643">
        <v>4405</v>
      </c>
      <c r="C17" s="644"/>
      <c r="D17" s="644"/>
      <c r="E17" s="644"/>
      <c r="F17" s="644"/>
      <c r="G17" s="644"/>
      <c r="H17" s="164">
        <f t="shared" si="0"/>
        <v>0</v>
      </c>
      <c r="I17" s="644"/>
      <c r="J17" s="644"/>
      <c r="L17" s="150" t="str">
        <f t="shared" si="1"/>
        <v>Sewer</v>
      </c>
      <c r="O17" s="642" t="s">
        <v>184</v>
      </c>
      <c r="P17" s="643">
        <v>4405</v>
      </c>
      <c r="Q17" s="569"/>
    </row>
    <row r="18" spans="1:17" x14ac:dyDescent="0.2">
      <c r="A18" s="642" t="s">
        <v>183</v>
      </c>
      <c r="B18" s="643">
        <v>4402</v>
      </c>
      <c r="C18" s="644"/>
      <c r="D18" s="644"/>
      <c r="E18" s="644"/>
      <c r="F18" s="644"/>
      <c r="G18" s="644"/>
      <c r="H18" s="164">
        <f t="shared" si="0"/>
        <v>0</v>
      </c>
      <c r="I18" s="644"/>
      <c r="J18" s="644"/>
      <c r="L18" s="150" t="str">
        <f t="shared" si="1"/>
        <v>Water</v>
      </c>
      <c r="O18" s="642" t="s">
        <v>183</v>
      </c>
      <c r="P18" s="643">
        <v>4402</v>
      </c>
      <c r="Q18" s="569"/>
    </row>
    <row r="19" spans="1:17" x14ac:dyDescent="0.2">
      <c r="A19" s="642" t="s">
        <v>263</v>
      </c>
      <c r="B19" s="643">
        <v>4998</v>
      </c>
      <c r="C19" s="644"/>
      <c r="D19" s="644"/>
      <c r="E19" s="644"/>
      <c r="F19" s="644"/>
      <c r="G19" s="644"/>
      <c r="H19" s="164">
        <f t="shared" si="0"/>
        <v>0</v>
      </c>
      <c r="I19" s="644"/>
      <c r="J19" s="644"/>
      <c r="L19" s="150" t="str">
        <f t="shared" si="1"/>
        <v>Other, misc.</v>
      </c>
      <c r="O19" s="642" t="s">
        <v>263</v>
      </c>
      <c r="P19" s="643">
        <v>4998</v>
      </c>
      <c r="Q19" s="569"/>
    </row>
    <row r="20" spans="1:17" x14ac:dyDescent="0.2">
      <c r="A20" s="642" t="s">
        <v>443</v>
      </c>
      <c r="B20" s="643">
        <v>4134</v>
      </c>
      <c r="C20" s="644"/>
      <c r="D20" s="644"/>
      <c r="E20" s="644"/>
      <c r="F20" s="644"/>
      <c r="G20" s="644"/>
      <c r="H20" s="164">
        <f t="shared" si="0"/>
        <v>0</v>
      </c>
      <c r="I20" s="644"/>
      <c r="J20" s="644"/>
      <c r="L20" s="150" t="str">
        <f t="shared" si="1"/>
        <v>Free Rent to Manager</v>
      </c>
      <c r="O20" s="642" t="s">
        <v>443</v>
      </c>
      <c r="P20" s="643">
        <v>4134</v>
      </c>
      <c r="Q20" s="569"/>
    </row>
    <row r="21" spans="1:17" x14ac:dyDescent="0.2">
      <c r="A21" s="642"/>
      <c r="B21" s="643"/>
      <c r="C21" s="644"/>
      <c r="D21" s="644"/>
      <c r="E21" s="644"/>
      <c r="F21" s="644"/>
      <c r="G21" s="644"/>
      <c r="H21" s="164">
        <f t="shared" si="0"/>
        <v>0</v>
      </c>
      <c r="I21" s="644"/>
      <c r="J21" s="644"/>
      <c r="L21" s="150" t="e">
        <f t="shared" si="1"/>
        <v>#N/A</v>
      </c>
    </row>
    <row r="22" spans="1:17" x14ac:dyDescent="0.2">
      <c r="A22" s="642"/>
      <c r="B22" s="643"/>
      <c r="C22" s="644"/>
      <c r="D22" s="644"/>
      <c r="E22" s="644"/>
      <c r="F22" s="644"/>
      <c r="G22" s="644"/>
      <c r="H22" s="164">
        <f t="shared" si="0"/>
        <v>0</v>
      </c>
      <c r="I22" s="644"/>
      <c r="J22" s="644"/>
      <c r="L22" s="150" t="e">
        <f t="shared" si="1"/>
        <v>#N/A</v>
      </c>
    </row>
    <row r="23" spans="1:17" x14ac:dyDescent="0.2">
      <c r="A23" s="642"/>
      <c r="B23" s="643"/>
      <c r="C23" s="644"/>
      <c r="D23" s="644"/>
      <c r="E23" s="644"/>
      <c r="F23" s="644"/>
      <c r="G23" s="644"/>
      <c r="H23" s="164">
        <f t="shared" si="0"/>
        <v>0</v>
      </c>
      <c r="I23" s="644"/>
      <c r="J23" s="644"/>
      <c r="L23" s="150" t="e">
        <f t="shared" si="1"/>
        <v>#N/A</v>
      </c>
    </row>
    <row r="24" spans="1:17" x14ac:dyDescent="0.2">
      <c r="A24" s="642"/>
      <c r="B24" s="643"/>
      <c r="C24" s="644"/>
      <c r="D24" s="644"/>
      <c r="E24" s="644"/>
      <c r="F24" s="644"/>
      <c r="G24" s="644"/>
      <c r="H24" s="164">
        <f t="shared" si="0"/>
        <v>0</v>
      </c>
      <c r="I24" s="644"/>
      <c r="J24" s="644"/>
      <c r="L24" s="150" t="e">
        <f t="shared" si="1"/>
        <v>#N/A</v>
      </c>
    </row>
    <row r="25" spans="1:17" x14ac:dyDescent="0.2">
      <c r="A25" s="169" t="s">
        <v>444</v>
      </c>
      <c r="B25" s="150"/>
      <c r="C25" s="171">
        <f>SUM(C10:C24)</f>
        <v>0</v>
      </c>
      <c r="D25" s="171">
        <f t="shared" ref="D25:I25" si="2">SUM(D10:D24)</f>
        <v>0</v>
      </c>
      <c r="E25" s="171">
        <f t="shared" si="2"/>
        <v>0</v>
      </c>
      <c r="F25" s="171">
        <f t="shared" si="2"/>
        <v>0</v>
      </c>
      <c r="G25" s="171">
        <f t="shared" si="2"/>
        <v>0</v>
      </c>
      <c r="H25" s="171">
        <f t="shared" si="2"/>
        <v>0</v>
      </c>
      <c r="I25" s="171">
        <f t="shared" si="2"/>
        <v>0</v>
      </c>
      <c r="J25" s="171"/>
    </row>
    <row r="26" spans="1:17" x14ac:dyDescent="0.2">
      <c r="B26" s="150"/>
    </row>
    <row r="27" spans="1:17" x14ac:dyDescent="0.2">
      <c r="A27" s="770" t="s">
        <v>445</v>
      </c>
      <c r="B27" s="770"/>
      <c r="C27" s="770"/>
      <c r="D27" s="770"/>
      <c r="E27" s="770"/>
      <c r="F27" s="770"/>
      <c r="G27" s="770"/>
      <c r="H27" s="770"/>
      <c r="I27" s="770"/>
      <c r="J27" s="770"/>
      <c r="K27" s="770"/>
      <c r="L27" s="770"/>
      <c r="M27" s="770"/>
    </row>
    <row r="28" spans="1:17" x14ac:dyDescent="0.2">
      <c r="A28" s="160"/>
      <c r="B28" s="161" t="s">
        <v>430</v>
      </c>
      <c r="C28" s="161"/>
      <c r="D28" s="161"/>
      <c r="E28" s="161"/>
      <c r="F28" s="161"/>
      <c r="G28" s="161" t="s">
        <v>431</v>
      </c>
      <c r="H28" s="161" t="s">
        <v>432</v>
      </c>
      <c r="I28" s="161" t="s">
        <v>433</v>
      </c>
      <c r="J28" s="161" t="s">
        <v>334</v>
      </c>
      <c r="K28" s="161"/>
    </row>
    <row r="29" spans="1:17" ht="16" thickBot="1" x14ac:dyDescent="0.25">
      <c r="A29" s="163" t="s">
        <v>446</v>
      </c>
      <c r="B29" s="162" t="s">
        <v>435</v>
      </c>
      <c r="C29" s="162">
        <f>+D4</f>
        <v>2022</v>
      </c>
      <c r="D29" s="162">
        <f>+C4</f>
        <v>2023</v>
      </c>
      <c r="E29" s="162">
        <f>+B4</f>
        <v>2024</v>
      </c>
      <c r="F29" s="162" t="str">
        <f>+F9</f>
        <v>Trailing 12</v>
      </c>
      <c r="G29" s="162">
        <f>Current_Year</f>
        <v>2025</v>
      </c>
      <c r="H29" s="162">
        <f>Current_Year</f>
        <v>2025</v>
      </c>
      <c r="I29" s="162" t="s">
        <v>436</v>
      </c>
      <c r="J29" s="161" t="s">
        <v>437</v>
      </c>
      <c r="K29" s="162"/>
      <c r="L29" s="163" t="s">
        <v>438</v>
      </c>
      <c r="M29" s="163" t="s">
        <v>187</v>
      </c>
    </row>
    <row r="30" spans="1:17" x14ac:dyDescent="0.2">
      <c r="A30" s="165" t="s">
        <v>447</v>
      </c>
      <c r="B30" s="166">
        <v>5701</v>
      </c>
      <c r="C30" s="167"/>
      <c r="D30" s="167"/>
      <c r="E30" s="167">
        <v>25898</v>
      </c>
      <c r="F30" s="167"/>
      <c r="G30" s="167"/>
      <c r="H30" s="164">
        <f>+G30/$H$5*12</f>
        <v>0</v>
      </c>
      <c r="I30" s="167"/>
      <c r="J30" s="644">
        <f>400*NoOfSpaces</f>
        <v>40000</v>
      </c>
      <c r="L30" s="168" t="str">
        <f t="shared" ref="L30:L100" si="3">VLOOKUP(B30,ChartOfAccounts,2,)</f>
        <v>Manager/Maint Salary Expense</v>
      </c>
      <c r="M30" s="168"/>
      <c r="O30" s="165" t="s">
        <v>447</v>
      </c>
      <c r="P30" s="166">
        <v>5701</v>
      </c>
    </row>
    <row r="31" spans="1:17" x14ac:dyDescent="0.2">
      <c r="A31" s="642" t="s">
        <v>277</v>
      </c>
      <c r="B31" s="643">
        <v>5305</v>
      </c>
      <c r="C31" s="644"/>
      <c r="D31" s="644"/>
      <c r="E31" s="644">
        <v>0</v>
      </c>
      <c r="F31" s="644"/>
      <c r="G31" s="644"/>
      <c r="H31" s="164">
        <f t="shared" ref="H31:H100" si="4">+G31/$H$5*12</f>
        <v>0</v>
      </c>
      <c r="I31" s="644"/>
      <c r="J31" s="644">
        <f>J30*0.017</f>
        <v>680</v>
      </c>
      <c r="L31" s="645" t="str">
        <f t="shared" si="3"/>
        <v>Payroll Taxes</v>
      </c>
      <c r="M31" s="645"/>
      <c r="O31" s="642" t="s">
        <v>277</v>
      </c>
      <c r="P31" s="643">
        <v>5305</v>
      </c>
    </row>
    <row r="32" spans="1:17" x14ac:dyDescent="0.2">
      <c r="A32" s="642" t="s">
        <v>278</v>
      </c>
      <c r="B32" s="643">
        <v>5306</v>
      </c>
      <c r="C32" s="644"/>
      <c r="D32" s="644"/>
      <c r="E32" s="644">
        <v>0</v>
      </c>
      <c r="F32" s="644"/>
      <c r="G32" s="644"/>
      <c r="H32" s="164">
        <f t="shared" si="4"/>
        <v>0</v>
      </c>
      <c r="I32" s="644"/>
      <c r="J32" s="644">
        <f>J30*0.06</f>
        <v>2400</v>
      </c>
      <c r="L32" s="645" t="str">
        <f t="shared" si="3"/>
        <v>Workers Comp</v>
      </c>
      <c r="M32" s="645"/>
      <c r="O32" s="642" t="s">
        <v>278</v>
      </c>
      <c r="P32" s="643">
        <v>5306</v>
      </c>
    </row>
    <row r="33" spans="1:16" x14ac:dyDescent="0.2">
      <c r="A33" s="642" t="s">
        <v>260</v>
      </c>
      <c r="B33" s="643">
        <v>5404</v>
      </c>
      <c r="C33" s="644"/>
      <c r="D33" s="644"/>
      <c r="E33" s="644">
        <v>2793</v>
      </c>
      <c r="F33" s="644"/>
      <c r="G33" s="644"/>
      <c r="H33" s="164">
        <f t="shared" si="4"/>
        <v>0</v>
      </c>
      <c r="I33" s="644"/>
      <c r="J33" s="644"/>
      <c r="L33" s="645" t="str">
        <f t="shared" si="3"/>
        <v>Electric</v>
      </c>
      <c r="M33" s="645"/>
      <c r="O33" s="642" t="s">
        <v>260</v>
      </c>
      <c r="P33" s="643">
        <v>5404</v>
      </c>
    </row>
    <row r="34" spans="1:16" x14ac:dyDescent="0.2">
      <c r="A34" s="642" t="s">
        <v>279</v>
      </c>
      <c r="B34" s="643">
        <v>5401</v>
      </c>
      <c r="C34" s="644"/>
      <c r="D34" s="644"/>
      <c r="E34" s="644">
        <v>0</v>
      </c>
      <c r="F34" s="644"/>
      <c r="G34" s="644"/>
      <c r="H34" s="164">
        <f t="shared" si="4"/>
        <v>0</v>
      </c>
      <c r="I34" s="644"/>
      <c r="J34" s="644"/>
      <c r="L34" s="645" t="str">
        <f t="shared" si="3"/>
        <v>Gas</v>
      </c>
      <c r="M34" s="645"/>
      <c r="O34" s="642" t="s">
        <v>279</v>
      </c>
      <c r="P34" s="643">
        <v>5401</v>
      </c>
    </row>
    <row r="35" spans="1:16" x14ac:dyDescent="0.2">
      <c r="A35" s="642" t="s">
        <v>262</v>
      </c>
      <c r="B35" s="643">
        <v>5405</v>
      </c>
      <c r="C35" s="644"/>
      <c r="D35" s="644"/>
      <c r="E35" s="644">
        <v>13332</v>
      </c>
      <c r="F35" s="644"/>
      <c r="G35" s="644"/>
      <c r="H35" s="164">
        <f t="shared" si="4"/>
        <v>0</v>
      </c>
      <c r="I35" s="644"/>
      <c r="J35" s="644"/>
      <c r="L35" s="645" t="str">
        <f t="shared" si="3"/>
        <v>Trash</v>
      </c>
      <c r="M35" s="645" t="s">
        <v>448</v>
      </c>
      <c r="O35" s="642" t="s">
        <v>262</v>
      </c>
      <c r="P35" s="643">
        <v>5405</v>
      </c>
    </row>
    <row r="36" spans="1:16" x14ac:dyDescent="0.2">
      <c r="A36" s="642" t="s">
        <v>280</v>
      </c>
      <c r="B36" s="643">
        <v>5403</v>
      </c>
      <c r="C36" s="644"/>
      <c r="D36" s="644"/>
      <c r="E36" s="644">
        <v>0</v>
      </c>
      <c r="F36" s="644"/>
      <c r="G36" s="644"/>
      <c r="H36" s="164">
        <f t="shared" si="4"/>
        <v>0</v>
      </c>
      <c r="I36" s="644"/>
      <c r="J36" s="644"/>
      <c r="L36" s="645" t="str">
        <f t="shared" si="3"/>
        <v>Sewer-septic</v>
      </c>
      <c r="M36" s="645"/>
      <c r="O36" s="642" t="s">
        <v>280</v>
      </c>
      <c r="P36" s="643">
        <v>5403</v>
      </c>
    </row>
    <row r="37" spans="1:16" x14ac:dyDescent="0.2">
      <c r="A37" s="642" t="s">
        <v>281</v>
      </c>
      <c r="B37" s="643">
        <v>5402</v>
      </c>
      <c r="C37" s="644"/>
      <c r="D37" s="644"/>
      <c r="E37" s="644">
        <v>10707</v>
      </c>
      <c r="F37" s="644"/>
      <c r="G37" s="644"/>
      <c r="H37" s="164">
        <f t="shared" si="4"/>
        <v>0</v>
      </c>
      <c r="I37" s="644"/>
      <c r="J37" s="644"/>
      <c r="L37" s="645" t="str">
        <f t="shared" si="3"/>
        <v xml:space="preserve">Water </v>
      </c>
      <c r="M37" s="645"/>
      <c r="O37" s="642" t="s">
        <v>281</v>
      </c>
      <c r="P37" s="643">
        <v>5402</v>
      </c>
    </row>
    <row r="38" spans="1:16" x14ac:dyDescent="0.2">
      <c r="A38" s="642" t="s">
        <v>282</v>
      </c>
      <c r="B38" s="643">
        <v>5603</v>
      </c>
      <c r="C38" s="644"/>
      <c r="D38" s="644"/>
      <c r="E38" s="644">
        <v>0</v>
      </c>
      <c r="F38" s="644"/>
      <c r="G38" s="644"/>
      <c r="H38" s="164">
        <f t="shared" si="4"/>
        <v>0</v>
      </c>
      <c r="I38" s="644"/>
      <c r="J38" s="644"/>
      <c r="L38" s="645" t="str">
        <f t="shared" si="3"/>
        <v xml:space="preserve">Phone/Cable </v>
      </c>
      <c r="M38" s="645"/>
      <c r="O38" s="642" t="s">
        <v>282</v>
      </c>
      <c r="P38" s="643">
        <v>5603</v>
      </c>
    </row>
    <row r="39" spans="1:16" x14ac:dyDescent="0.2">
      <c r="A39" s="642" t="s">
        <v>283</v>
      </c>
      <c r="B39" s="643">
        <v>5020</v>
      </c>
      <c r="C39" s="644"/>
      <c r="D39" s="644"/>
      <c r="E39" s="644">
        <v>4553</v>
      </c>
      <c r="F39" s="644"/>
      <c r="G39" s="644"/>
      <c r="H39" s="164">
        <f t="shared" si="4"/>
        <v>0</v>
      </c>
      <c r="I39" s="644"/>
      <c r="J39" s="644"/>
      <c r="L39" s="645" t="str">
        <f t="shared" si="3"/>
        <v>Auto expense &amp; travel</v>
      </c>
      <c r="M39" s="645"/>
      <c r="O39" s="642" t="s">
        <v>283</v>
      </c>
      <c r="P39" s="643">
        <v>5020</v>
      </c>
    </row>
    <row r="40" spans="1:16" x14ac:dyDescent="0.2">
      <c r="A40" s="642" t="s">
        <v>449</v>
      </c>
      <c r="B40" s="643">
        <v>5104</v>
      </c>
      <c r="C40" s="644"/>
      <c r="D40" s="644"/>
      <c r="E40" s="644">
        <v>21781</v>
      </c>
      <c r="F40" s="644"/>
      <c r="G40" s="644"/>
      <c r="H40" s="164">
        <f t="shared" si="4"/>
        <v>0</v>
      </c>
      <c r="I40" s="644"/>
      <c r="J40" s="644">
        <f>250*NoOfSpaces</f>
        <v>25000</v>
      </c>
      <c r="L40" s="645" t="str">
        <f t="shared" si="3"/>
        <v>Repairs &amp; Maintenance / Capex Reserve</v>
      </c>
      <c r="M40" s="645"/>
      <c r="O40" s="642" t="s">
        <v>449</v>
      </c>
      <c r="P40" s="643">
        <v>5104</v>
      </c>
    </row>
    <row r="41" spans="1:16" x14ac:dyDescent="0.2">
      <c r="A41" s="642" t="s">
        <v>284</v>
      </c>
      <c r="B41" s="643">
        <v>5109</v>
      </c>
      <c r="C41" s="644"/>
      <c r="D41" s="644"/>
      <c r="E41" s="644">
        <v>14808</v>
      </c>
      <c r="F41" s="644"/>
      <c r="G41" s="644"/>
      <c r="H41" s="164">
        <f t="shared" si="4"/>
        <v>0</v>
      </c>
      <c r="I41" s="644"/>
      <c r="J41" s="644">
        <f>50*NoOfSpaces</f>
        <v>5000</v>
      </c>
      <c r="L41" s="645" t="str">
        <f t="shared" si="3"/>
        <v>Outside Services -plumbing, electrical, etc</v>
      </c>
      <c r="M41" s="645"/>
      <c r="O41" s="642" t="s">
        <v>284</v>
      </c>
      <c r="P41" s="643">
        <v>5109</v>
      </c>
    </row>
    <row r="42" spans="1:16" x14ac:dyDescent="0.2">
      <c r="A42" s="642" t="s">
        <v>285</v>
      </c>
      <c r="B42" s="643">
        <v>5200</v>
      </c>
      <c r="C42" s="644"/>
      <c r="D42" s="644"/>
      <c r="E42" s="644">
        <v>49491</v>
      </c>
      <c r="F42" s="644"/>
      <c r="G42" s="644"/>
      <c r="H42" s="164">
        <f t="shared" si="4"/>
        <v>0</v>
      </c>
      <c r="I42" s="644"/>
      <c r="J42" s="644">
        <f>50*NoOfSpaces</f>
        <v>5000</v>
      </c>
      <c r="L42" s="645" t="str">
        <f t="shared" si="3"/>
        <v>Landscape, pool, &amp; sweeping maintenance &amp; supplies</v>
      </c>
      <c r="M42" s="645"/>
      <c r="O42" s="642" t="s">
        <v>285</v>
      </c>
      <c r="P42" s="643">
        <v>5200</v>
      </c>
    </row>
    <row r="43" spans="1:16" x14ac:dyDescent="0.2">
      <c r="A43" s="642" t="s">
        <v>450</v>
      </c>
      <c r="B43" s="643">
        <v>5301</v>
      </c>
      <c r="C43" s="644"/>
      <c r="D43" s="644"/>
      <c r="E43" s="644">
        <v>3435</v>
      </c>
      <c r="F43" s="644"/>
      <c r="G43" s="644"/>
      <c r="H43" s="164">
        <f t="shared" si="4"/>
        <v>0</v>
      </c>
      <c r="I43" s="644"/>
      <c r="J43" s="644">
        <f>0.011*Purchase_Price</f>
        <v>52250</v>
      </c>
      <c r="L43" s="645" t="str">
        <f t="shared" si="3"/>
        <v xml:space="preserve">Property Taxes </v>
      </c>
      <c r="M43" s="645"/>
      <c r="O43" s="642" t="s">
        <v>450</v>
      </c>
      <c r="P43" s="643">
        <v>5301</v>
      </c>
    </row>
    <row r="44" spans="1:16" x14ac:dyDescent="0.2">
      <c r="A44" s="642" t="s">
        <v>287</v>
      </c>
      <c r="B44" s="643">
        <v>5053</v>
      </c>
      <c r="C44" s="644"/>
      <c r="D44" s="644"/>
      <c r="E44" s="644">
        <v>11558</v>
      </c>
      <c r="F44" s="644"/>
      <c r="G44" s="644"/>
      <c r="H44" s="164">
        <f t="shared" si="4"/>
        <v>0</v>
      </c>
      <c r="I44" s="644"/>
      <c r="J44" s="644">
        <f>Proforma!J9*NoOfSpaces</f>
        <v>7000</v>
      </c>
      <c r="L44" s="645" t="str">
        <f t="shared" si="3"/>
        <v xml:space="preserve">Insurance </v>
      </c>
      <c r="M44" s="645"/>
      <c r="O44" s="642" t="s">
        <v>287</v>
      </c>
      <c r="P44" s="643">
        <v>5053</v>
      </c>
    </row>
    <row r="45" spans="1:16" x14ac:dyDescent="0.2">
      <c r="A45" s="642" t="s">
        <v>451</v>
      </c>
      <c r="B45" s="643">
        <v>5604</v>
      </c>
      <c r="C45" s="644"/>
      <c r="D45" s="644"/>
      <c r="E45" s="644">
        <v>0</v>
      </c>
      <c r="F45" s="644"/>
      <c r="G45" s="644"/>
      <c r="H45" s="164">
        <f t="shared" si="4"/>
        <v>0</v>
      </c>
      <c r="I45" s="644"/>
      <c r="J45" s="644"/>
      <c r="L45" s="645" t="str">
        <f t="shared" si="3"/>
        <v>Billing Software</v>
      </c>
      <c r="M45" s="645"/>
      <c r="O45" s="642" t="s">
        <v>451</v>
      </c>
      <c r="P45" s="643">
        <v>5604</v>
      </c>
    </row>
    <row r="46" spans="1:16" x14ac:dyDescent="0.2">
      <c r="A46" s="642" t="s">
        <v>289</v>
      </c>
      <c r="B46" s="643">
        <v>5062</v>
      </c>
      <c r="C46" s="644"/>
      <c r="D46" s="644"/>
      <c r="E46" s="644">
        <v>5289</v>
      </c>
      <c r="F46" s="644"/>
      <c r="G46" s="644"/>
      <c r="H46" s="164">
        <f t="shared" si="4"/>
        <v>0</v>
      </c>
      <c r="I46" s="644"/>
      <c r="J46" s="644"/>
      <c r="L46" s="645" t="str">
        <f t="shared" si="3"/>
        <v>Legal Expenses</v>
      </c>
      <c r="M46" s="645"/>
      <c r="O46" s="642" t="s">
        <v>289</v>
      </c>
      <c r="P46" s="643">
        <v>5062</v>
      </c>
    </row>
    <row r="47" spans="1:16" x14ac:dyDescent="0.2">
      <c r="A47" s="642" t="s">
        <v>290</v>
      </c>
      <c r="B47" s="643">
        <v>5302</v>
      </c>
      <c r="C47" s="644"/>
      <c r="D47" s="644"/>
      <c r="E47" s="644">
        <v>0</v>
      </c>
      <c r="F47" s="644"/>
      <c r="G47" s="644"/>
      <c r="H47" s="164">
        <f t="shared" si="4"/>
        <v>0</v>
      </c>
      <c r="I47" s="644"/>
      <c r="J47" s="644"/>
      <c r="L47" s="645" t="str">
        <f t="shared" si="3"/>
        <v>LLC/LP Tax</v>
      </c>
      <c r="M47" s="645"/>
      <c r="O47" s="642" t="s">
        <v>290</v>
      </c>
      <c r="P47" s="643">
        <v>5302</v>
      </c>
    </row>
    <row r="48" spans="1:16" x14ac:dyDescent="0.2">
      <c r="A48" s="642" t="s">
        <v>291</v>
      </c>
      <c r="B48" s="643">
        <v>5001</v>
      </c>
      <c r="C48" s="644"/>
      <c r="D48" s="644"/>
      <c r="E48" s="644">
        <v>472</v>
      </c>
      <c r="F48" s="644"/>
      <c r="G48" s="644"/>
      <c r="H48" s="164">
        <f t="shared" si="4"/>
        <v>0</v>
      </c>
      <c r="I48" s="644"/>
      <c r="J48" s="644"/>
      <c r="L48" s="645" t="str">
        <f t="shared" si="3"/>
        <v>Advertising</v>
      </c>
      <c r="M48" s="645"/>
      <c r="O48" s="642" t="s">
        <v>291</v>
      </c>
      <c r="P48" s="643">
        <v>5001</v>
      </c>
    </row>
    <row r="49" spans="1:16" x14ac:dyDescent="0.2">
      <c r="A49" s="642" t="s">
        <v>292</v>
      </c>
      <c r="B49" s="643">
        <v>5061</v>
      </c>
      <c r="C49" s="644"/>
      <c r="D49" s="644"/>
      <c r="E49" s="644">
        <v>0</v>
      </c>
      <c r="F49" s="644"/>
      <c r="G49" s="644"/>
      <c r="H49" s="164">
        <f t="shared" si="4"/>
        <v>0</v>
      </c>
      <c r="I49" s="644"/>
      <c r="J49" s="644"/>
      <c r="L49" s="645" t="str">
        <f t="shared" si="3"/>
        <v>Tax Return Preparation/accounting</v>
      </c>
      <c r="M49" s="645"/>
      <c r="O49" s="642" t="s">
        <v>292</v>
      </c>
      <c r="P49" s="643">
        <v>5061</v>
      </c>
    </row>
    <row r="50" spans="1:16" x14ac:dyDescent="0.2">
      <c r="A50" s="642" t="s">
        <v>293</v>
      </c>
      <c r="B50" s="643">
        <v>5304</v>
      </c>
      <c r="C50" s="644"/>
      <c r="D50" s="644"/>
      <c r="E50" s="644">
        <v>0</v>
      </c>
      <c r="F50" s="644"/>
      <c r="G50" s="644"/>
      <c r="H50" s="164">
        <f t="shared" si="4"/>
        <v>0</v>
      </c>
      <c r="I50" s="644"/>
      <c r="J50" s="644">
        <v>500</v>
      </c>
      <c r="L50" s="645" t="str">
        <f t="shared" si="3"/>
        <v>Licenses and Permits</v>
      </c>
      <c r="M50" s="645"/>
      <c r="O50" s="642" t="s">
        <v>293</v>
      </c>
      <c r="P50" s="643">
        <v>5304</v>
      </c>
    </row>
    <row r="51" spans="1:16" x14ac:dyDescent="0.2">
      <c r="A51" s="642" t="s">
        <v>294</v>
      </c>
      <c r="B51" s="643">
        <v>5064</v>
      </c>
      <c r="C51" s="644"/>
      <c r="D51" s="644"/>
      <c r="E51" s="644">
        <v>1422</v>
      </c>
      <c r="F51" s="644"/>
      <c r="G51" s="644"/>
      <c r="H51" s="164">
        <f t="shared" si="4"/>
        <v>0</v>
      </c>
      <c r="I51" s="644"/>
      <c r="J51" s="644">
        <v>250</v>
      </c>
      <c r="L51" s="645" t="str">
        <f t="shared" si="3"/>
        <v>Banking and Merchant fees (est)</v>
      </c>
      <c r="M51" s="645"/>
      <c r="O51" s="642" t="s">
        <v>294</v>
      </c>
      <c r="P51" s="643">
        <v>5064</v>
      </c>
    </row>
    <row r="52" spans="1:16" x14ac:dyDescent="0.2">
      <c r="A52" s="642" t="s">
        <v>295</v>
      </c>
      <c r="B52" s="643">
        <v>5601</v>
      </c>
      <c r="C52" s="644"/>
      <c r="D52" s="644"/>
      <c r="E52" s="644">
        <v>4777</v>
      </c>
      <c r="F52" s="644"/>
      <c r="G52" s="644"/>
      <c r="H52" s="164">
        <f t="shared" si="4"/>
        <v>0</v>
      </c>
      <c r="I52" s="644"/>
      <c r="J52" s="644">
        <f>20*NoOfSpaces</f>
        <v>2000</v>
      </c>
      <c r="L52" s="645" t="str">
        <f t="shared" si="3"/>
        <v>Office Supplies, Postage, Pager, Printing, dues, subscr, Misc.</v>
      </c>
      <c r="M52" s="645"/>
      <c r="O52" s="642" t="s">
        <v>295</v>
      </c>
      <c r="P52" s="643">
        <v>5601</v>
      </c>
    </row>
    <row r="53" spans="1:16" x14ac:dyDescent="0.2">
      <c r="A53" s="642" t="s">
        <v>452</v>
      </c>
      <c r="B53" s="643">
        <v>5000</v>
      </c>
      <c r="C53" s="644"/>
      <c r="D53" s="644"/>
      <c r="E53" s="644">
        <v>78884</v>
      </c>
      <c r="F53" s="644"/>
      <c r="G53" s="644"/>
      <c r="H53" s="164">
        <f t="shared" si="4"/>
        <v>0</v>
      </c>
      <c r="I53" s="644"/>
      <c r="J53" s="644">
        <f>0.05*Proforma!F53*12</f>
        <v>21985.700000000004</v>
      </c>
      <c r="L53" s="645" t="str">
        <f t="shared" si="3"/>
        <v>Professional Mgmt ($2,000/mo or 5%)</v>
      </c>
      <c r="M53" s="645"/>
      <c r="O53" s="642" t="s">
        <v>452</v>
      </c>
      <c r="P53" s="643">
        <v>5000</v>
      </c>
    </row>
    <row r="54" spans="1:16" x14ac:dyDescent="0.2">
      <c r="A54" s="642"/>
      <c r="B54" s="643"/>
      <c r="C54" s="644"/>
      <c r="D54" s="644"/>
      <c r="E54" s="644"/>
      <c r="F54" s="644"/>
      <c r="G54" s="644"/>
      <c r="H54" s="164">
        <f t="shared" si="4"/>
        <v>0</v>
      </c>
      <c r="I54" s="644"/>
      <c r="J54" s="644"/>
      <c r="L54" s="645" t="e">
        <f t="shared" si="3"/>
        <v>#N/A</v>
      </c>
      <c r="M54" s="645"/>
    </row>
    <row r="55" spans="1:16" x14ac:dyDescent="0.2">
      <c r="A55" s="690"/>
      <c r="B55" s="643"/>
      <c r="C55" s="644"/>
      <c r="D55" s="644"/>
      <c r="E55" s="644"/>
      <c r="F55" s="644"/>
      <c r="G55" s="644"/>
      <c r="H55" s="164">
        <f t="shared" si="4"/>
        <v>0</v>
      </c>
      <c r="I55" s="644"/>
      <c r="J55" s="644"/>
      <c r="L55" s="645" t="e">
        <f t="shared" si="3"/>
        <v>#N/A</v>
      </c>
      <c r="M55" s="645"/>
      <c r="O55" s="165" t="s">
        <v>447</v>
      </c>
      <c r="P55" s="166">
        <v>5701</v>
      </c>
    </row>
    <row r="56" spans="1:16" x14ac:dyDescent="0.2">
      <c r="A56" s="690"/>
      <c r="B56" s="643"/>
      <c r="C56" s="644"/>
      <c r="D56" s="644"/>
      <c r="E56" s="644"/>
      <c r="F56" s="644"/>
      <c r="G56" s="644"/>
      <c r="H56" s="164">
        <f t="shared" si="4"/>
        <v>0</v>
      </c>
      <c r="I56" s="644"/>
      <c r="J56" s="644"/>
      <c r="L56" s="645" t="e">
        <f t="shared" si="3"/>
        <v>#N/A</v>
      </c>
      <c r="M56" s="645"/>
      <c r="O56" s="642" t="s">
        <v>277</v>
      </c>
      <c r="P56" s="643">
        <v>5305</v>
      </c>
    </row>
    <row r="57" spans="1:16" x14ac:dyDescent="0.2">
      <c r="A57" s="690"/>
      <c r="B57" s="643"/>
      <c r="C57" s="644"/>
      <c r="D57" s="644"/>
      <c r="E57" s="644"/>
      <c r="F57" s="644"/>
      <c r="G57" s="644"/>
      <c r="H57" s="164">
        <f t="shared" si="4"/>
        <v>0</v>
      </c>
      <c r="I57" s="644"/>
      <c r="J57" s="644"/>
      <c r="L57" s="645" t="e">
        <f t="shared" si="3"/>
        <v>#N/A</v>
      </c>
      <c r="M57" s="645"/>
      <c r="O57" s="642" t="s">
        <v>278</v>
      </c>
      <c r="P57" s="643">
        <v>5306</v>
      </c>
    </row>
    <row r="58" spans="1:16" x14ac:dyDescent="0.2">
      <c r="A58" s="690"/>
      <c r="B58" s="643"/>
      <c r="C58" s="644"/>
      <c r="D58" s="644"/>
      <c r="E58" s="644"/>
      <c r="F58" s="644"/>
      <c r="G58" s="644"/>
      <c r="H58" s="164">
        <f t="shared" si="4"/>
        <v>0</v>
      </c>
      <c r="I58" s="644"/>
      <c r="J58" s="644"/>
      <c r="L58" s="645" t="e">
        <f t="shared" si="3"/>
        <v>#N/A</v>
      </c>
      <c r="M58" s="645"/>
      <c r="O58" s="642" t="s">
        <v>260</v>
      </c>
      <c r="P58" s="643">
        <v>5404</v>
      </c>
    </row>
    <row r="59" spans="1:16" x14ac:dyDescent="0.2">
      <c r="A59" s="690"/>
      <c r="B59" s="643"/>
      <c r="C59" s="644"/>
      <c r="D59" s="644"/>
      <c r="E59" s="644"/>
      <c r="F59" s="644"/>
      <c r="G59" s="644"/>
      <c r="H59" s="164">
        <f t="shared" si="4"/>
        <v>0</v>
      </c>
      <c r="I59" s="644"/>
      <c r="J59" s="644"/>
      <c r="L59" s="645" t="e">
        <f t="shared" si="3"/>
        <v>#N/A</v>
      </c>
      <c r="M59" s="645"/>
      <c r="O59" s="642" t="s">
        <v>279</v>
      </c>
      <c r="P59" s="643">
        <v>5401</v>
      </c>
    </row>
    <row r="60" spans="1:16" x14ac:dyDescent="0.2">
      <c r="A60" s="690"/>
      <c r="B60" s="643"/>
      <c r="C60" s="644"/>
      <c r="D60" s="644"/>
      <c r="E60" s="644"/>
      <c r="F60" s="644"/>
      <c r="G60" s="644"/>
      <c r="H60" s="164">
        <f t="shared" si="4"/>
        <v>0</v>
      </c>
      <c r="I60" s="644"/>
      <c r="J60" s="644"/>
      <c r="L60" s="645" t="e">
        <f t="shared" si="3"/>
        <v>#N/A</v>
      </c>
      <c r="M60" s="645"/>
      <c r="O60" s="642" t="s">
        <v>262</v>
      </c>
      <c r="P60" s="643">
        <v>5405</v>
      </c>
    </row>
    <row r="61" spans="1:16" x14ac:dyDescent="0.2">
      <c r="A61" s="690"/>
      <c r="B61" s="643"/>
      <c r="C61" s="644"/>
      <c r="D61" s="644"/>
      <c r="E61" s="644"/>
      <c r="F61" s="644"/>
      <c r="G61" s="644"/>
      <c r="H61" s="164">
        <f t="shared" si="4"/>
        <v>0</v>
      </c>
      <c r="I61" s="644"/>
      <c r="J61" s="644"/>
      <c r="L61" s="645" t="e">
        <f t="shared" si="3"/>
        <v>#N/A</v>
      </c>
      <c r="M61" s="645"/>
      <c r="O61" s="642" t="s">
        <v>280</v>
      </c>
      <c r="P61" s="643">
        <v>5403</v>
      </c>
    </row>
    <row r="62" spans="1:16" x14ac:dyDescent="0.2">
      <c r="A62" s="690"/>
      <c r="B62" s="643"/>
      <c r="C62" s="644"/>
      <c r="D62" s="644"/>
      <c r="E62" s="644"/>
      <c r="F62" s="644"/>
      <c r="G62" s="644"/>
      <c r="H62" s="164">
        <f t="shared" si="4"/>
        <v>0</v>
      </c>
      <c r="I62" s="644"/>
      <c r="J62" s="644"/>
      <c r="L62" s="645" t="e">
        <f t="shared" si="3"/>
        <v>#N/A</v>
      </c>
      <c r="M62" s="645"/>
      <c r="O62" s="642" t="s">
        <v>281</v>
      </c>
      <c r="P62" s="643">
        <v>5402</v>
      </c>
    </row>
    <row r="63" spans="1:16" x14ac:dyDescent="0.2">
      <c r="A63" s="690"/>
      <c r="B63" s="643"/>
      <c r="C63" s="644"/>
      <c r="D63" s="644"/>
      <c r="E63" s="644"/>
      <c r="F63" s="644"/>
      <c r="G63" s="644"/>
      <c r="H63" s="164">
        <f t="shared" si="4"/>
        <v>0</v>
      </c>
      <c r="I63" s="644"/>
      <c r="J63" s="644"/>
      <c r="L63" s="645" t="e">
        <f t="shared" si="3"/>
        <v>#N/A</v>
      </c>
      <c r="M63" s="645"/>
      <c r="O63" s="642" t="s">
        <v>282</v>
      </c>
      <c r="P63" s="643">
        <v>5603</v>
      </c>
    </row>
    <row r="64" spans="1:16" x14ac:dyDescent="0.2">
      <c r="A64" s="690"/>
      <c r="B64" s="643"/>
      <c r="C64" s="644"/>
      <c r="D64" s="644"/>
      <c r="E64" s="644"/>
      <c r="F64" s="644"/>
      <c r="G64" s="644"/>
      <c r="H64" s="164">
        <f t="shared" si="4"/>
        <v>0</v>
      </c>
      <c r="I64" s="644"/>
      <c r="J64" s="644"/>
      <c r="L64" s="645" t="e">
        <f t="shared" si="3"/>
        <v>#N/A</v>
      </c>
      <c r="M64" s="645"/>
      <c r="O64" s="642" t="s">
        <v>283</v>
      </c>
      <c r="P64" s="643">
        <v>5020</v>
      </c>
    </row>
    <row r="65" spans="1:16" x14ac:dyDescent="0.2">
      <c r="A65" s="690"/>
      <c r="B65" s="643"/>
      <c r="C65" s="644"/>
      <c r="D65" s="644"/>
      <c r="E65" s="644"/>
      <c r="F65" s="644"/>
      <c r="G65" s="644"/>
      <c r="H65" s="164">
        <f t="shared" si="4"/>
        <v>0</v>
      </c>
      <c r="I65" s="644"/>
      <c r="J65" s="644"/>
      <c r="L65" s="645" t="e">
        <f t="shared" si="3"/>
        <v>#N/A</v>
      </c>
      <c r="M65" s="645"/>
      <c r="O65" s="642" t="s">
        <v>449</v>
      </c>
      <c r="P65" s="643">
        <v>5104</v>
      </c>
    </row>
    <row r="66" spans="1:16" x14ac:dyDescent="0.2">
      <c r="A66" s="690"/>
      <c r="B66" s="643"/>
      <c r="C66" s="644"/>
      <c r="D66" s="644"/>
      <c r="E66" s="644"/>
      <c r="F66" s="644"/>
      <c r="G66" s="644"/>
      <c r="H66" s="164">
        <f t="shared" si="4"/>
        <v>0</v>
      </c>
      <c r="I66" s="644"/>
      <c r="J66" s="644"/>
      <c r="L66" s="645" t="e">
        <f t="shared" si="3"/>
        <v>#N/A</v>
      </c>
      <c r="M66" s="645"/>
      <c r="O66" s="642" t="s">
        <v>284</v>
      </c>
      <c r="P66" s="643">
        <v>5109</v>
      </c>
    </row>
    <row r="67" spans="1:16" x14ac:dyDescent="0.2">
      <c r="A67" s="690"/>
      <c r="B67" s="643"/>
      <c r="C67" s="644"/>
      <c r="D67" s="644"/>
      <c r="E67" s="644"/>
      <c r="F67" s="644"/>
      <c r="G67" s="644"/>
      <c r="H67" s="164">
        <f t="shared" si="4"/>
        <v>0</v>
      </c>
      <c r="I67" s="644"/>
      <c r="J67" s="644"/>
      <c r="L67" s="645" t="e">
        <f t="shared" si="3"/>
        <v>#N/A</v>
      </c>
      <c r="M67" s="645"/>
      <c r="O67" s="642" t="s">
        <v>285</v>
      </c>
      <c r="P67" s="643">
        <v>5200</v>
      </c>
    </row>
    <row r="68" spans="1:16" x14ac:dyDescent="0.2">
      <c r="A68" s="690"/>
      <c r="B68" s="643"/>
      <c r="C68" s="644"/>
      <c r="D68" s="644"/>
      <c r="E68" s="644"/>
      <c r="F68" s="644"/>
      <c r="G68" s="644"/>
      <c r="H68" s="164">
        <f t="shared" si="4"/>
        <v>0</v>
      </c>
      <c r="I68" s="644"/>
      <c r="J68" s="644"/>
      <c r="L68" s="645" t="e">
        <f t="shared" si="3"/>
        <v>#N/A</v>
      </c>
      <c r="M68" s="645"/>
      <c r="O68" s="642" t="s">
        <v>450</v>
      </c>
      <c r="P68" s="643">
        <v>5301</v>
      </c>
    </row>
    <row r="69" spans="1:16" x14ac:dyDescent="0.2">
      <c r="A69" s="690"/>
      <c r="B69" s="643"/>
      <c r="C69" s="644"/>
      <c r="D69" s="644"/>
      <c r="E69" s="644"/>
      <c r="F69" s="644"/>
      <c r="G69" s="644"/>
      <c r="H69" s="164">
        <f t="shared" si="4"/>
        <v>0</v>
      </c>
      <c r="I69" s="644"/>
      <c r="J69" s="644"/>
      <c r="L69" s="645" t="e">
        <f t="shared" si="3"/>
        <v>#N/A</v>
      </c>
      <c r="M69" s="645"/>
      <c r="O69" s="642" t="s">
        <v>287</v>
      </c>
      <c r="P69" s="643">
        <v>5053</v>
      </c>
    </row>
    <row r="70" spans="1:16" x14ac:dyDescent="0.2">
      <c r="A70" s="690"/>
      <c r="B70" s="643"/>
      <c r="C70" s="644"/>
      <c r="D70" s="644"/>
      <c r="E70" s="644"/>
      <c r="F70" s="644"/>
      <c r="G70" s="644"/>
      <c r="H70" s="164">
        <f t="shared" si="4"/>
        <v>0</v>
      </c>
      <c r="I70" s="644"/>
      <c r="J70" s="644"/>
      <c r="L70" s="645" t="e">
        <f t="shared" si="3"/>
        <v>#N/A</v>
      </c>
      <c r="M70" s="645"/>
      <c r="O70" s="642" t="s">
        <v>451</v>
      </c>
      <c r="P70" s="643">
        <v>5604</v>
      </c>
    </row>
    <row r="71" spans="1:16" x14ac:dyDescent="0.2">
      <c r="A71" s="690"/>
      <c r="B71" s="643"/>
      <c r="C71" s="644"/>
      <c r="D71" s="644"/>
      <c r="E71" s="644"/>
      <c r="F71" s="644"/>
      <c r="G71" s="644"/>
      <c r="H71" s="164">
        <f t="shared" si="4"/>
        <v>0</v>
      </c>
      <c r="I71" s="644"/>
      <c r="J71" s="644"/>
      <c r="L71" s="645" t="e">
        <f t="shared" si="3"/>
        <v>#N/A</v>
      </c>
      <c r="M71" s="645"/>
      <c r="O71" s="642" t="s">
        <v>289</v>
      </c>
      <c r="P71" s="643">
        <v>5062</v>
      </c>
    </row>
    <row r="72" spans="1:16" x14ac:dyDescent="0.2">
      <c r="A72" s="690"/>
      <c r="B72" s="643"/>
      <c r="C72" s="644"/>
      <c r="D72" s="644"/>
      <c r="E72" s="644"/>
      <c r="F72" s="644"/>
      <c r="G72" s="644"/>
      <c r="H72" s="164">
        <f t="shared" si="4"/>
        <v>0</v>
      </c>
      <c r="I72" s="644"/>
      <c r="J72" s="644"/>
      <c r="L72" s="645" t="e">
        <f t="shared" si="3"/>
        <v>#N/A</v>
      </c>
      <c r="M72" s="645"/>
      <c r="O72" s="642" t="s">
        <v>290</v>
      </c>
      <c r="P72" s="643">
        <v>5302</v>
      </c>
    </row>
    <row r="73" spans="1:16" x14ac:dyDescent="0.2">
      <c r="A73" s="690"/>
      <c r="B73" s="643"/>
      <c r="C73" s="644"/>
      <c r="D73" s="644"/>
      <c r="E73" s="644"/>
      <c r="F73" s="644"/>
      <c r="G73" s="644"/>
      <c r="H73" s="164">
        <f t="shared" si="4"/>
        <v>0</v>
      </c>
      <c r="I73" s="644"/>
      <c r="J73" s="644"/>
      <c r="L73" s="645" t="e">
        <f t="shared" si="3"/>
        <v>#N/A</v>
      </c>
      <c r="M73" s="645"/>
      <c r="O73" s="642" t="s">
        <v>291</v>
      </c>
      <c r="P73" s="643">
        <v>5001</v>
      </c>
    </row>
    <row r="74" spans="1:16" x14ac:dyDescent="0.2">
      <c r="A74" s="690"/>
      <c r="B74" s="643"/>
      <c r="C74" s="644"/>
      <c r="D74" s="644"/>
      <c r="E74" s="644"/>
      <c r="F74" s="644"/>
      <c r="G74" s="644"/>
      <c r="H74" s="164">
        <f t="shared" si="4"/>
        <v>0</v>
      </c>
      <c r="I74" s="644"/>
      <c r="J74" s="644"/>
      <c r="L74" s="645" t="e">
        <f t="shared" si="3"/>
        <v>#N/A</v>
      </c>
      <c r="M74" s="645"/>
      <c r="O74" s="642" t="s">
        <v>292</v>
      </c>
      <c r="P74" s="643">
        <v>5061</v>
      </c>
    </row>
    <row r="75" spans="1:16" x14ac:dyDescent="0.2">
      <c r="A75" s="690"/>
      <c r="B75" s="643"/>
      <c r="C75" s="644"/>
      <c r="D75" s="644"/>
      <c r="E75" s="644"/>
      <c r="F75" s="644"/>
      <c r="G75" s="644"/>
      <c r="H75" s="164">
        <f t="shared" si="4"/>
        <v>0</v>
      </c>
      <c r="I75" s="644"/>
      <c r="J75" s="644"/>
      <c r="L75" s="645" t="e">
        <f t="shared" si="3"/>
        <v>#N/A</v>
      </c>
      <c r="M75" s="645"/>
      <c r="O75" s="642" t="s">
        <v>293</v>
      </c>
      <c r="P75" s="643">
        <v>5304</v>
      </c>
    </row>
    <row r="76" spans="1:16" x14ac:dyDescent="0.2">
      <c r="A76" s="690"/>
      <c r="B76" s="643"/>
      <c r="C76" s="644"/>
      <c r="D76" s="644"/>
      <c r="E76" s="644"/>
      <c r="F76" s="644"/>
      <c r="G76" s="644"/>
      <c r="H76" s="164">
        <f t="shared" si="4"/>
        <v>0</v>
      </c>
      <c r="I76" s="644"/>
      <c r="J76" s="644"/>
      <c r="L76" s="645" t="e">
        <f t="shared" si="3"/>
        <v>#N/A</v>
      </c>
      <c r="M76" s="645"/>
      <c r="O76" s="642" t="s">
        <v>294</v>
      </c>
      <c r="P76" s="643">
        <v>5064</v>
      </c>
    </row>
    <row r="77" spans="1:16" x14ac:dyDescent="0.2">
      <c r="A77" s="690"/>
      <c r="B77" s="643"/>
      <c r="C77" s="644"/>
      <c r="D77" s="644"/>
      <c r="E77" s="644"/>
      <c r="F77" s="644"/>
      <c r="G77" s="644"/>
      <c r="H77" s="164">
        <f t="shared" si="4"/>
        <v>0</v>
      </c>
      <c r="I77" s="644"/>
      <c r="J77" s="644"/>
      <c r="L77" s="645" t="e">
        <f t="shared" si="3"/>
        <v>#N/A</v>
      </c>
      <c r="M77" s="645"/>
      <c r="O77" s="642" t="s">
        <v>295</v>
      </c>
      <c r="P77" s="643">
        <v>5601</v>
      </c>
    </row>
    <row r="78" spans="1:16" x14ac:dyDescent="0.2">
      <c r="A78" s="690"/>
      <c r="B78" s="643"/>
      <c r="C78" s="644"/>
      <c r="D78" s="644"/>
      <c r="E78" s="644"/>
      <c r="F78" s="644"/>
      <c r="G78" s="644"/>
      <c r="H78" s="164">
        <f t="shared" si="4"/>
        <v>0</v>
      </c>
      <c r="I78" s="644"/>
      <c r="J78" s="644"/>
      <c r="L78" s="645" t="e">
        <f t="shared" si="3"/>
        <v>#N/A</v>
      </c>
      <c r="M78" s="645"/>
      <c r="O78" s="642" t="s">
        <v>452</v>
      </c>
      <c r="P78" s="643">
        <v>5000</v>
      </c>
    </row>
    <row r="79" spans="1:16" x14ac:dyDescent="0.2">
      <c r="A79" s="690"/>
      <c r="B79" s="643"/>
      <c r="C79" s="644"/>
      <c r="D79" s="644"/>
      <c r="E79" s="644"/>
      <c r="F79" s="644"/>
      <c r="G79" s="644"/>
      <c r="H79" s="164">
        <f t="shared" si="4"/>
        <v>0</v>
      </c>
      <c r="I79" s="644"/>
      <c r="J79" s="644"/>
      <c r="L79" s="645" t="e">
        <f t="shared" si="3"/>
        <v>#N/A</v>
      </c>
      <c r="M79" s="645"/>
    </row>
    <row r="80" spans="1:16" x14ac:dyDescent="0.2">
      <c r="A80" s="690"/>
      <c r="B80" s="643"/>
      <c r="C80" s="644"/>
      <c r="D80" s="644"/>
      <c r="E80" s="644"/>
      <c r="F80" s="644"/>
      <c r="G80" s="644"/>
      <c r="H80" s="164">
        <f t="shared" si="4"/>
        <v>0</v>
      </c>
      <c r="I80" s="644"/>
      <c r="J80" s="644"/>
      <c r="L80" s="645" t="e">
        <f t="shared" si="3"/>
        <v>#N/A</v>
      </c>
      <c r="M80" s="645"/>
      <c r="O80" s="165" t="s">
        <v>447</v>
      </c>
      <c r="P80" s="166">
        <v>5701</v>
      </c>
    </row>
    <row r="81" spans="1:16" x14ac:dyDescent="0.2">
      <c r="A81" s="690"/>
      <c r="B81" s="643"/>
      <c r="C81" s="644"/>
      <c r="D81" s="644"/>
      <c r="E81" s="644"/>
      <c r="F81" s="644"/>
      <c r="G81" s="644"/>
      <c r="H81" s="164">
        <f t="shared" si="4"/>
        <v>0</v>
      </c>
      <c r="I81" s="644"/>
      <c r="J81" s="644"/>
      <c r="L81" s="645" t="e">
        <f t="shared" si="3"/>
        <v>#N/A</v>
      </c>
      <c r="M81" s="645"/>
      <c r="O81" s="642" t="s">
        <v>277</v>
      </c>
      <c r="P81" s="643">
        <v>5305</v>
      </c>
    </row>
    <row r="82" spans="1:16" x14ac:dyDescent="0.2">
      <c r="A82" s="642"/>
      <c r="B82" s="643"/>
      <c r="C82" s="644"/>
      <c r="D82" s="644"/>
      <c r="E82" s="644"/>
      <c r="F82" s="644"/>
      <c r="G82" s="644"/>
      <c r="H82" s="164">
        <f t="shared" si="4"/>
        <v>0</v>
      </c>
      <c r="I82" s="644"/>
      <c r="J82" s="644"/>
      <c r="L82" s="645" t="e">
        <f t="shared" si="3"/>
        <v>#N/A</v>
      </c>
      <c r="M82" s="645"/>
      <c r="O82" s="642" t="s">
        <v>278</v>
      </c>
      <c r="P82" s="643">
        <v>5306</v>
      </c>
    </row>
    <row r="83" spans="1:16" x14ac:dyDescent="0.2">
      <c r="A83" s="642"/>
      <c r="B83" s="643"/>
      <c r="C83" s="644"/>
      <c r="D83" s="644"/>
      <c r="E83" s="644"/>
      <c r="F83" s="644"/>
      <c r="G83" s="644"/>
      <c r="H83" s="164">
        <f t="shared" si="4"/>
        <v>0</v>
      </c>
      <c r="I83" s="644"/>
      <c r="J83" s="644"/>
      <c r="L83" s="645" t="e">
        <f t="shared" si="3"/>
        <v>#N/A</v>
      </c>
      <c r="M83" s="645"/>
      <c r="O83" s="642" t="s">
        <v>260</v>
      </c>
      <c r="P83" s="643">
        <v>5404</v>
      </c>
    </row>
    <row r="84" spans="1:16" x14ac:dyDescent="0.2">
      <c r="A84" s="642"/>
      <c r="B84" s="643"/>
      <c r="C84" s="644"/>
      <c r="D84" s="644"/>
      <c r="E84" s="644"/>
      <c r="F84" s="644"/>
      <c r="G84" s="644"/>
      <c r="H84" s="164">
        <f t="shared" si="4"/>
        <v>0</v>
      </c>
      <c r="I84" s="644"/>
      <c r="J84" s="644"/>
      <c r="L84" s="645" t="e">
        <f t="shared" si="3"/>
        <v>#N/A</v>
      </c>
      <c r="M84" s="645"/>
      <c r="O84" s="642" t="s">
        <v>279</v>
      </c>
      <c r="P84" s="643">
        <v>5401</v>
      </c>
    </row>
    <row r="85" spans="1:16" x14ac:dyDescent="0.2">
      <c r="A85" s="642"/>
      <c r="B85" s="643"/>
      <c r="C85" s="644"/>
      <c r="D85" s="644"/>
      <c r="E85" s="644"/>
      <c r="F85" s="644"/>
      <c r="G85" s="644"/>
      <c r="H85" s="164">
        <f t="shared" si="4"/>
        <v>0</v>
      </c>
      <c r="I85" s="644"/>
      <c r="J85" s="644"/>
      <c r="L85" s="645" t="e">
        <f t="shared" si="3"/>
        <v>#N/A</v>
      </c>
      <c r="M85" s="645"/>
      <c r="O85" s="642" t="s">
        <v>262</v>
      </c>
      <c r="P85" s="643">
        <v>5405</v>
      </c>
    </row>
    <row r="86" spans="1:16" x14ac:dyDescent="0.2">
      <c r="A86" s="642"/>
      <c r="B86" s="643"/>
      <c r="C86" s="644"/>
      <c r="D86" s="644"/>
      <c r="E86" s="644"/>
      <c r="F86" s="644"/>
      <c r="G86" s="644"/>
      <c r="H86" s="164">
        <f t="shared" si="4"/>
        <v>0</v>
      </c>
      <c r="I86" s="644"/>
      <c r="J86" s="644"/>
      <c r="L86" s="645" t="e">
        <f t="shared" si="3"/>
        <v>#N/A</v>
      </c>
      <c r="M86" s="645"/>
      <c r="O86" s="642" t="s">
        <v>280</v>
      </c>
      <c r="P86" s="643">
        <v>5403</v>
      </c>
    </row>
    <row r="87" spans="1:16" x14ac:dyDescent="0.2">
      <c r="A87" s="642"/>
      <c r="B87" s="643"/>
      <c r="C87" s="644"/>
      <c r="D87" s="644"/>
      <c r="E87" s="644"/>
      <c r="F87" s="644"/>
      <c r="G87" s="644"/>
      <c r="H87" s="164">
        <f t="shared" si="4"/>
        <v>0</v>
      </c>
      <c r="I87" s="644"/>
      <c r="J87" s="644"/>
      <c r="L87" s="645" t="e">
        <f t="shared" si="3"/>
        <v>#N/A</v>
      </c>
      <c r="M87" s="645"/>
      <c r="O87" s="642" t="s">
        <v>281</v>
      </c>
      <c r="P87" s="643">
        <v>5402</v>
      </c>
    </row>
    <row r="88" spans="1:16" x14ac:dyDescent="0.2">
      <c r="A88" s="642"/>
      <c r="B88" s="643"/>
      <c r="C88" s="644"/>
      <c r="D88" s="644"/>
      <c r="E88" s="644"/>
      <c r="F88" s="644"/>
      <c r="G88" s="644"/>
      <c r="H88" s="164">
        <f t="shared" si="4"/>
        <v>0</v>
      </c>
      <c r="I88" s="644"/>
      <c r="J88" s="644"/>
      <c r="L88" s="645" t="e">
        <f t="shared" si="3"/>
        <v>#N/A</v>
      </c>
      <c r="M88" s="645"/>
      <c r="O88" s="642" t="s">
        <v>282</v>
      </c>
      <c r="P88" s="643">
        <v>5603</v>
      </c>
    </row>
    <row r="89" spans="1:16" x14ac:dyDescent="0.2">
      <c r="A89" s="642"/>
      <c r="B89" s="643"/>
      <c r="C89" s="644"/>
      <c r="D89" s="644"/>
      <c r="E89" s="644"/>
      <c r="F89" s="644"/>
      <c r="G89" s="644"/>
      <c r="H89" s="164">
        <f t="shared" si="4"/>
        <v>0</v>
      </c>
      <c r="I89" s="644"/>
      <c r="J89" s="644"/>
      <c r="L89" s="645" t="e">
        <f t="shared" si="3"/>
        <v>#N/A</v>
      </c>
      <c r="M89" s="645"/>
      <c r="O89" s="642" t="s">
        <v>283</v>
      </c>
      <c r="P89" s="643">
        <v>5020</v>
      </c>
    </row>
    <row r="90" spans="1:16" x14ac:dyDescent="0.2">
      <c r="A90" s="642"/>
      <c r="B90" s="643"/>
      <c r="C90" s="644"/>
      <c r="D90" s="644"/>
      <c r="E90" s="644"/>
      <c r="F90" s="644"/>
      <c r="G90" s="644"/>
      <c r="H90" s="164">
        <f t="shared" si="4"/>
        <v>0</v>
      </c>
      <c r="I90" s="644"/>
      <c r="J90" s="644"/>
      <c r="L90" s="645" t="e">
        <f t="shared" si="3"/>
        <v>#N/A</v>
      </c>
      <c r="M90" s="645"/>
      <c r="O90" s="642" t="s">
        <v>449</v>
      </c>
      <c r="P90" s="643">
        <v>5104</v>
      </c>
    </row>
    <row r="91" spans="1:16" x14ac:dyDescent="0.2">
      <c r="A91" s="642"/>
      <c r="B91" s="643"/>
      <c r="C91" s="644"/>
      <c r="D91" s="644"/>
      <c r="E91" s="644"/>
      <c r="F91" s="644"/>
      <c r="G91" s="644"/>
      <c r="H91" s="164">
        <f t="shared" si="4"/>
        <v>0</v>
      </c>
      <c r="I91" s="644"/>
      <c r="J91" s="644"/>
      <c r="L91" s="645" t="e">
        <f t="shared" si="3"/>
        <v>#N/A</v>
      </c>
      <c r="M91" s="645"/>
      <c r="O91" s="642" t="s">
        <v>284</v>
      </c>
      <c r="P91" s="643">
        <v>5109</v>
      </c>
    </row>
    <row r="92" spans="1:16" x14ac:dyDescent="0.2">
      <c r="A92" s="642"/>
      <c r="B92" s="643"/>
      <c r="C92" s="644"/>
      <c r="D92" s="644"/>
      <c r="E92" s="644"/>
      <c r="F92" s="644"/>
      <c r="G92" s="644"/>
      <c r="H92" s="164">
        <f t="shared" si="4"/>
        <v>0</v>
      </c>
      <c r="I92" s="644"/>
      <c r="J92" s="644"/>
      <c r="L92" s="645" t="e">
        <f t="shared" si="3"/>
        <v>#N/A</v>
      </c>
      <c r="M92" s="645"/>
      <c r="O92" s="642" t="s">
        <v>285</v>
      </c>
      <c r="P92" s="643">
        <v>5200</v>
      </c>
    </row>
    <row r="93" spans="1:16" x14ac:dyDescent="0.2">
      <c r="A93" s="642"/>
      <c r="B93" s="643"/>
      <c r="C93" s="644"/>
      <c r="D93" s="644"/>
      <c r="E93" s="644"/>
      <c r="F93" s="644"/>
      <c r="G93" s="644"/>
      <c r="H93" s="164">
        <f t="shared" si="4"/>
        <v>0</v>
      </c>
      <c r="I93" s="644"/>
      <c r="J93" s="644"/>
      <c r="L93" s="645" t="e">
        <f t="shared" si="3"/>
        <v>#N/A</v>
      </c>
      <c r="M93" s="645"/>
      <c r="O93" s="642" t="s">
        <v>450</v>
      </c>
      <c r="P93" s="643">
        <v>5301</v>
      </c>
    </row>
    <row r="94" spans="1:16" x14ac:dyDescent="0.2">
      <c r="A94" s="642"/>
      <c r="B94" s="643"/>
      <c r="C94" s="644"/>
      <c r="D94" s="644"/>
      <c r="E94" s="644"/>
      <c r="F94" s="644"/>
      <c r="G94" s="644"/>
      <c r="H94" s="164">
        <f t="shared" si="4"/>
        <v>0</v>
      </c>
      <c r="I94" s="644"/>
      <c r="J94" s="644"/>
      <c r="L94" s="645" t="e">
        <f t="shared" si="3"/>
        <v>#N/A</v>
      </c>
      <c r="M94" s="645"/>
      <c r="O94" s="642" t="s">
        <v>287</v>
      </c>
      <c r="P94" s="643">
        <v>5053</v>
      </c>
    </row>
    <row r="95" spans="1:16" x14ac:dyDescent="0.2">
      <c r="A95" s="642"/>
      <c r="B95" s="643"/>
      <c r="C95" s="644"/>
      <c r="D95" s="644"/>
      <c r="E95" s="644"/>
      <c r="F95" s="644"/>
      <c r="G95" s="644"/>
      <c r="H95" s="164">
        <f t="shared" si="4"/>
        <v>0</v>
      </c>
      <c r="I95" s="644"/>
      <c r="J95" s="644"/>
      <c r="L95" s="645" t="e">
        <f t="shared" si="3"/>
        <v>#N/A</v>
      </c>
      <c r="M95" s="645"/>
      <c r="O95" s="642" t="s">
        <v>451</v>
      </c>
      <c r="P95" s="643">
        <v>5604</v>
      </c>
    </row>
    <row r="96" spans="1:16" x14ac:dyDescent="0.2">
      <c r="A96" s="642"/>
      <c r="B96" s="643"/>
      <c r="C96" s="644"/>
      <c r="D96" s="644"/>
      <c r="E96" s="644"/>
      <c r="F96" s="644"/>
      <c r="G96" s="644"/>
      <c r="H96" s="164">
        <f t="shared" si="4"/>
        <v>0</v>
      </c>
      <c r="I96" s="644"/>
      <c r="J96" s="644"/>
      <c r="L96" s="645" t="e">
        <f t="shared" si="3"/>
        <v>#N/A</v>
      </c>
      <c r="M96" s="645"/>
      <c r="O96" s="642" t="s">
        <v>289</v>
      </c>
      <c r="P96" s="643">
        <v>5062</v>
      </c>
    </row>
    <row r="97" spans="1:16" x14ac:dyDescent="0.2">
      <c r="A97" s="642"/>
      <c r="B97" s="643"/>
      <c r="C97" s="644"/>
      <c r="D97" s="644"/>
      <c r="E97" s="644"/>
      <c r="F97" s="644"/>
      <c r="G97" s="644"/>
      <c r="H97" s="164">
        <f t="shared" si="4"/>
        <v>0</v>
      </c>
      <c r="I97" s="644"/>
      <c r="J97" s="644"/>
      <c r="L97" s="645" t="e">
        <f t="shared" si="3"/>
        <v>#N/A</v>
      </c>
      <c r="M97" s="645"/>
      <c r="O97" s="642" t="s">
        <v>290</v>
      </c>
      <c r="P97" s="643">
        <v>5302</v>
      </c>
    </row>
    <row r="98" spans="1:16" x14ac:dyDescent="0.2">
      <c r="A98" s="642"/>
      <c r="B98" s="643"/>
      <c r="C98" s="644"/>
      <c r="D98" s="644"/>
      <c r="E98" s="644"/>
      <c r="F98" s="644"/>
      <c r="G98" s="644"/>
      <c r="H98" s="164">
        <f t="shared" si="4"/>
        <v>0</v>
      </c>
      <c r="I98" s="644"/>
      <c r="J98" s="644"/>
      <c r="L98" s="645" t="e">
        <f t="shared" si="3"/>
        <v>#N/A</v>
      </c>
      <c r="M98" s="645"/>
      <c r="O98" s="642" t="s">
        <v>291</v>
      </c>
      <c r="P98" s="643">
        <v>5001</v>
      </c>
    </row>
    <row r="99" spans="1:16" x14ac:dyDescent="0.2">
      <c r="A99" s="642"/>
      <c r="B99" s="643"/>
      <c r="C99" s="644"/>
      <c r="D99" s="644"/>
      <c r="E99" s="644"/>
      <c r="F99" s="644"/>
      <c r="G99" s="644"/>
      <c r="H99" s="164">
        <f t="shared" si="4"/>
        <v>0</v>
      </c>
      <c r="I99" s="644"/>
      <c r="J99" s="644"/>
      <c r="L99" s="645" t="e">
        <f t="shared" si="3"/>
        <v>#N/A</v>
      </c>
      <c r="M99" s="645"/>
      <c r="O99" s="642" t="s">
        <v>292</v>
      </c>
      <c r="P99" s="643">
        <v>5061</v>
      </c>
    </row>
    <row r="100" spans="1:16" x14ac:dyDescent="0.2">
      <c r="A100" s="642"/>
      <c r="B100" s="643"/>
      <c r="C100" s="644"/>
      <c r="D100" s="644"/>
      <c r="E100" s="644"/>
      <c r="F100" s="644"/>
      <c r="G100" s="644"/>
      <c r="H100" s="164">
        <f t="shared" si="4"/>
        <v>0</v>
      </c>
      <c r="I100" s="644"/>
      <c r="J100" s="644"/>
      <c r="L100" s="645" t="e">
        <f t="shared" si="3"/>
        <v>#N/A</v>
      </c>
      <c r="M100" s="645"/>
      <c r="O100" s="642" t="s">
        <v>293</v>
      </c>
      <c r="P100" s="643">
        <v>5304</v>
      </c>
    </row>
    <row r="101" spans="1:16" s="169" customFormat="1" x14ac:dyDescent="0.2">
      <c r="A101" s="169" t="s">
        <v>444</v>
      </c>
      <c r="B101" s="170"/>
      <c r="C101" s="171">
        <f>SUM(C30:C100)</f>
        <v>0</v>
      </c>
      <c r="D101" s="171">
        <f t="shared" ref="D101:I101" si="5">SUM(D30:D100)</f>
        <v>0</v>
      </c>
      <c r="E101" s="171">
        <f t="shared" si="5"/>
        <v>249200</v>
      </c>
      <c r="F101" s="171">
        <f t="shared" si="5"/>
        <v>0</v>
      </c>
      <c r="G101" s="171">
        <f t="shared" si="5"/>
        <v>0</v>
      </c>
      <c r="H101" s="171">
        <f t="shared" si="5"/>
        <v>0</v>
      </c>
      <c r="I101" s="171">
        <f t="shared" si="5"/>
        <v>0</v>
      </c>
      <c r="J101" s="171"/>
      <c r="O101" s="642" t="s">
        <v>294</v>
      </c>
      <c r="P101" s="643">
        <v>5064</v>
      </c>
    </row>
    <row r="102" spans="1:16" x14ac:dyDescent="0.2">
      <c r="O102" s="642" t="s">
        <v>295</v>
      </c>
      <c r="P102" s="643">
        <v>5601</v>
      </c>
    </row>
    <row r="103" spans="1:16" x14ac:dyDescent="0.2">
      <c r="O103" s="642" t="s">
        <v>452</v>
      </c>
      <c r="P103" s="643">
        <v>5000</v>
      </c>
    </row>
  </sheetData>
  <mergeCells count="4">
    <mergeCell ref="A1:M1"/>
    <mergeCell ref="A7:M7"/>
    <mergeCell ref="A27:M27"/>
    <mergeCell ref="P1:S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V110"/>
  <sheetViews>
    <sheetView workbookViewId="0">
      <selection activeCell="T12" sqref="T12"/>
    </sheetView>
  </sheetViews>
  <sheetFormatPr baseColWidth="10" defaultColWidth="9.1640625" defaultRowHeight="15" x14ac:dyDescent="0.2"/>
  <cols>
    <col min="1" max="1" width="53.6640625" style="150" bestFit="1" customWidth="1"/>
    <col min="2" max="2" width="10.33203125" style="150" bestFit="1" customWidth="1"/>
    <col min="3" max="4" width="9" style="150" bestFit="1" customWidth="1"/>
    <col min="5" max="5" width="9.5" style="150" bestFit="1" customWidth="1"/>
    <col min="6" max="6" width="15.33203125" style="150" bestFit="1" customWidth="1"/>
    <col min="7" max="7" width="16.5" style="150" bestFit="1" customWidth="1"/>
    <col min="8" max="8" width="16.5" style="150" customWidth="1"/>
    <col min="9" max="9" width="18.5" style="150" bestFit="1" customWidth="1"/>
    <col min="10" max="10" width="18.5" style="150" customWidth="1"/>
    <col min="11" max="11" width="5.33203125" style="150" customWidth="1"/>
    <col min="12" max="12" width="9.1640625" style="150" customWidth="1"/>
    <col min="13" max="13" width="52.6640625" style="150" customWidth="1"/>
    <col min="14" max="16384" width="9.1640625" style="150"/>
  </cols>
  <sheetData>
    <row r="1" spans="1:22" x14ac:dyDescent="0.2">
      <c r="A1" s="769" t="str">
        <f>"Historical Financial Analysis Summary - "&amp;'IE Data Entry'!B2</f>
        <v xml:space="preserve">Historical Financial Analysis Summary - </v>
      </c>
      <c r="B1" s="769"/>
      <c r="C1" s="769"/>
      <c r="D1" s="769"/>
      <c r="E1" s="769"/>
      <c r="F1" s="769"/>
      <c r="G1" s="769"/>
      <c r="H1" s="648"/>
      <c r="I1" s="172"/>
      <c r="J1" s="172"/>
      <c r="K1" s="172"/>
      <c r="L1" s="173"/>
      <c r="M1" s="173"/>
      <c r="N1" s="173"/>
      <c r="O1" s="173"/>
      <c r="P1" s="173"/>
      <c r="Q1" s="173"/>
      <c r="R1" s="173"/>
      <c r="S1" s="173"/>
      <c r="T1" s="172"/>
      <c r="U1" s="172"/>
      <c r="V1" s="172"/>
    </row>
    <row r="2" spans="1:22" ht="9" customHeight="1" x14ac:dyDescent="0.2">
      <c r="A2" s="152"/>
      <c r="B2" s="152"/>
      <c r="C2" s="152"/>
      <c r="D2" s="152"/>
      <c r="E2" s="152"/>
      <c r="F2" s="152"/>
      <c r="G2" s="172"/>
      <c r="H2" s="172"/>
      <c r="I2" s="172"/>
      <c r="J2" s="172"/>
      <c r="K2" s="172"/>
      <c r="L2" s="173"/>
      <c r="M2" s="173"/>
      <c r="N2" s="173"/>
      <c r="O2" s="173"/>
      <c r="P2" s="173"/>
      <c r="Q2" s="173"/>
      <c r="R2" s="173"/>
      <c r="S2" s="173"/>
      <c r="T2" s="172"/>
      <c r="U2" s="172"/>
      <c r="V2" s="172"/>
    </row>
    <row r="3" spans="1:22" x14ac:dyDescent="0.2">
      <c r="A3" s="770" t="s">
        <v>453</v>
      </c>
      <c r="B3" s="770"/>
      <c r="C3" s="770"/>
      <c r="D3" s="770"/>
      <c r="E3" s="770"/>
      <c r="F3" s="770"/>
      <c r="G3" s="770"/>
      <c r="H3" s="649"/>
      <c r="I3" s="172"/>
      <c r="J3" s="172"/>
      <c r="K3" s="172"/>
      <c r="L3" s="173"/>
      <c r="M3" s="173"/>
      <c r="N3" s="173"/>
      <c r="O3" s="173"/>
      <c r="P3" s="173"/>
      <c r="Q3" s="173"/>
      <c r="R3" s="173"/>
      <c r="S3" s="173"/>
      <c r="T3" s="174"/>
      <c r="U3" s="172"/>
      <c r="V3" s="172"/>
    </row>
    <row r="4" spans="1:22" x14ac:dyDescent="0.2">
      <c r="A4" s="160"/>
      <c r="B4" s="161"/>
      <c r="C4" s="161"/>
      <c r="D4" s="161"/>
      <c r="E4" s="161"/>
      <c r="F4" s="774" t="str">
        <f>Current_Year&amp;" Annualized"</f>
        <v>2025 Annualized</v>
      </c>
      <c r="G4" s="774" t="s">
        <v>454</v>
      </c>
      <c r="H4" s="774" t="s">
        <v>455</v>
      </c>
      <c r="I4" s="161" t="s">
        <v>456</v>
      </c>
      <c r="J4" s="694" t="s">
        <v>457</v>
      </c>
      <c r="K4" s="161"/>
      <c r="L4" s="173"/>
      <c r="M4" s="173"/>
      <c r="N4" s="173"/>
      <c r="O4" s="175"/>
      <c r="P4" s="173"/>
      <c r="Q4" s="173"/>
      <c r="R4" s="173"/>
      <c r="S4" s="173"/>
      <c r="T4" s="176"/>
      <c r="U4" s="172"/>
      <c r="V4" s="172"/>
    </row>
    <row r="5" spans="1:22" ht="16" thickBot="1" x14ac:dyDescent="0.25">
      <c r="A5" s="163" t="s">
        <v>458</v>
      </c>
      <c r="B5" s="162">
        <f>+B31</f>
        <v>2022</v>
      </c>
      <c r="C5" s="162">
        <f t="shared" ref="C5:E5" si="0">+C31</f>
        <v>2023</v>
      </c>
      <c r="D5" s="162">
        <f t="shared" si="0"/>
        <v>2024</v>
      </c>
      <c r="E5" s="162" t="str">
        <f t="shared" si="0"/>
        <v>Trailing 12</v>
      </c>
      <c r="F5" s="775"/>
      <c r="G5" s="775"/>
      <c r="H5" s="775"/>
      <c r="I5" s="162" t="s">
        <v>436</v>
      </c>
      <c r="J5" s="695" t="s">
        <v>459</v>
      </c>
      <c r="K5" s="161"/>
      <c r="L5" s="173"/>
      <c r="M5" s="692" t="s">
        <v>460</v>
      </c>
      <c r="N5" s="173"/>
      <c r="O5" s="175"/>
      <c r="P5" s="173"/>
      <c r="Q5" s="173"/>
      <c r="R5" s="173"/>
      <c r="S5" s="173"/>
      <c r="T5" s="176"/>
      <c r="U5" s="172"/>
      <c r="V5" s="172"/>
    </row>
    <row r="6" spans="1:22" x14ac:dyDescent="0.2">
      <c r="A6" s="160" t="s">
        <v>461</v>
      </c>
      <c r="B6" s="161"/>
      <c r="C6" s="161"/>
      <c r="D6" s="161"/>
      <c r="E6" s="161"/>
      <c r="F6" s="161"/>
      <c r="G6" s="161"/>
      <c r="H6" s="161"/>
      <c r="I6" s="161"/>
      <c r="J6" s="498"/>
      <c r="K6" s="161"/>
      <c r="L6" s="173" t="s">
        <v>462</v>
      </c>
      <c r="M6" s="173"/>
      <c r="N6" s="173"/>
      <c r="O6" s="175"/>
      <c r="P6" s="173"/>
      <c r="Q6" s="173"/>
      <c r="R6" s="173"/>
      <c r="S6" s="173"/>
      <c r="T6" s="176"/>
      <c r="U6" s="172"/>
      <c r="V6" s="172"/>
    </row>
    <row r="7" spans="1:22" x14ac:dyDescent="0.2">
      <c r="A7" s="569" t="str">
        <f>+Proforma!C29</f>
        <v xml:space="preserve">MH </v>
      </c>
      <c r="B7" s="177">
        <f>SUMIF('IE Data Entry'!$B$10:$B$24,'IE SUMMARY'!$T7,'IE Data Entry'!C$10:C$24)</f>
        <v>0</v>
      </c>
      <c r="C7" s="178">
        <f>SUMIF('IE Data Entry'!$B$10:$B$24,'IE SUMMARY'!$T7,'IE Data Entry'!D$10:D$24)</f>
        <v>0</v>
      </c>
      <c r="D7" s="178">
        <f>SUMIF('IE Data Entry'!$B$10:$B$24,'IE SUMMARY'!$T7,'IE Data Entry'!E$10:E$24)</f>
        <v>0</v>
      </c>
      <c r="E7" s="178">
        <f>SUMIF('IE Data Entry'!$B$10:$B$24,'IE SUMMARY'!$T7,'IE Data Entry'!F$10:F$24)</f>
        <v>0</v>
      </c>
      <c r="F7" s="178">
        <f>SUMIF('IE Data Entry'!$B$10:$B$24,'IE SUMMARY'!$T7,'IE Data Entry'!H$10:H$24)</f>
        <v>0</v>
      </c>
      <c r="G7" s="178">
        <f>SUMIF('IE Data Entry'!$B$10:$B$24,'IE SUMMARY'!$T7,'IE Data Entry'!I$10:I$24)</f>
        <v>0</v>
      </c>
      <c r="H7" s="178">
        <f>SUMIF('IE Data Entry'!$B$10:$B$24,'IE SUMMARY'!$T7,'IE Data Entry'!J$10:J$24)</f>
        <v>0</v>
      </c>
      <c r="I7" s="179">
        <f>+Proforma!F34*12</f>
        <v>678000</v>
      </c>
      <c r="J7" s="656">
        <f>I7-MAX(F7,E7)</f>
        <v>678000</v>
      </c>
      <c r="K7" s="493"/>
      <c r="L7" s="173"/>
      <c r="M7" s="173"/>
      <c r="N7" s="173"/>
      <c r="O7" s="175"/>
      <c r="P7" s="173"/>
      <c r="Q7" s="173"/>
      <c r="R7" s="173"/>
      <c r="S7" s="173"/>
      <c r="T7" s="176">
        <v>1</v>
      </c>
      <c r="U7" s="172"/>
      <c r="V7" s="172"/>
    </row>
    <row r="8" spans="1:22" x14ac:dyDescent="0.2">
      <c r="A8" s="569" t="str">
        <f>+Proforma!C30</f>
        <v>RV</v>
      </c>
      <c r="B8" s="178">
        <f>SUMIF('IE Data Entry'!$B$10:$B$24,'IE SUMMARY'!$T8,'IE Data Entry'!C$10:C$24)</f>
        <v>0</v>
      </c>
      <c r="C8" s="178">
        <f>SUMIF('IE Data Entry'!$B$10:$B$24,'IE SUMMARY'!$T8,'IE Data Entry'!D$10:D$24)</f>
        <v>0</v>
      </c>
      <c r="D8" s="178">
        <f>SUMIF('IE Data Entry'!$B$10:$B$24,'IE SUMMARY'!$T8,'IE Data Entry'!E$10:E$24)</f>
        <v>0</v>
      </c>
      <c r="E8" s="178">
        <f>SUMIF('IE Data Entry'!$B$10:$B$24,'IE SUMMARY'!$T8,'IE Data Entry'!F$10:F$24)</f>
        <v>0</v>
      </c>
      <c r="F8" s="178">
        <f>SUMIF('IE Data Entry'!$B$10:$B$24,'IE SUMMARY'!$T8,'IE Data Entry'!H$10:H$24)</f>
        <v>0</v>
      </c>
      <c r="G8" s="178">
        <f>SUMIF('IE Data Entry'!$B$10:$B$24,'IE SUMMARY'!$T8,'IE Data Entry'!I$10:I$24)</f>
        <v>0</v>
      </c>
      <c r="H8" s="178">
        <f>SUMIF('IE Data Entry'!$B$10:$B$24,'IE SUMMARY'!$T8,'IE Data Entry'!J$10:J$24)</f>
        <v>0</v>
      </c>
      <c r="I8" s="179">
        <f>+Proforma!F35*12</f>
        <v>0</v>
      </c>
      <c r="J8" s="656">
        <f t="shared" ref="J8:J26" si="1">I8-MAX(F8,E8)</f>
        <v>0</v>
      </c>
      <c r="K8" s="493"/>
      <c r="L8" s="173"/>
      <c r="M8" s="173"/>
      <c r="N8" s="173"/>
      <c r="O8" s="175"/>
      <c r="P8" s="173"/>
      <c r="Q8" s="173"/>
      <c r="R8" s="173"/>
      <c r="S8" s="173"/>
      <c r="T8" s="176">
        <v>2</v>
      </c>
      <c r="U8" s="172"/>
      <c r="V8" s="172"/>
    </row>
    <row r="9" spans="1:22" x14ac:dyDescent="0.2">
      <c r="A9" s="569" t="str">
        <f>+Proforma!C31</f>
        <v>Other</v>
      </c>
      <c r="B9" s="178">
        <f>SUMIF('IE Data Entry'!$B$10:$B$24,'IE SUMMARY'!$T9,'IE Data Entry'!C$10:C$24)</f>
        <v>0</v>
      </c>
      <c r="C9" s="178">
        <f>SUMIF('IE Data Entry'!$B$10:$B$24,'IE SUMMARY'!$T9,'IE Data Entry'!D$10:D$24)</f>
        <v>0</v>
      </c>
      <c r="D9" s="178">
        <f>SUMIF('IE Data Entry'!$B$10:$B$24,'IE SUMMARY'!$T9,'IE Data Entry'!E$10:E$24)</f>
        <v>0</v>
      </c>
      <c r="E9" s="178">
        <f>SUMIF('IE Data Entry'!$B$10:$B$24,'IE SUMMARY'!$T9,'IE Data Entry'!F$10:F$24)</f>
        <v>0</v>
      </c>
      <c r="F9" s="178">
        <f>SUMIF('IE Data Entry'!$B$10:$B$24,'IE SUMMARY'!$T9,'IE Data Entry'!H$10:H$24)</f>
        <v>0</v>
      </c>
      <c r="G9" s="178">
        <f>SUMIF('IE Data Entry'!$B$10:$B$24,'IE SUMMARY'!$T9,'IE Data Entry'!I$10:I$24)</f>
        <v>0</v>
      </c>
      <c r="H9" s="178">
        <f>SUMIF('IE Data Entry'!$B$10:$B$24,'IE SUMMARY'!$T9,'IE Data Entry'!J$10:J$24)</f>
        <v>0</v>
      </c>
      <c r="I9" s="179">
        <f>+Proforma!F36*12</f>
        <v>0</v>
      </c>
      <c r="J9" s="656">
        <f t="shared" si="1"/>
        <v>0</v>
      </c>
      <c r="K9" s="493"/>
      <c r="L9" s="172" t="str">
        <f>IF(ISERROR((+(G11-E11)/E11)),"",(+(G11-E11)/E11))</f>
        <v/>
      </c>
      <c r="M9" s="180"/>
      <c r="N9" s="172"/>
      <c r="P9" s="172"/>
      <c r="Q9" s="172"/>
      <c r="R9" s="172"/>
      <c r="S9" s="172"/>
      <c r="T9" s="176">
        <v>3</v>
      </c>
      <c r="U9" s="172"/>
      <c r="V9" s="172"/>
    </row>
    <row r="10" spans="1:22" x14ac:dyDescent="0.2">
      <c r="A10" s="569" t="s">
        <v>463</v>
      </c>
      <c r="B10" s="178">
        <f>SUMIF('IE Data Entry'!$B$10:$B$24,'IE SUMMARY'!$T10,'IE Data Entry'!C$10:C$24)</f>
        <v>0</v>
      </c>
      <c r="C10" s="178">
        <f>SUMIF('IE Data Entry'!$B$10:$B$24,'IE SUMMARY'!$T10,'IE Data Entry'!D$10:D$24)</f>
        <v>0</v>
      </c>
      <c r="D10" s="178">
        <f>SUMIF('IE Data Entry'!$B$10:$B$24,'IE SUMMARY'!$T10,'IE Data Entry'!E$10:E$24)</f>
        <v>0</v>
      </c>
      <c r="E10" s="178">
        <f>SUMIF('IE Data Entry'!$B$10:$B$24,'IE SUMMARY'!$T10,'IE Data Entry'!F$10:F$24)</f>
        <v>0</v>
      </c>
      <c r="F10" s="178">
        <f>SUMIF('IE Data Entry'!$B$10:$B$24,'IE SUMMARY'!$T10,'IE Data Entry'!H$10:H$24)</f>
        <v>0</v>
      </c>
      <c r="G10" s="178">
        <f>SUMIF('IE Data Entry'!$B$10:$B$24,'IE SUMMARY'!$T10,'IE Data Entry'!I$10:I$24)</f>
        <v>0</v>
      </c>
      <c r="H10" s="178">
        <f>SUMIF('IE Data Entry'!$B$10:$B$24,'IE SUMMARY'!$T10,'IE Data Entry'!J$10:J$24)</f>
        <v>0</v>
      </c>
      <c r="I10" s="181">
        <f>SUM(Proforma!F38:F40)*12</f>
        <v>-264420</v>
      </c>
      <c r="J10" s="657">
        <f t="shared" si="1"/>
        <v>-264420</v>
      </c>
      <c r="K10" s="493"/>
      <c r="L10" s="182" t="str">
        <f>IF(ISERROR((+(G11-F11)/F11)),"",(+(G11-F11)/F11))</f>
        <v/>
      </c>
      <c r="M10" s="180"/>
      <c r="N10" s="172"/>
      <c r="P10" s="173"/>
      <c r="Q10" s="172"/>
      <c r="R10" s="172"/>
      <c r="S10" s="172"/>
      <c r="T10" s="176">
        <v>4</v>
      </c>
      <c r="U10" s="172"/>
      <c r="V10" s="172"/>
    </row>
    <row r="11" spans="1:22" x14ac:dyDescent="0.2">
      <c r="A11" s="183" t="s">
        <v>243</v>
      </c>
      <c r="B11" s="747">
        <f>SUM(B7:B10)</f>
        <v>0</v>
      </c>
      <c r="C11" s="747">
        <f t="shared" ref="C11:I11" si="2">SUM(C7:C10)</f>
        <v>0</v>
      </c>
      <c r="D11" s="747">
        <f t="shared" si="2"/>
        <v>0</v>
      </c>
      <c r="E11" s="747">
        <f t="shared" si="2"/>
        <v>0</v>
      </c>
      <c r="F11" s="747">
        <f t="shared" si="2"/>
        <v>0</v>
      </c>
      <c r="G11" s="747">
        <f t="shared" si="2"/>
        <v>0</v>
      </c>
      <c r="H11" s="747">
        <f t="shared" ref="H11" si="3">SUM(H7:H10)</f>
        <v>0</v>
      </c>
      <c r="I11" s="747">
        <f t="shared" si="2"/>
        <v>413580</v>
      </c>
      <c r="J11" s="656">
        <f t="shared" si="1"/>
        <v>413580</v>
      </c>
      <c r="K11" s="493"/>
      <c r="L11" s="182" t="str">
        <f>IF(ISERROR((+(G11-D11)/D11)),"",(+(G11-D11)/D11))</f>
        <v/>
      </c>
      <c r="M11" s="180"/>
      <c r="N11" s="184"/>
      <c r="P11" s="173"/>
      <c r="Q11" s="172"/>
      <c r="R11" s="172"/>
      <c r="S11" s="172"/>
      <c r="T11" s="176"/>
      <c r="U11" s="172"/>
      <c r="V11" s="172"/>
    </row>
    <row r="12" spans="1:22" x14ac:dyDescent="0.2">
      <c r="A12" s="185" t="s">
        <v>464</v>
      </c>
      <c r="B12" s="180"/>
      <c r="C12" s="182" t="str">
        <f>IF(ISERROR((+(C11-B11)/B11)),"",(+(C11-B11)/B11))</f>
        <v/>
      </c>
      <c r="D12" s="182" t="str">
        <f>IF(ISERROR((+(D11-C11)/C11)),"",(+(D11-C11)/C11))</f>
        <v/>
      </c>
      <c r="E12" s="182" t="str">
        <f>IF(ISERROR((+(E11-D11)/D11)),"",(+(E11-D11)/D11))</f>
        <v/>
      </c>
      <c r="F12" s="182" t="str">
        <f>IF(ISERROR((+(F11-D11)/D11)),"",(+(F11-D11)/D11))</f>
        <v/>
      </c>
      <c r="G12" s="182"/>
      <c r="H12" s="182"/>
      <c r="J12" s="493"/>
      <c r="M12" s="182"/>
      <c r="N12" s="182"/>
      <c r="O12" s="182"/>
      <c r="P12" s="172"/>
      <c r="Q12" s="172"/>
      <c r="R12" s="172"/>
      <c r="S12" s="172"/>
      <c r="T12" s="176"/>
      <c r="U12" s="172"/>
      <c r="V12" s="172"/>
    </row>
    <row r="13" spans="1:22" ht="10.25" customHeight="1" x14ac:dyDescent="0.2">
      <c r="A13" s="569"/>
      <c r="B13" s="186"/>
      <c r="C13" s="186"/>
      <c r="D13" s="186"/>
      <c r="E13" s="186"/>
      <c r="F13" s="186"/>
      <c r="G13" s="186"/>
      <c r="H13" s="186"/>
      <c r="I13" s="182"/>
      <c r="J13" s="493"/>
      <c r="K13" s="182"/>
      <c r="L13" s="180"/>
      <c r="M13" s="172"/>
      <c r="N13" s="172"/>
      <c r="O13" s="186"/>
      <c r="P13" s="172"/>
      <c r="Q13" s="172"/>
      <c r="R13" s="172"/>
      <c r="S13" s="172"/>
      <c r="T13" s="176"/>
      <c r="U13" s="172"/>
      <c r="V13" s="172"/>
    </row>
    <row r="14" spans="1:22" x14ac:dyDescent="0.2">
      <c r="A14" s="187" t="s">
        <v>258</v>
      </c>
      <c r="B14" s="186"/>
      <c r="C14" s="186"/>
      <c r="D14" s="186"/>
      <c r="E14" s="186"/>
      <c r="F14" s="186"/>
      <c r="G14" s="186"/>
      <c r="H14" s="186"/>
      <c r="I14" s="172"/>
      <c r="J14" s="493"/>
      <c r="K14" s="172"/>
      <c r="L14" s="172"/>
      <c r="M14" s="172"/>
      <c r="N14" s="172"/>
      <c r="O14" s="186"/>
      <c r="P14" s="172"/>
      <c r="Q14" s="172"/>
      <c r="R14" s="172"/>
      <c r="S14" s="172"/>
      <c r="T14" s="176"/>
      <c r="U14" s="172"/>
      <c r="V14" s="172"/>
    </row>
    <row r="15" spans="1:22" x14ac:dyDescent="0.2">
      <c r="A15" s="569" t="s">
        <v>260</v>
      </c>
      <c r="B15" s="178">
        <f>SUMIF('IE Data Entry'!$B$10:$B$24,'IE SUMMARY'!$T15,'IE Data Entry'!C$10:C$24)</f>
        <v>0</v>
      </c>
      <c r="C15" s="178">
        <f>SUMIF('IE Data Entry'!$B$10:$B$24,'IE SUMMARY'!$T15,'IE Data Entry'!D$10:D$24)</f>
        <v>0</v>
      </c>
      <c r="D15" s="178">
        <f>SUMIF('IE Data Entry'!$B$10:$B$24,'IE SUMMARY'!$T15,'IE Data Entry'!E$10:E$24)</f>
        <v>0</v>
      </c>
      <c r="E15" s="178">
        <f>SUMIF('IE Data Entry'!$B$10:$B$24,'IE SUMMARY'!$T15,'IE Data Entry'!F$10:F$24)</f>
        <v>0</v>
      </c>
      <c r="F15" s="178">
        <f>SUMIF('IE Data Entry'!$B$10:$B$24,'IE SUMMARY'!$T15,'IE Data Entry'!H$10:H$24)</f>
        <v>0</v>
      </c>
      <c r="G15" s="178">
        <f>SUMIF('IE Data Entry'!$B$10:$B$24,'IE SUMMARY'!$T15,'IE Data Entry'!I$10:I$24)</f>
        <v>0</v>
      </c>
      <c r="H15" s="178">
        <f>SUMIF('IE Data Entry'!$B$10:$B$24,'IE SUMMARY'!$T15,'IE Data Entry'!J$10:J$24)</f>
        <v>0</v>
      </c>
      <c r="I15" s="179">
        <f>+Proforma!F44*12</f>
        <v>0</v>
      </c>
      <c r="J15" s="656">
        <f t="shared" si="1"/>
        <v>0</v>
      </c>
      <c r="K15" s="493"/>
      <c r="L15" s="172"/>
      <c r="M15" s="172"/>
      <c r="N15" s="172"/>
      <c r="P15" s="173"/>
      <c r="Q15" s="172"/>
      <c r="R15" s="172"/>
      <c r="S15" s="172"/>
      <c r="T15" s="176">
        <v>4403</v>
      </c>
      <c r="U15" s="172"/>
      <c r="V15" s="172"/>
    </row>
    <row r="16" spans="1:22" x14ac:dyDescent="0.2">
      <c r="A16" s="569" t="s">
        <v>261</v>
      </c>
      <c r="B16" s="178">
        <f>SUMIF('IE Data Entry'!$B$10:$B$24,'IE SUMMARY'!$T16,'IE Data Entry'!C$10:C$24)</f>
        <v>0</v>
      </c>
      <c r="C16" s="178">
        <f>SUMIF('IE Data Entry'!$B$10:$B$24,'IE SUMMARY'!$T16,'IE Data Entry'!D$10:D$24)</f>
        <v>0</v>
      </c>
      <c r="D16" s="178">
        <f>SUMIF('IE Data Entry'!$B$10:$B$24,'IE SUMMARY'!$T16,'IE Data Entry'!E$10:E$24)</f>
        <v>0</v>
      </c>
      <c r="E16" s="178">
        <f>SUMIF('IE Data Entry'!$B$10:$B$24,'IE SUMMARY'!$T16,'IE Data Entry'!F$10:F$24)</f>
        <v>0</v>
      </c>
      <c r="F16" s="178">
        <f>SUMIF('IE Data Entry'!$B$10:$B$24,'IE SUMMARY'!$T16,'IE Data Entry'!H$10:H$24)</f>
        <v>0</v>
      </c>
      <c r="G16" s="178">
        <f>SUMIF('IE Data Entry'!$B$10:$B$24,'IE SUMMARY'!$T16,'IE Data Entry'!I$10:I$24)</f>
        <v>0</v>
      </c>
      <c r="H16" s="178">
        <f>SUMIF('IE Data Entry'!$B$10:$B$24,'IE SUMMARY'!$T16,'IE Data Entry'!J$10:J$24)</f>
        <v>0</v>
      </c>
      <c r="I16" s="179">
        <f>+Proforma!F45*12</f>
        <v>0</v>
      </c>
      <c r="J16" s="656">
        <f t="shared" si="1"/>
        <v>0</v>
      </c>
      <c r="K16" s="493"/>
      <c r="L16" s="172"/>
      <c r="M16" s="172"/>
      <c r="N16" s="172"/>
      <c r="P16" s="173"/>
      <c r="Q16" s="172"/>
      <c r="R16" s="172"/>
      <c r="S16" s="172"/>
      <c r="T16" s="176">
        <v>4401</v>
      </c>
      <c r="U16" s="172"/>
      <c r="V16" s="172"/>
    </row>
    <row r="17" spans="1:22" x14ac:dyDescent="0.2">
      <c r="A17" s="569" t="s">
        <v>262</v>
      </c>
      <c r="B17" s="178">
        <f>SUMIF('IE Data Entry'!$B$10:$B$24,'IE SUMMARY'!$T17,'IE Data Entry'!C$10:C$24)</f>
        <v>0</v>
      </c>
      <c r="C17" s="178">
        <f>SUMIF('IE Data Entry'!$B$10:$B$24,'IE SUMMARY'!$T17,'IE Data Entry'!D$10:D$24)</f>
        <v>0</v>
      </c>
      <c r="D17" s="178">
        <f>SUMIF('IE Data Entry'!$B$10:$B$24,'IE SUMMARY'!$T17,'IE Data Entry'!E$10:E$24)</f>
        <v>0</v>
      </c>
      <c r="E17" s="178">
        <f>SUMIF('IE Data Entry'!$B$10:$B$24,'IE SUMMARY'!$T17,'IE Data Entry'!F$10:F$24)</f>
        <v>0</v>
      </c>
      <c r="F17" s="178">
        <f>SUMIF('IE Data Entry'!$B$10:$B$24,'IE SUMMARY'!$T17,'IE Data Entry'!H$10:H$24)</f>
        <v>0</v>
      </c>
      <c r="G17" s="178">
        <f>SUMIF('IE Data Entry'!$B$10:$B$24,'IE SUMMARY'!$T17,'IE Data Entry'!I$10:I$24)</f>
        <v>0</v>
      </c>
      <c r="H17" s="178">
        <f>SUMIF('IE Data Entry'!$B$10:$B$24,'IE SUMMARY'!$T17,'IE Data Entry'!J$10:J$24)</f>
        <v>0</v>
      </c>
      <c r="I17" s="179">
        <f>+Proforma!F46*12</f>
        <v>14640</v>
      </c>
      <c r="J17" s="656">
        <f t="shared" si="1"/>
        <v>14640</v>
      </c>
      <c r="K17" s="493"/>
      <c r="L17" s="172"/>
      <c r="M17" s="172"/>
      <c r="N17" s="172"/>
      <c r="P17" s="173"/>
      <c r="Q17" s="172"/>
      <c r="R17" s="172"/>
      <c r="S17" s="172"/>
      <c r="T17" s="176">
        <v>4404</v>
      </c>
      <c r="U17" s="172"/>
      <c r="V17" s="172"/>
    </row>
    <row r="18" spans="1:22" x14ac:dyDescent="0.2">
      <c r="A18" s="569" t="s">
        <v>184</v>
      </c>
      <c r="B18" s="178">
        <f>SUMIF('IE Data Entry'!$B$10:$B$24,'IE SUMMARY'!$T18,'IE Data Entry'!C$10:C$24)</f>
        <v>0</v>
      </c>
      <c r="C18" s="178">
        <f>SUMIF('IE Data Entry'!$B$10:$B$24,'IE SUMMARY'!$T18,'IE Data Entry'!D$10:D$24)</f>
        <v>0</v>
      </c>
      <c r="D18" s="178">
        <f>SUMIF('IE Data Entry'!$B$10:$B$24,'IE SUMMARY'!$T18,'IE Data Entry'!E$10:E$24)</f>
        <v>0</v>
      </c>
      <c r="E18" s="178">
        <f>SUMIF('IE Data Entry'!$B$10:$B$24,'IE SUMMARY'!$T18,'IE Data Entry'!F$10:F$24)</f>
        <v>0</v>
      </c>
      <c r="F18" s="178">
        <f>SUMIF('IE Data Entry'!$B$10:$B$24,'IE SUMMARY'!$T18,'IE Data Entry'!H$10:H$24)</f>
        <v>0</v>
      </c>
      <c r="G18" s="178">
        <f>SUMIF('IE Data Entry'!$B$10:$B$24,'IE SUMMARY'!$T18,'IE Data Entry'!I$10:I$24)</f>
        <v>0</v>
      </c>
      <c r="H18" s="178">
        <f>SUMIF('IE Data Entry'!$B$10:$B$24,'IE SUMMARY'!$T18,'IE Data Entry'!J$10:J$24)</f>
        <v>0</v>
      </c>
      <c r="I18" s="179">
        <f>+Proforma!F47*12</f>
        <v>0</v>
      </c>
      <c r="J18" s="656">
        <f t="shared" si="1"/>
        <v>0</v>
      </c>
      <c r="K18" s="493"/>
      <c r="L18" s="172"/>
      <c r="M18" s="172"/>
      <c r="N18" s="172"/>
      <c r="P18" s="173"/>
      <c r="Q18" s="172"/>
      <c r="R18" s="172"/>
      <c r="S18" s="172"/>
      <c r="T18" s="176">
        <v>4405</v>
      </c>
      <c r="U18" s="172"/>
      <c r="V18" s="172"/>
    </row>
    <row r="19" spans="1:22" x14ac:dyDescent="0.2">
      <c r="A19" s="569" t="s">
        <v>183</v>
      </c>
      <c r="B19" s="178">
        <f>SUMIF('IE Data Entry'!$B$10:$B$24,'IE SUMMARY'!$T19,'IE Data Entry'!C$10:C$24)</f>
        <v>0</v>
      </c>
      <c r="C19" s="178">
        <f>SUMIF('IE Data Entry'!$B$10:$B$24,'IE SUMMARY'!$T19,'IE Data Entry'!D$10:D$24)</f>
        <v>0</v>
      </c>
      <c r="D19" s="178">
        <f>SUMIF('IE Data Entry'!$B$10:$B$24,'IE SUMMARY'!$T19,'IE Data Entry'!E$10:E$24)</f>
        <v>0</v>
      </c>
      <c r="E19" s="178">
        <f>SUMIF('IE Data Entry'!$B$10:$B$24,'IE SUMMARY'!$T19,'IE Data Entry'!F$10:F$24)</f>
        <v>0</v>
      </c>
      <c r="F19" s="178">
        <f>SUMIF('IE Data Entry'!$B$10:$B$24,'IE SUMMARY'!$T19,'IE Data Entry'!H$10:H$24)</f>
        <v>0</v>
      </c>
      <c r="G19" s="178">
        <f>SUMIF('IE Data Entry'!$B$10:$B$24,'IE SUMMARY'!$T19,'IE Data Entry'!I$10:I$24)</f>
        <v>0</v>
      </c>
      <c r="H19" s="178">
        <f>SUMIF('IE Data Entry'!$B$10:$B$24,'IE SUMMARY'!$T19,'IE Data Entry'!J$10:J$24)</f>
        <v>0</v>
      </c>
      <c r="I19" s="179">
        <f>+Proforma!F48*12</f>
        <v>11494</v>
      </c>
      <c r="J19" s="656">
        <f t="shared" si="1"/>
        <v>11494</v>
      </c>
      <c r="K19" s="493"/>
      <c r="L19" s="172" t="str">
        <f>IF(ISERROR((+(G21-E21)/E21)),"",(+(G21-E21)/E21))</f>
        <v/>
      </c>
      <c r="M19" s="180"/>
      <c r="N19" s="172"/>
      <c r="P19" s="173"/>
      <c r="Q19" s="172"/>
      <c r="R19" s="172"/>
      <c r="S19" s="172"/>
      <c r="T19" s="176">
        <v>4402</v>
      </c>
      <c r="U19" s="172"/>
      <c r="V19" s="172"/>
    </row>
    <row r="20" spans="1:22" x14ac:dyDescent="0.2">
      <c r="A20" s="569" t="s">
        <v>263</v>
      </c>
      <c r="B20" s="178">
        <f>SUMIF('IE Data Entry'!$B$10:$B$24,'IE SUMMARY'!$T20,'IE Data Entry'!C$10:C$24)</f>
        <v>0</v>
      </c>
      <c r="C20" s="178">
        <f>SUMIF('IE Data Entry'!$B$10:$B$24,'IE SUMMARY'!$T20,'IE Data Entry'!D$10:D$24)</f>
        <v>0</v>
      </c>
      <c r="D20" s="178">
        <f>SUMIF('IE Data Entry'!$B$10:$B$24,'IE SUMMARY'!$T20,'IE Data Entry'!E$10:E$24)</f>
        <v>0</v>
      </c>
      <c r="E20" s="178">
        <f>SUMIF('IE Data Entry'!$B$10:$B$24,'IE SUMMARY'!$T20,'IE Data Entry'!F$10:F$24)</f>
        <v>0</v>
      </c>
      <c r="F20" s="178">
        <f>SUMIF('IE Data Entry'!$B$10:$B$24,'IE SUMMARY'!$T20,'IE Data Entry'!H$10:H$24)</f>
        <v>0</v>
      </c>
      <c r="G20" s="178">
        <f>SUMIF('IE Data Entry'!$B$10:$B$24,'IE SUMMARY'!$T20,'IE Data Entry'!I$10:I$24)</f>
        <v>0</v>
      </c>
      <c r="H20" s="178">
        <f>SUMIF('IE Data Entry'!$B$10:$B$24,'IE SUMMARY'!$T20,'IE Data Entry'!J$10:J$24)</f>
        <v>0</v>
      </c>
      <c r="I20" s="181">
        <f>+Proforma!F49*12</f>
        <v>0</v>
      </c>
      <c r="J20" s="656">
        <f t="shared" si="1"/>
        <v>0</v>
      </c>
      <c r="K20" s="493"/>
      <c r="L20" s="182" t="str">
        <f>IF(ISERROR((+(G21-F21)/F21)),"",(+(G21-F21)/F21))</f>
        <v/>
      </c>
      <c r="M20" s="180"/>
      <c r="N20" s="172"/>
      <c r="P20" s="173"/>
      <c r="Q20" s="172"/>
      <c r="R20" s="172"/>
      <c r="S20" s="172"/>
      <c r="T20" s="176">
        <v>4998</v>
      </c>
      <c r="U20" s="172"/>
      <c r="V20" s="172"/>
    </row>
    <row r="21" spans="1:22" x14ac:dyDescent="0.2">
      <c r="A21" s="183" t="s">
        <v>264</v>
      </c>
      <c r="B21" s="747">
        <f>SUM(B15:B20)</f>
        <v>0</v>
      </c>
      <c r="C21" s="747">
        <f t="shared" ref="C21:G21" si="4">SUM(C15:C20)</f>
        <v>0</v>
      </c>
      <c r="D21" s="747">
        <f t="shared" si="4"/>
        <v>0</v>
      </c>
      <c r="E21" s="747">
        <f t="shared" si="4"/>
        <v>0</v>
      </c>
      <c r="F21" s="747">
        <f t="shared" si="4"/>
        <v>0</v>
      </c>
      <c r="G21" s="747">
        <f t="shared" si="4"/>
        <v>0</v>
      </c>
      <c r="H21" s="747">
        <f t="shared" ref="H21" si="5">SUM(H15:H20)</f>
        <v>0</v>
      </c>
      <c r="I21" s="747">
        <f>SUM(I15:I20)</f>
        <v>26134</v>
      </c>
      <c r="J21" s="656">
        <f t="shared" si="1"/>
        <v>26134</v>
      </c>
      <c r="K21" s="493"/>
      <c r="L21" s="182" t="str">
        <f>IF(ISERROR((+(G21-D21)/D21)),"",(+(G21-D21)/D21))</f>
        <v/>
      </c>
      <c r="M21" s="180"/>
      <c r="N21" s="172"/>
      <c r="P21" s="188"/>
      <c r="Q21" s="172"/>
      <c r="R21" s="172"/>
      <c r="S21" s="172"/>
      <c r="T21" s="176"/>
      <c r="U21" s="172"/>
      <c r="V21" s="172"/>
    </row>
    <row r="22" spans="1:22" x14ac:dyDescent="0.2">
      <c r="A22" s="185" t="s">
        <v>464</v>
      </c>
      <c r="B22" s="180"/>
      <c r="C22" s="182" t="str">
        <f>IF(ISERROR((+(C21-B21)/B21)),"",(+(C21-B21)/B21))</f>
        <v/>
      </c>
      <c r="D22" s="182" t="str">
        <f>IF(ISERROR((+(D21-C21)/C21)),"",(+(D21-C21)/C21))</f>
        <v/>
      </c>
      <c r="E22" s="182" t="str">
        <f>IF(ISERROR((+(E21-D21)/D21)),"",(+(E21-D21)/D21))</f>
        <v/>
      </c>
      <c r="F22" s="182" t="str">
        <f>IF(ISERROR((+(F21-D21)/D21)),"",(+(F21-D21)/D21))</f>
        <v/>
      </c>
      <c r="G22" s="182"/>
      <c r="H22" s="182"/>
      <c r="J22" s="509"/>
      <c r="M22" s="172"/>
      <c r="N22" s="172"/>
      <c r="O22" s="182"/>
      <c r="P22" s="173"/>
      <c r="Q22" s="172"/>
      <c r="R22" s="172"/>
      <c r="S22" s="172"/>
      <c r="T22" s="176"/>
      <c r="U22" s="172"/>
      <c r="V22" s="172"/>
    </row>
    <row r="23" spans="1:22" ht="6.75" customHeight="1" x14ac:dyDescent="0.2">
      <c r="A23" s="185"/>
      <c r="B23" s="180"/>
      <c r="C23" s="182"/>
      <c r="D23" s="182"/>
      <c r="E23" s="182"/>
      <c r="F23" s="182"/>
      <c r="G23" s="182"/>
      <c r="H23" s="182"/>
      <c r="I23" s="182"/>
      <c r="J23" s="509"/>
      <c r="K23" s="182"/>
      <c r="L23" s="180"/>
      <c r="M23" s="172"/>
      <c r="N23" s="172"/>
      <c r="O23" s="182"/>
      <c r="P23" s="173"/>
      <c r="Q23" s="172"/>
      <c r="R23" s="172"/>
      <c r="S23" s="172"/>
      <c r="T23" s="176"/>
      <c r="U23" s="172"/>
      <c r="V23" s="172"/>
    </row>
    <row r="24" spans="1:22" x14ac:dyDescent="0.2">
      <c r="A24" s="569" t="s">
        <v>465</v>
      </c>
      <c r="B24" s="178">
        <f>SUMIF('IE Data Entry'!$B$10:$B$24,'IE SUMMARY'!$T24,'IE Data Entry'!C$10:C$24)</f>
        <v>0</v>
      </c>
      <c r="C24" s="178">
        <f>SUMIF('IE Data Entry'!$B$10:$B$24,'IE SUMMARY'!$T24,'IE Data Entry'!D$10:D$24)</f>
        <v>0</v>
      </c>
      <c r="D24" s="178">
        <f>SUMIF('IE Data Entry'!$B$10:$B$24,'IE SUMMARY'!$T24,'IE Data Entry'!E$10:E$24)</f>
        <v>0</v>
      </c>
      <c r="E24" s="178">
        <f>SUMIF('IE Data Entry'!$B$10:$B$24,'IE SUMMARY'!$T24,'IE Data Entry'!F$10:F$24)</f>
        <v>0</v>
      </c>
      <c r="F24" s="178">
        <f>SUMIF('IE Data Entry'!$B$10:$B$24,'IE SUMMARY'!$T24,'IE Data Entry'!H$10:H$24)</f>
        <v>0</v>
      </c>
      <c r="G24" s="178">
        <f>SUMIF('IE Data Entry'!$B$10:$B$24,'IE SUMMARY'!$T24,'IE Data Entry'!I$10:I$24)</f>
        <v>0</v>
      </c>
      <c r="H24" s="178">
        <f>SUMIF('IE Data Entry'!$B$10:$B$24,'IE SUMMARY'!$T24,'IE Data Entry'!J$10:J$24)</f>
        <v>0</v>
      </c>
      <c r="I24" s="189">
        <f>+Proforma!F51*12</f>
        <v>0</v>
      </c>
      <c r="J24" s="504">
        <f t="shared" si="1"/>
        <v>0</v>
      </c>
      <c r="K24" s="178"/>
      <c r="L24" s="180"/>
      <c r="M24" s="172"/>
      <c r="N24" s="172"/>
      <c r="P24" s="173"/>
      <c r="Q24" s="172"/>
      <c r="R24" s="172"/>
      <c r="S24" s="172"/>
      <c r="T24" s="176">
        <v>4134</v>
      </c>
      <c r="U24" s="172"/>
      <c r="V24" s="172"/>
    </row>
    <row r="25" spans="1:22" ht="9" customHeight="1" x14ac:dyDescent="0.2">
      <c r="A25" s="569"/>
      <c r="B25" s="178"/>
      <c r="C25" s="178"/>
      <c r="D25" s="178"/>
      <c r="E25" s="178"/>
      <c r="F25" s="178"/>
      <c r="G25" s="178"/>
      <c r="H25" s="178"/>
      <c r="I25" s="178"/>
      <c r="J25" s="509"/>
      <c r="K25" s="178"/>
      <c r="L25" s="172" t="str">
        <f>IF(ISERROR((+(G27-E27)/E27)),"",(+(G27-E27)/E27))</f>
        <v/>
      </c>
      <c r="M25" s="180"/>
      <c r="N25" s="172"/>
      <c r="P25" s="173"/>
      <c r="Q25" s="172"/>
      <c r="R25" s="172"/>
      <c r="S25" s="172"/>
      <c r="T25" s="176"/>
      <c r="U25" s="172"/>
      <c r="V25" s="172"/>
    </row>
    <row r="26" spans="1:22" x14ac:dyDescent="0.2">
      <c r="A26" s="187" t="s">
        <v>466</v>
      </c>
      <c r="B26" s="646">
        <f>+B11+B21+B24</f>
        <v>0</v>
      </c>
      <c r="C26" s="646">
        <f t="shared" ref="C26:I26" si="6">+C11+C21+C24</f>
        <v>0</v>
      </c>
      <c r="D26" s="646">
        <f t="shared" si="6"/>
        <v>0</v>
      </c>
      <c r="E26" s="646">
        <f t="shared" si="6"/>
        <v>0</v>
      </c>
      <c r="F26" s="646">
        <f t="shared" si="6"/>
        <v>0</v>
      </c>
      <c r="G26" s="646">
        <f t="shared" si="6"/>
        <v>0</v>
      </c>
      <c r="H26" s="646">
        <f t="shared" ref="H26" si="7">+H11+H21+H24</f>
        <v>0</v>
      </c>
      <c r="I26" s="646">
        <f t="shared" si="6"/>
        <v>439714</v>
      </c>
      <c r="J26" s="504">
        <f t="shared" si="1"/>
        <v>439714</v>
      </c>
      <c r="K26" s="493"/>
      <c r="L26" s="182" t="str">
        <f>IF(ISERROR((+(G26-F26)/F26)),"",(+(G26-F26)/F26))</f>
        <v/>
      </c>
      <c r="M26" s="180"/>
      <c r="N26" s="172"/>
      <c r="P26" s="173"/>
      <c r="Q26" s="172"/>
      <c r="R26" s="172"/>
      <c r="S26" s="172"/>
      <c r="T26" s="176"/>
      <c r="U26" s="172"/>
      <c r="V26" s="172"/>
    </row>
    <row r="27" spans="1:22" x14ac:dyDescent="0.2">
      <c r="A27" s="185" t="s">
        <v>464</v>
      </c>
      <c r="B27" s="180"/>
      <c r="C27" s="182" t="str">
        <f>IF(ISERROR((+(C26-B26)/B26)),"",(+(C26-B26)/B26))</f>
        <v/>
      </c>
      <c r="D27" s="182" t="str">
        <f>IF(ISERROR((+(D26-C26)/C26)),"",(+(D26-C26)/C26))</f>
        <v/>
      </c>
      <c r="E27" s="182" t="str">
        <f>IF(ISERROR((+(E26-D26)/D26)),"",(+(E26-D26)/D26))</f>
        <v/>
      </c>
      <c r="F27" s="182" t="str">
        <f>IF(ISERROR((+(F26-D26)/D26)),"",(+(F26-D26)/D26))</f>
        <v/>
      </c>
      <c r="G27" s="182"/>
      <c r="H27" s="182"/>
      <c r="J27" s="509"/>
      <c r="L27" s="182" t="str">
        <f>IF(ISERROR((+(G26-D26)/D26)),"",(+(G26-D26)/D26))</f>
        <v/>
      </c>
      <c r="M27" s="180"/>
      <c r="N27" s="172"/>
      <c r="O27" s="182"/>
      <c r="P27" s="172"/>
      <c r="Q27" s="172"/>
      <c r="R27" s="172"/>
      <c r="S27" s="172"/>
      <c r="T27" s="176"/>
      <c r="U27" s="172"/>
      <c r="V27" s="172"/>
    </row>
    <row r="28" spans="1:22" ht="10" customHeight="1" x14ac:dyDescent="0.2">
      <c r="A28" s="569"/>
      <c r="B28" s="152"/>
      <c r="C28" s="152"/>
      <c r="D28" s="152"/>
      <c r="E28" s="152"/>
      <c r="F28" s="152"/>
      <c r="G28" s="172"/>
      <c r="H28" s="172"/>
      <c r="I28" s="182"/>
      <c r="J28" s="509"/>
      <c r="K28" s="182"/>
      <c r="L28" s="190"/>
      <c r="M28" s="173"/>
      <c r="N28" s="173"/>
      <c r="O28" s="173"/>
      <c r="P28" s="173"/>
      <c r="Q28" s="173"/>
      <c r="R28" s="173"/>
      <c r="S28" s="173"/>
      <c r="T28" s="174"/>
      <c r="U28" s="172"/>
      <c r="V28" s="172"/>
    </row>
    <row r="29" spans="1:22" x14ac:dyDescent="0.2">
      <c r="A29" s="770" t="s">
        <v>467</v>
      </c>
      <c r="B29" s="770"/>
      <c r="C29" s="770"/>
      <c r="D29" s="770"/>
      <c r="E29" s="770"/>
      <c r="F29" s="770"/>
      <c r="G29" s="770"/>
      <c r="H29" s="649"/>
      <c r="I29" s="172"/>
      <c r="J29" s="509"/>
      <c r="K29" s="172"/>
      <c r="L29" s="173"/>
      <c r="M29" s="173"/>
      <c r="N29" s="173"/>
      <c r="O29" s="173"/>
      <c r="P29" s="173"/>
      <c r="Q29" s="173"/>
      <c r="R29" s="173"/>
      <c r="S29" s="173"/>
      <c r="T29" s="172"/>
      <c r="U29" s="172"/>
      <c r="V29" s="172"/>
    </row>
    <row r="30" spans="1:22" ht="15" customHeight="1" x14ac:dyDescent="0.2">
      <c r="A30" s="160"/>
      <c r="B30" s="161"/>
      <c r="C30" s="161"/>
      <c r="D30" s="161"/>
      <c r="E30" s="161"/>
      <c r="I30" s="161"/>
      <c r="J30" s="499" t="s">
        <v>457</v>
      </c>
      <c r="K30" s="161"/>
      <c r="L30" s="191"/>
      <c r="M30" s="191"/>
      <c r="N30" s="191"/>
      <c r="O30" s="175"/>
      <c r="P30" s="191"/>
      <c r="Q30" s="191"/>
      <c r="R30" s="191"/>
      <c r="S30" s="191"/>
    </row>
    <row r="31" spans="1:22" ht="19.5" customHeight="1" thickBot="1" x14ac:dyDescent="0.25">
      <c r="A31" s="160" t="s">
        <v>468</v>
      </c>
      <c r="B31" s="162">
        <f>+'IE Data Entry'!C29</f>
        <v>2022</v>
      </c>
      <c r="C31" s="162">
        <f>+'IE Data Entry'!D29</f>
        <v>2023</v>
      </c>
      <c r="D31" s="162">
        <f>+'IE Data Entry'!E29</f>
        <v>2024</v>
      </c>
      <c r="E31" s="162" t="str">
        <f>+'IE Data Entry'!F29</f>
        <v>Trailing 12</v>
      </c>
      <c r="F31" s="192" t="str">
        <f>Current_Year&amp;" Annualized"</f>
        <v>2025 Annualized</v>
      </c>
      <c r="G31" s="192" t="s">
        <v>454</v>
      </c>
      <c r="H31" s="192" t="s">
        <v>455</v>
      </c>
      <c r="I31" s="162" t="s">
        <v>469</v>
      </c>
      <c r="J31" s="500" t="s">
        <v>470</v>
      </c>
      <c r="K31" s="161"/>
      <c r="L31" s="191"/>
      <c r="M31" s="691" t="s">
        <v>460</v>
      </c>
      <c r="N31" s="191"/>
      <c r="O31" s="175"/>
      <c r="P31" s="191"/>
      <c r="Q31" s="191"/>
      <c r="R31" s="191"/>
      <c r="S31" s="191"/>
      <c r="T31" s="174" t="s">
        <v>471</v>
      </c>
    </row>
    <row r="32" spans="1:22" ht="16" thickBot="1" x14ac:dyDescent="0.25">
      <c r="A32" s="570" t="s">
        <v>472</v>
      </c>
      <c r="B32" s="193">
        <f>SUMIF('IE Data Entry'!$B$30:$B$100,'IE SUMMARY'!$T32,'IE Data Entry'!C$30:C$100)</f>
        <v>0</v>
      </c>
      <c r="C32" s="193">
        <f>SUMIF('IE Data Entry'!$B$30:$B$100,'IE SUMMARY'!$T32,'IE Data Entry'!D$30:D$100)</f>
        <v>0</v>
      </c>
      <c r="D32" s="193">
        <f>SUMIF('IE Data Entry'!$B$30:$B$100,'IE SUMMARY'!$T32,'IE Data Entry'!E$30:E$100)</f>
        <v>25898</v>
      </c>
      <c r="E32" s="193">
        <f>SUMIF('IE Data Entry'!$B$30:$B$100,'IE SUMMARY'!$T32,'IE Data Entry'!F$30:F$100)</f>
        <v>0</v>
      </c>
      <c r="F32" s="193">
        <f>SUMIF('IE Data Entry'!$B$30:$B$100,'IE SUMMARY'!$T32,'IE Data Entry'!H$30:H$100)</f>
        <v>0</v>
      </c>
      <c r="G32" s="193">
        <f>SUMIF('IE Data Entry'!$B$30:$B$100,'IE SUMMARY'!$T32,'IE Data Entry'!I$30:I$100)</f>
        <v>0</v>
      </c>
      <c r="H32" s="193">
        <f>SUMIF('IE Data Entry'!$B$30:$B$100,'IE SUMMARY'!$T32,'IE Data Entry'!J$30:J$100)</f>
        <v>40000</v>
      </c>
      <c r="I32" s="194">
        <f ca="1">+Proforma!F56*12</f>
        <v>25898</v>
      </c>
      <c r="J32" s="656">
        <f t="shared" ref="J32:J61" ca="1" si="8">IFERROR(I32-(AVERAGEIF(B32:G32,"&gt;0",B32:G32)),I32)</f>
        <v>0</v>
      </c>
      <c r="K32" s="199"/>
      <c r="L32" s="195"/>
      <c r="M32" s="693"/>
      <c r="N32" s="195"/>
      <c r="O32" s="175"/>
      <c r="P32" s="195"/>
      <c r="Q32" s="195"/>
      <c r="R32" s="195"/>
      <c r="S32" s="195"/>
      <c r="T32" s="176">
        <v>5701</v>
      </c>
    </row>
    <row r="33" spans="1:20" x14ac:dyDescent="0.2">
      <c r="A33" s="570" t="s">
        <v>277</v>
      </c>
      <c r="B33" s="196">
        <f>SUMIF('IE Data Entry'!$B$30:$B$100,'IE SUMMARY'!$T33,'IE Data Entry'!C$30:C$100)</f>
        <v>0</v>
      </c>
      <c r="C33" s="196">
        <f>SUMIF('IE Data Entry'!$B$30:$B$100,'IE SUMMARY'!$T33,'IE Data Entry'!D$30:D$100)</f>
        <v>0</v>
      </c>
      <c r="D33" s="196">
        <f>SUMIF('IE Data Entry'!$B$30:$B$100,'IE SUMMARY'!$T33,'IE Data Entry'!E$30:E$100)</f>
        <v>0</v>
      </c>
      <c r="E33" s="196">
        <f>SUMIF('IE Data Entry'!$B$30:$B$100,'IE SUMMARY'!$T33,'IE Data Entry'!F$30:F$100)</f>
        <v>0</v>
      </c>
      <c r="F33" s="196">
        <f>SUMIF('IE Data Entry'!$B$30:$B$100,'IE SUMMARY'!$T33,'IE Data Entry'!H$30:H$100)</f>
        <v>0</v>
      </c>
      <c r="G33" s="196">
        <f>SUMIF('IE Data Entry'!$B$30:$B$100,'IE SUMMARY'!$T33,'IE Data Entry'!I$30:I$100)</f>
        <v>0</v>
      </c>
      <c r="H33" s="196">
        <f>SUMIF('IE Data Entry'!$B$30:$B$100,'IE SUMMARY'!$T33,'IE Data Entry'!J$30:J$100)</f>
        <v>680</v>
      </c>
      <c r="I33" s="197">
        <f ca="1">+Proforma!F57*12</f>
        <v>4402.6600000000008</v>
      </c>
      <c r="J33" s="656">
        <f t="shared" ca="1" si="8"/>
        <v>4402.6600000000008</v>
      </c>
      <c r="K33" s="199"/>
      <c r="L33" s="195"/>
      <c r="M33" s="195"/>
      <c r="N33" s="195"/>
      <c r="O33" s="175"/>
      <c r="P33" s="195"/>
      <c r="Q33" s="195"/>
      <c r="R33" s="195"/>
      <c r="S33" s="195"/>
      <c r="T33" s="176">
        <v>5305</v>
      </c>
    </row>
    <row r="34" spans="1:20" x14ac:dyDescent="0.2">
      <c r="A34" s="570" t="s">
        <v>278</v>
      </c>
      <c r="B34" s="196">
        <f>SUMIF('IE Data Entry'!$B$30:$B$100,'IE SUMMARY'!$T34,'IE Data Entry'!C$30:C$100)</f>
        <v>0</v>
      </c>
      <c r="C34" s="196">
        <f>SUMIF('IE Data Entry'!$B$30:$B$100,'IE SUMMARY'!$T34,'IE Data Entry'!D$30:D$100)</f>
        <v>0</v>
      </c>
      <c r="D34" s="196">
        <f>SUMIF('IE Data Entry'!$B$30:$B$100,'IE SUMMARY'!$T34,'IE Data Entry'!E$30:E$100)</f>
        <v>0</v>
      </c>
      <c r="E34" s="196">
        <f>SUMIF('IE Data Entry'!$B$30:$B$100,'IE SUMMARY'!$T34,'IE Data Entry'!F$30:F$100)</f>
        <v>0</v>
      </c>
      <c r="F34" s="196">
        <f>SUMIF('IE Data Entry'!$B$30:$B$100,'IE SUMMARY'!$T34,'IE Data Entry'!H$30:H$100)</f>
        <v>0</v>
      </c>
      <c r="G34" s="196">
        <f>SUMIF('IE Data Entry'!$B$30:$B$100,'IE SUMMARY'!$T34,'IE Data Entry'!I$30:I$100)</f>
        <v>0</v>
      </c>
      <c r="H34" s="196">
        <f>SUMIF('IE Data Entry'!$B$30:$B$100,'IE SUMMARY'!$T34,'IE Data Entry'!J$30:J$100)</f>
        <v>2400</v>
      </c>
      <c r="I34" s="197">
        <f ca="1">+Proforma!F58*12</f>
        <v>1553.8799999999997</v>
      </c>
      <c r="J34" s="656">
        <f t="shared" ca="1" si="8"/>
        <v>1553.8799999999997</v>
      </c>
      <c r="K34" s="199"/>
      <c r="L34" s="195"/>
      <c r="M34" s="195"/>
      <c r="N34" s="195"/>
      <c r="O34" s="175"/>
      <c r="P34" s="195"/>
      <c r="Q34" s="195"/>
      <c r="R34" s="195"/>
      <c r="S34" s="195"/>
      <c r="T34" s="176">
        <v>5306</v>
      </c>
    </row>
    <row r="35" spans="1:20" x14ac:dyDescent="0.2">
      <c r="A35" s="570" t="s">
        <v>260</v>
      </c>
      <c r="B35" s="196">
        <f>SUMIF('IE Data Entry'!$B$30:$B$100,'IE SUMMARY'!$T35,'IE Data Entry'!C$30:C$100)</f>
        <v>0</v>
      </c>
      <c r="C35" s="196">
        <f>SUMIF('IE Data Entry'!$B$30:$B$100,'IE SUMMARY'!$T35,'IE Data Entry'!D$30:D$100)</f>
        <v>0</v>
      </c>
      <c r="D35" s="196">
        <f>SUMIF('IE Data Entry'!$B$30:$B$100,'IE SUMMARY'!$T35,'IE Data Entry'!E$30:E$100)</f>
        <v>2793</v>
      </c>
      <c r="E35" s="196">
        <f>SUMIF('IE Data Entry'!$B$30:$B$100,'IE SUMMARY'!$T35,'IE Data Entry'!F$30:F$100)</f>
        <v>0</v>
      </c>
      <c r="F35" s="196">
        <f>SUMIF('IE Data Entry'!$B$30:$B$100,'IE SUMMARY'!$T35,'IE Data Entry'!H$30:H$100)</f>
        <v>0</v>
      </c>
      <c r="G35" s="196">
        <f>SUMIF('IE Data Entry'!$B$30:$B$100,'IE SUMMARY'!$T35,'IE Data Entry'!I$30:I$100)</f>
        <v>0</v>
      </c>
      <c r="H35" s="196">
        <f>SUMIF('IE Data Entry'!$B$30:$B$100,'IE SUMMARY'!$T35,'IE Data Entry'!J$30:J$100)</f>
        <v>0</v>
      </c>
      <c r="I35" s="197">
        <f ca="1">+Proforma!F59*12</f>
        <v>2848.86</v>
      </c>
      <c r="J35" s="656">
        <f t="shared" ca="1" si="8"/>
        <v>55.860000000000127</v>
      </c>
      <c r="K35" s="199"/>
      <c r="L35" s="195"/>
      <c r="M35" s="195"/>
      <c r="N35" s="195"/>
      <c r="O35" s="175"/>
      <c r="P35" s="195"/>
      <c r="Q35" s="195"/>
      <c r="R35" s="195"/>
      <c r="S35" s="195"/>
      <c r="T35" s="176">
        <v>5404</v>
      </c>
    </row>
    <row r="36" spans="1:20" x14ac:dyDescent="0.2">
      <c r="A36" s="570" t="s">
        <v>279</v>
      </c>
      <c r="B36" s="196">
        <f>SUMIF('IE Data Entry'!$B$30:$B$100,'IE SUMMARY'!$T36,'IE Data Entry'!C$30:C$100)</f>
        <v>0</v>
      </c>
      <c r="C36" s="196">
        <f>SUMIF('IE Data Entry'!$B$30:$B$100,'IE SUMMARY'!$T36,'IE Data Entry'!D$30:D$100)</f>
        <v>0</v>
      </c>
      <c r="D36" s="196">
        <f>SUMIF('IE Data Entry'!$B$30:$B$100,'IE SUMMARY'!$T36,'IE Data Entry'!E$30:E$100)</f>
        <v>0</v>
      </c>
      <c r="E36" s="196">
        <f>SUMIF('IE Data Entry'!$B$30:$B$100,'IE SUMMARY'!$T36,'IE Data Entry'!F$30:F$100)</f>
        <v>0</v>
      </c>
      <c r="F36" s="196">
        <f>SUMIF('IE Data Entry'!$B$30:$B$100,'IE SUMMARY'!$T36,'IE Data Entry'!H$30:H$100)</f>
        <v>0</v>
      </c>
      <c r="G36" s="196">
        <f>SUMIF('IE Data Entry'!$B$30:$B$100,'IE SUMMARY'!$T36,'IE Data Entry'!I$30:I$100)</f>
        <v>0</v>
      </c>
      <c r="H36" s="196">
        <f>SUMIF('IE Data Entry'!$B$30:$B$100,'IE SUMMARY'!$T36,'IE Data Entry'!J$30:J$100)</f>
        <v>0</v>
      </c>
      <c r="I36" s="197">
        <f ca="1">+Proforma!F60*12</f>
        <v>0</v>
      </c>
      <c r="J36" s="656">
        <f t="shared" ca="1" si="8"/>
        <v>0</v>
      </c>
      <c r="K36" s="199"/>
      <c r="L36" s="195"/>
      <c r="M36" s="195"/>
      <c r="N36" s="195"/>
      <c r="O36" s="175"/>
      <c r="P36" s="195"/>
      <c r="Q36" s="195"/>
      <c r="R36" s="195"/>
      <c r="S36" s="195"/>
      <c r="T36" s="176">
        <v>5401</v>
      </c>
    </row>
    <row r="37" spans="1:20" x14ac:dyDescent="0.2">
      <c r="A37" s="570" t="s">
        <v>262</v>
      </c>
      <c r="B37" s="196">
        <f>SUMIF('IE Data Entry'!$B$30:$B$100,'IE SUMMARY'!$T37,'IE Data Entry'!C$30:C$100)</f>
        <v>0</v>
      </c>
      <c r="C37" s="196">
        <f>SUMIF('IE Data Entry'!$B$30:$B$100,'IE SUMMARY'!$T37,'IE Data Entry'!D$30:D$100)</f>
        <v>0</v>
      </c>
      <c r="D37" s="196">
        <f>SUMIF('IE Data Entry'!$B$30:$B$100,'IE SUMMARY'!$T37,'IE Data Entry'!E$30:E$100)</f>
        <v>13332</v>
      </c>
      <c r="E37" s="196">
        <f>SUMIF('IE Data Entry'!$B$30:$B$100,'IE SUMMARY'!$T37,'IE Data Entry'!F$30:F$100)</f>
        <v>0</v>
      </c>
      <c r="F37" s="196">
        <f>SUMIF('IE Data Entry'!$B$30:$B$100,'IE SUMMARY'!$T37,'IE Data Entry'!H$30:H$100)</f>
        <v>0</v>
      </c>
      <c r="G37" s="196">
        <f>SUMIF('IE Data Entry'!$B$30:$B$100,'IE SUMMARY'!$T37,'IE Data Entry'!I$30:I$100)</f>
        <v>0</v>
      </c>
      <c r="H37" s="196">
        <f>SUMIF('IE Data Entry'!$B$30:$B$100,'IE SUMMARY'!$T37,'IE Data Entry'!J$30:J$100)</f>
        <v>0</v>
      </c>
      <c r="I37" s="197">
        <f ca="1">+Proforma!F61*12</f>
        <v>13598.64</v>
      </c>
      <c r="J37" s="656">
        <f t="shared" ca="1" si="8"/>
        <v>266.63999999999942</v>
      </c>
      <c r="K37" s="199"/>
      <c r="L37" s="195"/>
      <c r="M37" s="195"/>
      <c r="N37" s="195"/>
      <c r="O37" s="175"/>
      <c r="P37" s="195"/>
      <c r="Q37" s="195"/>
      <c r="R37" s="195"/>
      <c r="S37" s="195"/>
      <c r="T37" s="176">
        <v>5405</v>
      </c>
    </row>
    <row r="38" spans="1:20" x14ac:dyDescent="0.2">
      <c r="A38" s="570" t="s">
        <v>280</v>
      </c>
      <c r="B38" s="196">
        <f>SUMIF('IE Data Entry'!$B$30:$B$100,'IE SUMMARY'!$T38,'IE Data Entry'!C$30:C$100)</f>
        <v>0</v>
      </c>
      <c r="C38" s="196">
        <f>SUMIF('IE Data Entry'!$B$30:$B$100,'IE SUMMARY'!$T38,'IE Data Entry'!D$30:D$100)</f>
        <v>0</v>
      </c>
      <c r="D38" s="196">
        <f>SUMIF('IE Data Entry'!$B$30:$B$100,'IE SUMMARY'!$T38,'IE Data Entry'!E$30:E$100)</f>
        <v>0</v>
      </c>
      <c r="E38" s="196">
        <f>SUMIF('IE Data Entry'!$B$30:$B$100,'IE SUMMARY'!$T38,'IE Data Entry'!F$30:F$100)</f>
        <v>0</v>
      </c>
      <c r="F38" s="196">
        <f>SUMIF('IE Data Entry'!$B$30:$B$100,'IE SUMMARY'!$T38,'IE Data Entry'!H$30:H$100)</f>
        <v>0</v>
      </c>
      <c r="G38" s="196">
        <f>SUMIF('IE Data Entry'!$B$30:$B$100,'IE SUMMARY'!$T38,'IE Data Entry'!I$30:I$100)</f>
        <v>0</v>
      </c>
      <c r="H38" s="196">
        <f>SUMIF('IE Data Entry'!$B$30:$B$100,'IE SUMMARY'!$T38,'IE Data Entry'!J$30:J$100)</f>
        <v>0</v>
      </c>
      <c r="I38" s="197">
        <f ca="1">+Proforma!F62*12</f>
        <v>0</v>
      </c>
      <c r="J38" s="656">
        <f t="shared" ca="1" si="8"/>
        <v>0</v>
      </c>
      <c r="K38" s="199"/>
      <c r="L38" s="195"/>
      <c r="M38" s="195"/>
      <c r="N38" s="195"/>
      <c r="O38" s="175"/>
      <c r="P38" s="195"/>
      <c r="Q38" s="195"/>
      <c r="R38" s="195"/>
      <c r="S38" s="195"/>
      <c r="T38" s="176">
        <v>5403</v>
      </c>
    </row>
    <row r="39" spans="1:20" x14ac:dyDescent="0.2">
      <c r="A39" s="570" t="s">
        <v>281</v>
      </c>
      <c r="B39" s="196">
        <f>SUMIF('IE Data Entry'!$B$30:$B$100,'IE SUMMARY'!$T39,'IE Data Entry'!C$30:C$100)</f>
        <v>0</v>
      </c>
      <c r="C39" s="196">
        <f>SUMIF('IE Data Entry'!$B$30:$B$100,'IE SUMMARY'!$T39,'IE Data Entry'!D$30:D$100)</f>
        <v>0</v>
      </c>
      <c r="D39" s="196">
        <f>SUMIF('IE Data Entry'!$B$30:$B$100,'IE SUMMARY'!$T39,'IE Data Entry'!E$30:E$100)</f>
        <v>10707</v>
      </c>
      <c r="E39" s="196">
        <f>SUMIF('IE Data Entry'!$B$30:$B$100,'IE SUMMARY'!$T39,'IE Data Entry'!F$30:F$100)</f>
        <v>0</v>
      </c>
      <c r="F39" s="196">
        <f>SUMIF('IE Data Entry'!$B$30:$B$100,'IE SUMMARY'!$T39,'IE Data Entry'!H$30:H$100)</f>
        <v>0</v>
      </c>
      <c r="G39" s="196">
        <f>SUMIF('IE Data Entry'!$B$30:$B$100,'IE SUMMARY'!$T39,'IE Data Entry'!I$30:I$100)</f>
        <v>0</v>
      </c>
      <c r="H39" s="196">
        <f>SUMIF('IE Data Entry'!$B$30:$B$100,'IE SUMMARY'!$T39,'IE Data Entry'!J$30:J$100)</f>
        <v>0</v>
      </c>
      <c r="I39" s="197">
        <f ca="1">+Proforma!F63*12</f>
        <v>10921.14</v>
      </c>
      <c r="J39" s="656">
        <f t="shared" ca="1" si="8"/>
        <v>214.13999999999942</v>
      </c>
      <c r="K39" s="199"/>
      <c r="L39" s="195"/>
      <c r="M39" s="195"/>
      <c r="N39" s="195"/>
      <c r="O39" s="175"/>
      <c r="P39" s="195"/>
      <c r="Q39" s="195"/>
      <c r="R39" s="195"/>
      <c r="S39" s="195"/>
      <c r="T39" s="176">
        <v>5402</v>
      </c>
    </row>
    <row r="40" spans="1:20" x14ac:dyDescent="0.2">
      <c r="A40" s="570" t="s">
        <v>282</v>
      </c>
      <c r="B40" s="196">
        <f>SUMIF('IE Data Entry'!$B$30:$B$100,'IE SUMMARY'!$T40,'IE Data Entry'!C$30:C$100)</f>
        <v>0</v>
      </c>
      <c r="C40" s="196">
        <f>SUMIF('IE Data Entry'!$B$30:$B$100,'IE SUMMARY'!$T40,'IE Data Entry'!D$30:D$100)</f>
        <v>0</v>
      </c>
      <c r="D40" s="196">
        <f>SUMIF('IE Data Entry'!$B$30:$B$100,'IE SUMMARY'!$T40,'IE Data Entry'!E$30:E$100)</f>
        <v>0</v>
      </c>
      <c r="E40" s="196">
        <f>SUMIF('IE Data Entry'!$B$30:$B$100,'IE SUMMARY'!$T40,'IE Data Entry'!F$30:F$100)</f>
        <v>0</v>
      </c>
      <c r="F40" s="196">
        <f>SUMIF('IE Data Entry'!$B$30:$B$100,'IE SUMMARY'!$T40,'IE Data Entry'!H$30:H$100)</f>
        <v>0</v>
      </c>
      <c r="G40" s="196">
        <f>SUMIF('IE Data Entry'!$B$30:$B$100,'IE SUMMARY'!$T40,'IE Data Entry'!I$30:I$100)</f>
        <v>0</v>
      </c>
      <c r="H40" s="196">
        <f>SUMIF('IE Data Entry'!$B$30:$B$100,'IE SUMMARY'!$T40,'IE Data Entry'!J$30:J$100)</f>
        <v>0</v>
      </c>
      <c r="I40" s="197">
        <f>+Proforma!F64*12</f>
        <v>4000</v>
      </c>
      <c r="J40" s="656">
        <f t="shared" si="8"/>
        <v>4000</v>
      </c>
      <c r="K40" s="199"/>
      <c r="L40" s="195"/>
      <c r="M40" s="195"/>
      <c r="N40" s="195"/>
      <c r="O40" s="175"/>
      <c r="P40" s="195"/>
      <c r="Q40" s="195"/>
      <c r="R40" s="195"/>
      <c r="S40" s="195"/>
      <c r="T40" s="176">
        <v>5603</v>
      </c>
    </row>
    <row r="41" spans="1:20" x14ac:dyDescent="0.2">
      <c r="A41" s="570" t="s">
        <v>283</v>
      </c>
      <c r="B41" s="196">
        <f>SUMIF('IE Data Entry'!$B$30:$B$100,'IE SUMMARY'!$T41,'IE Data Entry'!C$30:C$100)</f>
        <v>0</v>
      </c>
      <c r="C41" s="196">
        <f>SUMIF('IE Data Entry'!$B$30:$B$100,'IE SUMMARY'!$T41,'IE Data Entry'!D$30:D$100)</f>
        <v>0</v>
      </c>
      <c r="D41" s="196">
        <f>SUMIF('IE Data Entry'!$B$30:$B$100,'IE SUMMARY'!$T41,'IE Data Entry'!E$30:E$100)</f>
        <v>4553</v>
      </c>
      <c r="E41" s="196">
        <f>SUMIF('IE Data Entry'!$B$30:$B$100,'IE SUMMARY'!$T41,'IE Data Entry'!F$30:F$100)</f>
        <v>0</v>
      </c>
      <c r="F41" s="196">
        <f>SUMIF('IE Data Entry'!$B$30:$B$100,'IE SUMMARY'!$T41,'IE Data Entry'!H$30:H$100)</f>
        <v>0</v>
      </c>
      <c r="G41" s="196">
        <f>SUMIF('IE Data Entry'!$B$30:$B$100,'IE SUMMARY'!$T41,'IE Data Entry'!I$30:I$100)</f>
        <v>0</v>
      </c>
      <c r="H41" s="196">
        <f>SUMIF('IE Data Entry'!$B$30:$B$100,'IE SUMMARY'!$T41,'IE Data Entry'!J$30:J$100)</f>
        <v>0</v>
      </c>
      <c r="I41" s="197">
        <f>+Proforma!F65*12</f>
        <v>2500</v>
      </c>
      <c r="J41" s="656">
        <f t="shared" si="8"/>
        <v>-2053</v>
      </c>
      <c r="K41" s="199"/>
      <c r="L41" s="195"/>
      <c r="M41" s="195"/>
      <c r="N41" s="195"/>
      <c r="O41" s="175"/>
      <c r="P41" s="195"/>
      <c r="Q41" s="195"/>
      <c r="R41" s="195"/>
      <c r="S41" s="195"/>
      <c r="T41" s="176">
        <v>5020</v>
      </c>
    </row>
    <row r="42" spans="1:20" x14ac:dyDescent="0.2">
      <c r="A42" s="570" t="s">
        <v>473</v>
      </c>
      <c r="B42" s="196">
        <f>SUMIF('IE Data Entry'!$B$30:$B$100,'IE SUMMARY'!$T42,'IE Data Entry'!C$30:C$100)</f>
        <v>0</v>
      </c>
      <c r="C42" s="196">
        <f>SUMIF('IE Data Entry'!$B$30:$B$100,'IE SUMMARY'!$T42,'IE Data Entry'!D$30:D$100)</f>
        <v>0</v>
      </c>
      <c r="D42" s="196">
        <f>SUMIF('IE Data Entry'!$B$30:$B$100,'IE SUMMARY'!$T42,'IE Data Entry'!E$30:E$100)</f>
        <v>21781</v>
      </c>
      <c r="E42" s="196">
        <f>SUMIF('IE Data Entry'!$B$30:$B$100,'IE SUMMARY'!$T42,'IE Data Entry'!F$30:F$100)</f>
        <v>0</v>
      </c>
      <c r="F42" s="196">
        <f>SUMIF('IE Data Entry'!$B$30:$B$100,'IE SUMMARY'!$T42,'IE Data Entry'!H$30:H$100)</f>
        <v>0</v>
      </c>
      <c r="G42" s="196">
        <f>SUMIF('IE Data Entry'!$B$30:$B$100,'IE SUMMARY'!$T42,'IE Data Entry'!I$30:I$100)</f>
        <v>0</v>
      </c>
      <c r="H42" s="196">
        <f>SUMIF('IE Data Entry'!$B$30:$B$100,'IE SUMMARY'!$T42,'IE Data Entry'!J$30:J$100)</f>
        <v>25000</v>
      </c>
      <c r="I42" s="197">
        <f>+Proforma!F66*12</f>
        <v>25000</v>
      </c>
      <c r="J42" s="656">
        <f t="shared" si="8"/>
        <v>3219</v>
      </c>
      <c r="K42" s="199"/>
      <c r="L42" s="195"/>
      <c r="M42" s="195"/>
      <c r="N42" s="195"/>
      <c r="O42" s="175"/>
      <c r="P42" s="195"/>
      <c r="Q42" s="195"/>
      <c r="R42" s="195"/>
      <c r="S42" s="195"/>
      <c r="T42" s="176">
        <v>5104</v>
      </c>
    </row>
    <row r="43" spans="1:20" x14ac:dyDescent="0.2">
      <c r="A43" s="570" t="s">
        <v>474</v>
      </c>
      <c r="B43" s="196">
        <f>SUMIF('IE Data Entry'!$B$30:$B$100,'IE SUMMARY'!$T43,'IE Data Entry'!C$30:C$100)</f>
        <v>0</v>
      </c>
      <c r="C43" s="196">
        <f>SUMIF('IE Data Entry'!$B$30:$B$100,'IE SUMMARY'!$T43,'IE Data Entry'!D$30:D$100)</f>
        <v>0</v>
      </c>
      <c r="D43" s="196">
        <f>SUMIF('IE Data Entry'!$B$30:$B$100,'IE SUMMARY'!$T43,'IE Data Entry'!E$30:E$100)</f>
        <v>14808</v>
      </c>
      <c r="E43" s="196">
        <f>SUMIF('IE Data Entry'!$B$30:$B$100,'IE SUMMARY'!$T43,'IE Data Entry'!F$30:F$100)</f>
        <v>0</v>
      </c>
      <c r="F43" s="196">
        <f>SUMIF('IE Data Entry'!$B$30:$B$100,'IE SUMMARY'!$T43,'IE Data Entry'!H$30:H$100)</f>
        <v>0</v>
      </c>
      <c r="G43" s="196">
        <f>SUMIF('IE Data Entry'!$B$30:$B$100,'IE SUMMARY'!$T43,'IE Data Entry'!I$30:I$100)</f>
        <v>0</v>
      </c>
      <c r="H43" s="196">
        <f>SUMIF('IE Data Entry'!$B$30:$B$100,'IE SUMMARY'!$T43,'IE Data Entry'!J$30:J$100)</f>
        <v>5000</v>
      </c>
      <c r="I43" s="197">
        <f ca="1">+Proforma!F67*12</f>
        <v>15104.16</v>
      </c>
      <c r="J43" s="656">
        <f t="shared" ca="1" si="8"/>
        <v>296.15999999999985</v>
      </c>
      <c r="K43" s="199"/>
      <c r="L43" s="195"/>
      <c r="M43" s="195"/>
      <c r="N43" s="195"/>
      <c r="O43" s="175"/>
      <c r="P43" s="195"/>
      <c r="Q43" s="195"/>
      <c r="R43" s="195"/>
      <c r="S43" s="195"/>
      <c r="T43" s="176">
        <v>5109</v>
      </c>
    </row>
    <row r="44" spans="1:20" x14ac:dyDescent="0.2">
      <c r="A44" s="570" t="s">
        <v>475</v>
      </c>
      <c r="B44" s="196">
        <f>SUMIF('IE Data Entry'!$B$30:$B$100,'IE SUMMARY'!$T44,'IE Data Entry'!C$30:C$100)</f>
        <v>0</v>
      </c>
      <c r="C44" s="196">
        <f>SUMIF('IE Data Entry'!$B$30:$B$100,'IE SUMMARY'!$T44,'IE Data Entry'!D$30:D$100)</f>
        <v>0</v>
      </c>
      <c r="D44" s="196">
        <f>SUMIF('IE Data Entry'!$B$30:$B$100,'IE SUMMARY'!$T44,'IE Data Entry'!E$30:E$100)</f>
        <v>49491</v>
      </c>
      <c r="E44" s="196">
        <f>SUMIF('IE Data Entry'!$B$30:$B$100,'IE SUMMARY'!$T44,'IE Data Entry'!F$30:F$100)</f>
        <v>0</v>
      </c>
      <c r="F44" s="196">
        <f>SUMIF('IE Data Entry'!$B$30:$B$100,'IE SUMMARY'!$T44,'IE Data Entry'!H$30:H$100)</f>
        <v>0</v>
      </c>
      <c r="G44" s="196">
        <f>SUMIF('IE Data Entry'!$B$30:$B$100,'IE SUMMARY'!$T44,'IE Data Entry'!I$30:I$100)</f>
        <v>0</v>
      </c>
      <c r="H44" s="196">
        <f>SUMIF('IE Data Entry'!$B$30:$B$100,'IE SUMMARY'!$T44,'IE Data Entry'!J$30:J$100)</f>
        <v>5000</v>
      </c>
      <c r="I44" s="197">
        <f ca="1">+Proforma!F68*12</f>
        <v>50480.819999999992</v>
      </c>
      <c r="J44" s="656">
        <f t="shared" ca="1" si="8"/>
        <v>989.81999999999243</v>
      </c>
      <c r="K44" s="199"/>
      <c r="L44" s="195"/>
      <c r="M44" s="195"/>
      <c r="N44" s="195"/>
      <c r="O44" s="175"/>
      <c r="P44" s="195"/>
      <c r="Q44" s="195"/>
      <c r="R44" s="195"/>
      <c r="S44" s="195"/>
      <c r="T44" s="176">
        <v>5200</v>
      </c>
    </row>
    <row r="45" spans="1:20" x14ac:dyDescent="0.2">
      <c r="A45" s="198" t="s">
        <v>450</v>
      </c>
      <c r="B45" s="196">
        <f>SUMIF('IE Data Entry'!$B$30:$B$100,'IE SUMMARY'!$T45,'IE Data Entry'!C$30:C$100)</f>
        <v>0</v>
      </c>
      <c r="C45" s="196">
        <f>SUMIF('IE Data Entry'!$B$30:$B$100,'IE SUMMARY'!$T45,'IE Data Entry'!D$30:D$100)</f>
        <v>0</v>
      </c>
      <c r="D45" s="196">
        <f>SUMIF('IE Data Entry'!$B$30:$B$100,'IE SUMMARY'!$T45,'IE Data Entry'!E$30:E$100)</f>
        <v>3435</v>
      </c>
      <c r="E45" s="196">
        <f>SUMIF('IE Data Entry'!$B$30:$B$100,'IE SUMMARY'!$T45,'IE Data Entry'!F$30:F$100)</f>
        <v>0</v>
      </c>
      <c r="F45" s="196">
        <f>SUMIF('IE Data Entry'!$B$30:$B$100,'IE SUMMARY'!$T45,'IE Data Entry'!H$30:H$100)</f>
        <v>0</v>
      </c>
      <c r="G45" s="196">
        <f>SUMIF('IE Data Entry'!$B$30:$B$100,'IE SUMMARY'!$T45,'IE Data Entry'!I$30:I$100)</f>
        <v>0</v>
      </c>
      <c r="H45" s="196">
        <f>SUMIF('IE Data Entry'!$B$30:$B$100,'IE SUMMARY'!$T45,'IE Data Entry'!J$30:J$100)</f>
        <v>52250</v>
      </c>
      <c r="I45" s="197">
        <f>+Proforma!F69*12</f>
        <v>42367</v>
      </c>
      <c r="J45" s="656">
        <f t="shared" ref="J45:J55" si="9">IFERROR(I45-(AVERAGEIF(B45:G45,"&gt;0",B45:G45)),I45)</f>
        <v>38932</v>
      </c>
      <c r="K45" s="199"/>
      <c r="L45" s="195"/>
      <c r="M45" s="195"/>
      <c r="N45" s="195"/>
      <c r="O45" s="175"/>
      <c r="P45" s="195"/>
      <c r="Q45" s="195"/>
      <c r="R45" s="195"/>
      <c r="S45" s="195"/>
      <c r="T45" s="176">
        <v>5301</v>
      </c>
    </row>
    <row r="46" spans="1:20" x14ac:dyDescent="0.2">
      <c r="A46" s="570" t="s">
        <v>287</v>
      </c>
      <c r="B46" s="196">
        <f>SUMIF('IE Data Entry'!$B$30:$B$100,'IE SUMMARY'!$T46,'IE Data Entry'!C$30:C$100)</f>
        <v>0</v>
      </c>
      <c r="C46" s="196">
        <f>SUMIF('IE Data Entry'!$B$30:$B$100,'IE SUMMARY'!$T46,'IE Data Entry'!D$30:D$100)</f>
        <v>0</v>
      </c>
      <c r="D46" s="196">
        <f>SUMIF('IE Data Entry'!$B$30:$B$100,'IE SUMMARY'!$T46,'IE Data Entry'!E$30:E$100)</f>
        <v>11558</v>
      </c>
      <c r="E46" s="196">
        <f>SUMIF('IE Data Entry'!$B$30:$B$100,'IE SUMMARY'!$T46,'IE Data Entry'!F$30:F$100)</f>
        <v>0</v>
      </c>
      <c r="F46" s="196">
        <f>SUMIF('IE Data Entry'!$B$30:$B$100,'IE SUMMARY'!$T46,'IE Data Entry'!H$30:H$100)</f>
        <v>0</v>
      </c>
      <c r="G46" s="196">
        <f>SUMIF('IE Data Entry'!$B$30:$B$100,'IE SUMMARY'!$T46,'IE Data Entry'!I$30:I$100)</f>
        <v>0</v>
      </c>
      <c r="H46" s="196">
        <f>SUMIF('IE Data Entry'!$B$30:$B$100,'IE SUMMARY'!$T46,'IE Data Entry'!J$30:J$100)</f>
        <v>7000</v>
      </c>
      <c r="I46" s="197">
        <f>+Proforma!F70*12</f>
        <v>7000</v>
      </c>
      <c r="J46" s="656">
        <f t="shared" si="9"/>
        <v>-4558</v>
      </c>
      <c r="K46" s="199"/>
      <c r="L46" s="195"/>
      <c r="M46" s="195"/>
      <c r="N46" s="195"/>
      <c r="O46" s="175"/>
      <c r="P46" s="195"/>
      <c r="Q46" s="195"/>
      <c r="R46" s="195"/>
      <c r="S46" s="195"/>
      <c r="T46" s="176">
        <v>5053</v>
      </c>
    </row>
    <row r="47" spans="1:20" x14ac:dyDescent="0.2">
      <c r="A47" s="570" t="s">
        <v>288</v>
      </c>
      <c r="B47" s="196">
        <f>SUMIF('IE Data Entry'!$B$30:$B$100,'IE SUMMARY'!$T47,'IE Data Entry'!C$30:C$100)</f>
        <v>0</v>
      </c>
      <c r="C47" s="196">
        <f>SUMIF('IE Data Entry'!$B$30:$B$100,'IE SUMMARY'!$T47,'IE Data Entry'!D$30:D$100)</f>
        <v>0</v>
      </c>
      <c r="D47" s="196">
        <f>SUMIF('IE Data Entry'!$B$30:$B$100,'IE SUMMARY'!$T47,'IE Data Entry'!E$30:E$100)</f>
        <v>0</v>
      </c>
      <c r="E47" s="196">
        <f>SUMIF('IE Data Entry'!$B$30:$B$100,'IE SUMMARY'!$T47,'IE Data Entry'!F$30:F$100)</f>
        <v>0</v>
      </c>
      <c r="F47" s="196">
        <f>SUMIF('IE Data Entry'!$B$30:$B$100,'IE SUMMARY'!$T47,'IE Data Entry'!H$30:H$100)</f>
        <v>0</v>
      </c>
      <c r="G47" s="196">
        <f>SUMIF('IE Data Entry'!$B$30:$B$100,'IE SUMMARY'!$T47,'IE Data Entry'!I$30:I$100)</f>
        <v>0</v>
      </c>
      <c r="H47" s="196">
        <f>SUMIF('IE Data Entry'!$B$30:$B$100,'IE SUMMARY'!$T47,'IE Data Entry'!J$30:J$100)</f>
        <v>0</v>
      </c>
      <c r="I47" s="197">
        <f>+Proforma!F71*12</f>
        <v>1095</v>
      </c>
      <c r="J47" s="656">
        <f t="shared" si="9"/>
        <v>1095</v>
      </c>
      <c r="K47" s="199"/>
      <c r="L47" s="195"/>
      <c r="M47" s="195"/>
      <c r="N47" s="195"/>
      <c r="O47" s="175"/>
      <c r="P47" s="195"/>
      <c r="Q47" s="195"/>
      <c r="R47" s="195"/>
      <c r="S47" s="195"/>
      <c r="T47" s="176">
        <v>5604</v>
      </c>
    </row>
    <row r="48" spans="1:20" x14ac:dyDescent="0.2">
      <c r="A48" s="570" t="s">
        <v>289</v>
      </c>
      <c r="B48" s="196">
        <f>SUMIF('IE Data Entry'!$B$30:$B$100,'IE SUMMARY'!$T48,'IE Data Entry'!C$30:C$100)</f>
        <v>0</v>
      </c>
      <c r="C48" s="196">
        <f>SUMIF('IE Data Entry'!$B$30:$B$100,'IE SUMMARY'!$T48,'IE Data Entry'!D$30:D$100)</f>
        <v>0</v>
      </c>
      <c r="D48" s="196">
        <f>SUMIF('IE Data Entry'!$B$30:$B$100,'IE SUMMARY'!$T48,'IE Data Entry'!E$30:E$100)</f>
        <v>5289</v>
      </c>
      <c r="E48" s="196">
        <f>SUMIF('IE Data Entry'!$B$30:$B$100,'IE SUMMARY'!$T48,'IE Data Entry'!F$30:F$100)</f>
        <v>0</v>
      </c>
      <c r="F48" s="196">
        <f>SUMIF('IE Data Entry'!$B$30:$B$100,'IE SUMMARY'!$T48,'IE Data Entry'!H$30:H$100)</f>
        <v>0</v>
      </c>
      <c r="G48" s="196">
        <f>SUMIF('IE Data Entry'!$B$30:$B$100,'IE SUMMARY'!$T48,'IE Data Entry'!I$30:I$100)</f>
        <v>0</v>
      </c>
      <c r="H48" s="196">
        <f>SUMIF('IE Data Entry'!$B$30:$B$100,'IE SUMMARY'!$T48,'IE Data Entry'!J$30:J$100)</f>
        <v>0</v>
      </c>
      <c r="I48" s="197">
        <f>+Proforma!F72*12</f>
        <v>2500</v>
      </c>
      <c r="J48" s="656">
        <f t="shared" si="9"/>
        <v>-2789</v>
      </c>
      <c r="K48" s="199"/>
      <c r="L48" s="195"/>
      <c r="M48" s="195"/>
      <c r="N48" s="195"/>
      <c r="O48" s="175"/>
      <c r="P48" s="195"/>
      <c r="Q48" s="195"/>
      <c r="R48" s="195"/>
      <c r="S48" s="195"/>
      <c r="T48" s="176">
        <v>5062</v>
      </c>
    </row>
    <row r="49" spans="1:20" x14ac:dyDescent="0.2">
      <c r="A49" s="570" t="s">
        <v>290</v>
      </c>
      <c r="B49" s="196">
        <f>SUMIF('IE Data Entry'!$B$30:$B$100,'IE SUMMARY'!$T49,'IE Data Entry'!C$30:C$100)</f>
        <v>0</v>
      </c>
      <c r="C49" s="196">
        <f>SUMIF('IE Data Entry'!$B$30:$B$100,'IE SUMMARY'!$T49,'IE Data Entry'!D$30:D$100)</f>
        <v>0</v>
      </c>
      <c r="D49" s="196">
        <f>SUMIF('IE Data Entry'!$B$30:$B$100,'IE SUMMARY'!$T49,'IE Data Entry'!E$30:E$100)</f>
        <v>0</v>
      </c>
      <c r="E49" s="196">
        <f>SUMIF('IE Data Entry'!$B$30:$B$100,'IE SUMMARY'!$T49,'IE Data Entry'!F$30:F$100)</f>
        <v>0</v>
      </c>
      <c r="F49" s="196">
        <f>SUMIF('IE Data Entry'!$B$30:$B$100,'IE SUMMARY'!$T49,'IE Data Entry'!H$30:H$100)</f>
        <v>0</v>
      </c>
      <c r="G49" s="196">
        <f>SUMIF('IE Data Entry'!$B$30:$B$100,'IE SUMMARY'!$T49,'IE Data Entry'!I$30:I$100)</f>
        <v>0</v>
      </c>
      <c r="H49" s="196">
        <f>SUMIF('IE Data Entry'!$B$30:$B$100,'IE SUMMARY'!$T49,'IE Data Entry'!J$30:J$100)</f>
        <v>0</v>
      </c>
      <c r="I49" s="197">
        <f>+Proforma!F73*12</f>
        <v>1700</v>
      </c>
      <c r="J49" s="656">
        <f t="shared" si="9"/>
        <v>1700</v>
      </c>
      <c r="K49" s="199"/>
      <c r="L49" s="195"/>
      <c r="M49" s="195"/>
      <c r="N49" s="195"/>
      <c r="O49" s="175"/>
      <c r="P49" s="195"/>
      <c r="Q49" s="195"/>
      <c r="R49" s="195"/>
      <c r="S49" s="195"/>
      <c r="T49" s="176">
        <v>5302</v>
      </c>
    </row>
    <row r="50" spans="1:20" x14ac:dyDescent="0.2">
      <c r="A50" s="570" t="s">
        <v>291</v>
      </c>
      <c r="B50" s="196">
        <f>SUMIF('IE Data Entry'!$B$30:$B$100,'IE SUMMARY'!$T50,'IE Data Entry'!C$30:C$100)</f>
        <v>0</v>
      </c>
      <c r="C50" s="196">
        <f>SUMIF('IE Data Entry'!$B$30:$B$100,'IE SUMMARY'!$T50,'IE Data Entry'!D$30:D$100)</f>
        <v>0</v>
      </c>
      <c r="D50" s="196">
        <f>SUMIF('IE Data Entry'!$B$30:$B$100,'IE SUMMARY'!$T50,'IE Data Entry'!E$30:E$100)</f>
        <v>472</v>
      </c>
      <c r="E50" s="196">
        <f>SUMIF('IE Data Entry'!$B$30:$B$100,'IE SUMMARY'!$T50,'IE Data Entry'!F$30:F$100)</f>
        <v>0</v>
      </c>
      <c r="F50" s="196">
        <f>SUMIF('IE Data Entry'!$B$30:$B$100,'IE SUMMARY'!$T50,'IE Data Entry'!H$30:H$100)</f>
        <v>0</v>
      </c>
      <c r="G50" s="196">
        <f>SUMIF('IE Data Entry'!$B$30:$B$100,'IE SUMMARY'!$T50,'IE Data Entry'!I$30:I$100)</f>
        <v>0</v>
      </c>
      <c r="H50" s="196">
        <f>SUMIF('IE Data Entry'!$B$30:$B$100,'IE SUMMARY'!$T50,'IE Data Entry'!J$30:J$100)</f>
        <v>0</v>
      </c>
      <c r="I50" s="197">
        <f>+Proforma!F74*12</f>
        <v>0</v>
      </c>
      <c r="J50" s="656">
        <f t="shared" si="9"/>
        <v>-472</v>
      </c>
      <c r="K50" s="199"/>
      <c r="L50" s="195"/>
      <c r="M50" s="195"/>
      <c r="N50" s="195"/>
      <c r="O50" s="175"/>
      <c r="P50" s="195"/>
      <c r="Q50" s="195"/>
      <c r="R50" s="195"/>
      <c r="S50" s="195"/>
      <c r="T50" s="176">
        <v>5001</v>
      </c>
    </row>
    <row r="51" spans="1:20" x14ac:dyDescent="0.2">
      <c r="A51" s="570" t="s">
        <v>292</v>
      </c>
      <c r="B51" s="196">
        <f>SUMIF('IE Data Entry'!$B$30:$B$100,'IE SUMMARY'!$T51,'IE Data Entry'!C$30:C$100)</f>
        <v>0</v>
      </c>
      <c r="C51" s="196">
        <f>SUMIF('IE Data Entry'!$B$30:$B$100,'IE SUMMARY'!$T51,'IE Data Entry'!D$30:D$100)</f>
        <v>0</v>
      </c>
      <c r="D51" s="196">
        <f>SUMIF('IE Data Entry'!$B$30:$B$100,'IE SUMMARY'!$T51,'IE Data Entry'!E$30:E$100)</f>
        <v>0</v>
      </c>
      <c r="E51" s="196">
        <f>SUMIF('IE Data Entry'!$B$30:$B$100,'IE SUMMARY'!$T51,'IE Data Entry'!F$30:F$100)</f>
        <v>0</v>
      </c>
      <c r="F51" s="196">
        <f>SUMIF('IE Data Entry'!$B$30:$B$100,'IE SUMMARY'!$T51,'IE Data Entry'!H$30:H$100)</f>
        <v>0</v>
      </c>
      <c r="G51" s="196">
        <f>SUMIF('IE Data Entry'!$B$30:$B$100,'IE SUMMARY'!$T51,'IE Data Entry'!I$30:I$100)</f>
        <v>0</v>
      </c>
      <c r="H51" s="196">
        <f>SUMIF('IE Data Entry'!$B$30:$B$100,'IE SUMMARY'!$T51,'IE Data Entry'!J$30:J$100)</f>
        <v>0</v>
      </c>
      <c r="I51" s="197">
        <f>+Proforma!F75*12</f>
        <v>2450</v>
      </c>
      <c r="J51" s="656">
        <f t="shared" si="9"/>
        <v>2450</v>
      </c>
      <c r="K51" s="199"/>
      <c r="L51" s="195"/>
      <c r="M51" s="195"/>
      <c r="N51" s="195"/>
      <c r="O51" s="175"/>
      <c r="P51" s="195"/>
      <c r="Q51" s="195"/>
      <c r="R51" s="195"/>
      <c r="S51" s="195"/>
      <c r="T51" s="176">
        <v>5061</v>
      </c>
    </row>
    <row r="52" spans="1:20" x14ac:dyDescent="0.2">
      <c r="A52" s="570" t="s">
        <v>293</v>
      </c>
      <c r="B52" s="196">
        <f>SUMIF('IE Data Entry'!$B$30:$B$100,'IE SUMMARY'!$T52,'IE Data Entry'!C$30:C$100)</f>
        <v>0</v>
      </c>
      <c r="C52" s="196">
        <f>SUMIF('IE Data Entry'!$B$30:$B$100,'IE SUMMARY'!$T52,'IE Data Entry'!D$30:D$100)</f>
        <v>0</v>
      </c>
      <c r="D52" s="196">
        <f>SUMIF('IE Data Entry'!$B$30:$B$100,'IE SUMMARY'!$T52,'IE Data Entry'!E$30:E$100)</f>
        <v>0</v>
      </c>
      <c r="E52" s="196">
        <f>SUMIF('IE Data Entry'!$B$30:$B$100,'IE SUMMARY'!$T52,'IE Data Entry'!F$30:F$100)</f>
        <v>0</v>
      </c>
      <c r="F52" s="196">
        <f>SUMIF('IE Data Entry'!$B$30:$B$100,'IE SUMMARY'!$T52,'IE Data Entry'!H$30:H$100)</f>
        <v>0</v>
      </c>
      <c r="G52" s="196">
        <f>SUMIF('IE Data Entry'!$B$30:$B$100,'IE SUMMARY'!$T52,'IE Data Entry'!I$30:I$100)</f>
        <v>0</v>
      </c>
      <c r="H52" s="196">
        <f>SUMIF('IE Data Entry'!$B$30:$B$100,'IE SUMMARY'!$T52,'IE Data Entry'!J$30:J$100)</f>
        <v>500</v>
      </c>
      <c r="I52" s="197">
        <f ca="1">+Proforma!F76*12</f>
        <v>0</v>
      </c>
      <c r="J52" s="656">
        <f t="shared" ca="1" si="9"/>
        <v>0</v>
      </c>
      <c r="K52" s="199"/>
      <c r="L52" s="195"/>
      <c r="M52" s="195"/>
      <c r="N52" s="195"/>
      <c r="O52" s="175"/>
      <c r="P52" s="195"/>
      <c r="Q52" s="195"/>
      <c r="R52" s="195"/>
      <c r="S52" s="195"/>
      <c r="T52" s="176">
        <v>5304</v>
      </c>
    </row>
    <row r="53" spans="1:20" x14ac:dyDescent="0.2">
      <c r="A53" s="570" t="s">
        <v>294</v>
      </c>
      <c r="B53" s="196">
        <f>SUMIF('IE Data Entry'!$B$30:$B$100,'IE SUMMARY'!$T53,'IE Data Entry'!C$30:C$100)</f>
        <v>0</v>
      </c>
      <c r="C53" s="196">
        <f>SUMIF('IE Data Entry'!$B$30:$B$100,'IE SUMMARY'!$T53,'IE Data Entry'!D$30:D$100)</f>
        <v>0</v>
      </c>
      <c r="D53" s="196">
        <f>SUMIF('IE Data Entry'!$B$30:$B$100,'IE SUMMARY'!$T53,'IE Data Entry'!E$30:E$100)</f>
        <v>1422</v>
      </c>
      <c r="E53" s="196">
        <f>SUMIF('IE Data Entry'!$B$30:$B$100,'IE SUMMARY'!$T53,'IE Data Entry'!F$30:F$100)</f>
        <v>0</v>
      </c>
      <c r="F53" s="196">
        <f>SUMIF('IE Data Entry'!$B$30:$B$100,'IE SUMMARY'!$T53,'IE Data Entry'!H$30:H$100)</f>
        <v>0</v>
      </c>
      <c r="G53" s="196">
        <f>SUMIF('IE Data Entry'!$B$30:$B$100,'IE SUMMARY'!$T53,'IE Data Entry'!I$30:I$100)</f>
        <v>0</v>
      </c>
      <c r="H53" s="196">
        <f>SUMIF('IE Data Entry'!$B$30:$B$100,'IE SUMMARY'!$T53,'IE Data Entry'!J$30:J$100)</f>
        <v>250</v>
      </c>
      <c r="I53" s="197">
        <f>+Proforma!F77*12</f>
        <v>1800</v>
      </c>
      <c r="J53" s="656">
        <f t="shared" si="9"/>
        <v>378</v>
      </c>
      <c r="K53" s="199"/>
      <c r="L53" s="195"/>
      <c r="M53" s="195"/>
      <c r="N53" s="195"/>
      <c r="O53" s="175"/>
      <c r="P53" s="195"/>
      <c r="Q53" s="195"/>
      <c r="R53" s="195"/>
      <c r="S53" s="195"/>
      <c r="T53" s="176">
        <v>5064</v>
      </c>
    </row>
    <row r="54" spans="1:20" x14ac:dyDescent="0.2">
      <c r="A54" s="570" t="s">
        <v>295</v>
      </c>
      <c r="B54" s="196">
        <f>SUMIF('IE Data Entry'!$B$30:$B$100,'IE SUMMARY'!$T54,'IE Data Entry'!C$30:C$100)</f>
        <v>0</v>
      </c>
      <c r="C54" s="196">
        <f>SUMIF('IE Data Entry'!$B$30:$B$100,'IE SUMMARY'!$T54,'IE Data Entry'!D$30:D$100)</f>
        <v>0</v>
      </c>
      <c r="D54" s="196">
        <f>SUMIF('IE Data Entry'!$B$30:$B$100,'IE SUMMARY'!$T54,'IE Data Entry'!E$30:E$100)</f>
        <v>4777</v>
      </c>
      <c r="E54" s="196">
        <f>SUMIF('IE Data Entry'!$B$30:$B$100,'IE SUMMARY'!$T54,'IE Data Entry'!F$30:F$100)</f>
        <v>0</v>
      </c>
      <c r="F54" s="196">
        <f>SUMIF('IE Data Entry'!$B$30:$B$100,'IE SUMMARY'!$T54,'IE Data Entry'!H$30:H$100)</f>
        <v>0</v>
      </c>
      <c r="G54" s="196">
        <f>SUMIF('IE Data Entry'!$B$30:$B$100,'IE SUMMARY'!$T54,'IE Data Entry'!I$30:I$100)</f>
        <v>0</v>
      </c>
      <c r="H54" s="196">
        <f>SUMIF('IE Data Entry'!$B$30:$B$100,'IE SUMMARY'!$T54,'IE Data Entry'!J$30:J$100)</f>
        <v>2000</v>
      </c>
      <c r="I54" s="197">
        <f>+Proforma!F78*12</f>
        <v>1500</v>
      </c>
      <c r="J54" s="656">
        <f t="shared" si="9"/>
        <v>-3277</v>
      </c>
      <c r="K54" s="199"/>
      <c r="L54" s="172" t="str">
        <f>IF(ISERROR((+(G56-E56)/E56)),"",(+(G56-E56)/E56))</f>
        <v/>
      </c>
      <c r="M54" s="180"/>
      <c r="N54" s="199"/>
      <c r="P54" s="199"/>
      <c r="Q54" s="199"/>
      <c r="R54" s="199"/>
      <c r="S54" s="199"/>
      <c r="T54" s="176">
        <v>5601</v>
      </c>
    </row>
    <row r="55" spans="1:20" x14ac:dyDescent="0.2">
      <c r="A55" s="570" t="s">
        <v>476</v>
      </c>
      <c r="B55" s="196">
        <f>SUMIF('IE Data Entry'!$B$30:$B$100,'IE SUMMARY'!$T55,'IE Data Entry'!C$30:C$100)</f>
        <v>0</v>
      </c>
      <c r="C55" s="196">
        <f>SUMIF('IE Data Entry'!$B$30:$B$100,'IE SUMMARY'!$T55,'IE Data Entry'!D$30:D$100)</f>
        <v>0</v>
      </c>
      <c r="D55" s="196">
        <f>SUMIF('IE Data Entry'!$B$30:$B$100,'IE SUMMARY'!$T55,'IE Data Entry'!E$30:E$100)</f>
        <v>78884</v>
      </c>
      <c r="E55" s="196">
        <f>SUMIF('IE Data Entry'!$B$30:$B$100,'IE SUMMARY'!$T55,'IE Data Entry'!F$30:F$100)</f>
        <v>0</v>
      </c>
      <c r="F55" s="196">
        <f>SUMIF('IE Data Entry'!$B$30:$B$100,'IE SUMMARY'!$T55,'IE Data Entry'!H$30:H$100)</f>
        <v>0</v>
      </c>
      <c r="G55" s="196">
        <f>SUMIF('IE Data Entry'!$B$30:$B$100,'IE SUMMARY'!$T55,'IE Data Entry'!I$30:I$100)</f>
        <v>0</v>
      </c>
      <c r="H55" s="196">
        <f>SUMIF('IE Data Entry'!$B$30:$B$100,'IE SUMMARY'!$T55,'IE Data Entry'!J$30:J$100)</f>
        <v>21985.700000000004</v>
      </c>
      <c r="I55" s="197">
        <f>+Proforma!F79*12</f>
        <v>24000</v>
      </c>
      <c r="J55" s="656">
        <f t="shared" si="9"/>
        <v>-54884</v>
      </c>
      <c r="K55" s="199"/>
      <c r="L55" s="182" t="str">
        <f>IF(ISERROR((+(G56-F56)/F56)),"",(+(G56-F56)/F56))</f>
        <v/>
      </c>
      <c r="M55" s="180"/>
      <c r="N55" s="199"/>
      <c r="P55" s="199"/>
      <c r="Q55" s="199"/>
      <c r="R55" s="199"/>
      <c r="S55" s="199"/>
      <c r="T55" s="176">
        <v>5000</v>
      </c>
    </row>
    <row r="56" spans="1:20" x14ac:dyDescent="0.2">
      <c r="A56" s="200" t="s">
        <v>477</v>
      </c>
      <c r="B56" s="647">
        <f t="shared" ref="B56:I56" si="10">SUM(B32:B55)</f>
        <v>0</v>
      </c>
      <c r="C56" s="647">
        <f t="shared" si="10"/>
        <v>0</v>
      </c>
      <c r="D56" s="647">
        <f t="shared" si="10"/>
        <v>249200</v>
      </c>
      <c r="E56" s="647">
        <f t="shared" si="10"/>
        <v>0</v>
      </c>
      <c r="F56" s="647">
        <f t="shared" si="10"/>
        <v>0</v>
      </c>
      <c r="G56" s="647">
        <f t="shared" si="10"/>
        <v>0</v>
      </c>
      <c r="H56" s="647">
        <f t="shared" si="10"/>
        <v>162065.70000000001</v>
      </c>
      <c r="I56" s="647">
        <f t="shared" ca="1" si="10"/>
        <v>240720.15999999997</v>
      </c>
      <c r="J56" s="658">
        <f t="shared" ca="1" si="8"/>
        <v>-8479.8400000000256</v>
      </c>
      <c r="K56" s="494"/>
      <c r="L56" s="182">
        <f>IF(ISERROR((+(G56-D56)/D56)),"",(+(G56-D56)/D56))</f>
        <v>-1</v>
      </c>
      <c r="M56" s="180"/>
      <c r="N56" s="201"/>
      <c r="Q56" s="199"/>
      <c r="R56" s="199"/>
      <c r="S56" s="199"/>
    </row>
    <row r="57" spans="1:20" x14ac:dyDescent="0.2">
      <c r="A57" s="202" t="s">
        <v>464</v>
      </c>
      <c r="B57" s="180"/>
      <c r="C57" s="182" t="str">
        <f>IF(ISERROR((+(C56-B56)/B56)),"",(+(C56-B56)/B56))</f>
        <v/>
      </c>
      <c r="D57" s="182" t="str">
        <f>IF(ISERROR((+(D56-C56)/C56)),"",(+(D56-C56)/C56))</f>
        <v/>
      </c>
      <c r="E57" s="182">
        <f>IF(ISERROR((+(E56-D56)/D56)),"",(+(E56-D56)/D56))</f>
        <v>-1</v>
      </c>
      <c r="F57" s="182">
        <f>IF(ISERROR((+(F56-D56)/D56)),"",(+(F56-D56)/D56))</f>
        <v>-1</v>
      </c>
      <c r="G57" s="203"/>
      <c r="H57" s="203"/>
      <c r="J57" s="509"/>
      <c r="N57" s="203"/>
      <c r="O57" s="203"/>
      <c r="Q57" s="204"/>
      <c r="R57" s="204"/>
      <c r="S57" s="204"/>
    </row>
    <row r="58" spans="1:20" x14ac:dyDescent="0.2">
      <c r="A58" s="205" t="s">
        <v>478</v>
      </c>
      <c r="B58" s="206" t="str">
        <f>IF(ISERROR((+B56/B26)),"",(+B56/B26))</f>
        <v/>
      </c>
      <c r="C58" s="206" t="str">
        <f>IF(ISERROR((+C56/C26)),"",(+C56/C26))</f>
        <v/>
      </c>
      <c r="D58" s="206" t="str">
        <f>IF(ISERROR((+D56/D26)),"",(+D56/D26))</f>
        <v/>
      </c>
      <c r="E58" s="206" t="str">
        <f>IF(ISERROR((+E56/E26)),"",(+E56/E26))</f>
        <v/>
      </c>
      <c r="F58" s="206" t="str">
        <f>IF(ISERROR((+F56/F26)),"",(+F56/F26))</f>
        <v/>
      </c>
      <c r="G58" s="207"/>
      <c r="H58" s="207"/>
      <c r="I58" s="206">
        <f ca="1">IF(ISERROR((+I56/I26)),"",(+I56/I26))</f>
        <v>0.54744711335095075</v>
      </c>
      <c r="J58" s="509"/>
      <c r="K58" s="206"/>
      <c r="L58" s="180"/>
      <c r="M58" s="203"/>
      <c r="N58" s="203"/>
      <c r="O58" s="203"/>
      <c r="P58" s="204"/>
      <c r="Q58" s="204"/>
      <c r="R58" s="204"/>
      <c r="S58" s="204"/>
    </row>
    <row r="59" spans="1:20" x14ac:dyDescent="0.2">
      <c r="A59" s="202"/>
      <c r="B59" s="161"/>
      <c r="C59" s="161"/>
      <c r="D59" s="161"/>
      <c r="E59" s="161"/>
      <c r="F59" s="774" t="str">
        <f>Current_Year&amp;" Annualized"</f>
        <v>2025 Annualized</v>
      </c>
      <c r="G59" s="774" t="s">
        <v>454</v>
      </c>
      <c r="H59" s="650"/>
      <c r="I59" s="182"/>
      <c r="J59" s="499" t="s">
        <v>457</v>
      </c>
      <c r="K59" s="182"/>
      <c r="L59" s="180"/>
      <c r="M59" s="203"/>
      <c r="N59" s="203"/>
      <c r="O59" s="203"/>
      <c r="P59" s="204"/>
      <c r="Q59" s="204"/>
      <c r="R59" s="204"/>
      <c r="S59" s="204"/>
    </row>
    <row r="60" spans="1:20" ht="17" thickBot="1" x14ac:dyDescent="0.25">
      <c r="B60" s="162">
        <f>+B31</f>
        <v>2022</v>
      </c>
      <c r="C60" s="162">
        <f>+C31</f>
        <v>2023</v>
      </c>
      <c r="D60" s="162">
        <f>+D31</f>
        <v>2024</v>
      </c>
      <c r="E60" s="162" t="str">
        <f>+E31</f>
        <v>Trailing 12</v>
      </c>
      <c r="F60" s="775"/>
      <c r="G60" s="775"/>
      <c r="H60" s="651" t="s">
        <v>455</v>
      </c>
      <c r="I60" s="343" t="str">
        <f>+I31</f>
        <v>BVG Yr 1 Projection</v>
      </c>
      <c r="J60" s="500" t="s">
        <v>470</v>
      </c>
      <c r="K60" s="495"/>
      <c r="L60" s="172">
        <f>IF(ISERROR((+(G62-E62)/E62)),"",(+(G62-E62)/E62))</f>
        <v>-1</v>
      </c>
      <c r="M60" s="180"/>
    </row>
    <row r="61" spans="1:20" ht="16" thickBot="1" x14ac:dyDescent="0.25">
      <c r="A61" s="187" t="s">
        <v>479</v>
      </c>
      <c r="B61" s="618">
        <f t="shared" ref="B61:I61" si="11">+B26-B56</f>
        <v>0</v>
      </c>
      <c r="C61" s="618">
        <f t="shared" si="11"/>
        <v>0</v>
      </c>
      <c r="D61" s="618">
        <f t="shared" si="11"/>
        <v>-249200</v>
      </c>
      <c r="E61" s="618">
        <f t="shared" si="11"/>
        <v>0</v>
      </c>
      <c r="F61" s="618">
        <f t="shared" si="11"/>
        <v>0</v>
      </c>
      <c r="G61" s="618">
        <f t="shared" si="11"/>
        <v>0</v>
      </c>
      <c r="H61" s="618">
        <f t="shared" si="11"/>
        <v>-162065.70000000001</v>
      </c>
      <c r="I61" s="342">
        <f t="shared" ca="1" si="11"/>
        <v>198993.84000000003</v>
      </c>
      <c r="J61" s="504">
        <f t="shared" ca="1" si="8"/>
        <v>198993.84000000003</v>
      </c>
      <c r="K61" s="199"/>
      <c r="L61" s="182" t="str">
        <f>IF(ISERROR((+(G61-F61)/F61)),"",(+(G61-F61)/F61))</f>
        <v/>
      </c>
      <c r="M61" s="180"/>
    </row>
    <row r="62" spans="1:20" ht="16" thickTop="1" x14ac:dyDescent="0.2">
      <c r="A62" s="202" t="s">
        <v>464</v>
      </c>
      <c r="B62" s="180"/>
      <c r="C62" s="182" t="str">
        <f>IF(ISERROR((+(C61-B61)/B61)),"",(+(C61-B61)/B61))</f>
        <v/>
      </c>
      <c r="D62" s="182" t="str">
        <f>IF(ISERROR((+(D61-C61)/C61)),"",(+(D61-C61)/C61))</f>
        <v/>
      </c>
      <c r="E62" s="182">
        <f>IF(ISERROR((+(E61-D61)/D61)),"",(+(E61-D61)/D61))</f>
        <v>-1</v>
      </c>
      <c r="F62" s="182">
        <f>IF(ISERROR((+(F61-D61)/D61)),"",(+(F61-D61)/D61))</f>
        <v>-1</v>
      </c>
      <c r="G62" s="203"/>
      <c r="H62" s="203"/>
      <c r="L62" s="182">
        <f>IF(ISERROR((+(G61-D61)/D61)),"",(+(G61-D61)/D61))</f>
        <v>-1</v>
      </c>
      <c r="M62" s="180"/>
    </row>
    <row r="64" spans="1:20" x14ac:dyDescent="0.2">
      <c r="A64" s="770" t="s">
        <v>480</v>
      </c>
      <c r="B64" s="770"/>
      <c r="C64" s="770"/>
      <c r="D64" s="770"/>
      <c r="E64" s="770"/>
      <c r="F64" s="770"/>
      <c r="G64" s="770"/>
      <c r="H64" s="770"/>
      <c r="I64" s="770"/>
      <c r="J64" s="496"/>
      <c r="K64" s="496"/>
    </row>
    <row r="65" spans="1:11" x14ac:dyDescent="0.2">
      <c r="A65" s="218" t="s">
        <v>481</v>
      </c>
      <c r="B65" s="218">
        <f>+B60</f>
        <v>2022</v>
      </c>
      <c r="C65" s="218">
        <f t="shared" ref="C65:I65" si="12">+C60</f>
        <v>2023</v>
      </c>
      <c r="D65" s="218">
        <f t="shared" si="12"/>
        <v>2024</v>
      </c>
      <c r="E65" s="218" t="str">
        <f t="shared" si="12"/>
        <v>Trailing 12</v>
      </c>
      <c r="F65" s="218" t="str">
        <f>+F59</f>
        <v>2025 Annualized</v>
      </c>
      <c r="G65" s="218" t="str">
        <f>+G59</f>
        <v>Broker Projection</v>
      </c>
      <c r="H65" s="218" t="s">
        <v>455</v>
      </c>
      <c r="I65" s="218" t="str">
        <f t="shared" si="12"/>
        <v>BVG Yr 1 Projection</v>
      </c>
      <c r="J65" s="160"/>
      <c r="K65" s="160"/>
    </row>
    <row r="66" spans="1:11" x14ac:dyDescent="0.2">
      <c r="A66" s="707" t="s">
        <v>482</v>
      </c>
      <c r="B66" s="199">
        <f t="shared" ref="B66:I66" si="13">SUM(B15:B19)</f>
        <v>0</v>
      </c>
      <c r="C66" s="199">
        <f t="shared" si="13"/>
        <v>0</v>
      </c>
      <c r="D66" s="199">
        <f t="shared" si="13"/>
        <v>0</v>
      </c>
      <c r="E66" s="199">
        <f t="shared" si="13"/>
        <v>0</v>
      </c>
      <c r="F66" s="199">
        <f t="shared" si="13"/>
        <v>0</v>
      </c>
      <c r="G66" s="199">
        <f t="shared" si="13"/>
        <v>0</v>
      </c>
      <c r="H66" s="199">
        <f t="shared" si="13"/>
        <v>0</v>
      </c>
      <c r="I66" s="199">
        <f t="shared" si="13"/>
        <v>26134</v>
      </c>
      <c r="J66" s="497"/>
      <c r="K66" s="216"/>
    </row>
    <row r="67" spans="1:11" x14ac:dyDescent="0.2">
      <c r="A67" s="707" t="s">
        <v>483</v>
      </c>
      <c r="B67" s="199">
        <f t="shared" ref="B67:I67" si="14">SUM(B35:B39)</f>
        <v>0</v>
      </c>
      <c r="C67" s="199">
        <f t="shared" si="14"/>
        <v>0</v>
      </c>
      <c r="D67" s="199">
        <f t="shared" si="14"/>
        <v>26832</v>
      </c>
      <c r="E67" s="199">
        <f t="shared" si="14"/>
        <v>0</v>
      </c>
      <c r="F67" s="199">
        <f t="shared" si="14"/>
        <v>0</v>
      </c>
      <c r="G67" s="199">
        <f t="shared" si="14"/>
        <v>0</v>
      </c>
      <c r="H67" s="199">
        <f t="shared" si="14"/>
        <v>0</v>
      </c>
      <c r="I67" s="199">
        <f t="shared" ca="1" si="14"/>
        <v>27368.639999999999</v>
      </c>
      <c r="J67" s="497"/>
      <c r="K67" s="216"/>
    </row>
    <row r="68" spans="1:11" x14ac:dyDescent="0.2">
      <c r="A68" s="707" t="s">
        <v>484</v>
      </c>
      <c r="B68" s="748">
        <f>+B66-B67</f>
        <v>0</v>
      </c>
      <c r="C68" s="748">
        <f t="shared" ref="C68:I68" si="15">+C66-C67</f>
        <v>0</v>
      </c>
      <c r="D68" s="748">
        <f t="shared" si="15"/>
        <v>-26832</v>
      </c>
      <c r="E68" s="748">
        <f t="shared" si="15"/>
        <v>0</v>
      </c>
      <c r="F68" s="748">
        <f t="shared" si="15"/>
        <v>0</v>
      </c>
      <c r="G68" s="748">
        <f t="shared" si="15"/>
        <v>0</v>
      </c>
      <c r="H68" s="748">
        <f t="shared" ref="H68" si="16">+H66-H67</f>
        <v>0</v>
      </c>
      <c r="I68" s="748">
        <f t="shared" ca="1" si="15"/>
        <v>-1234.6399999999994</v>
      </c>
      <c r="J68" s="497"/>
      <c r="K68" s="216"/>
    </row>
    <row r="69" spans="1:11" x14ac:dyDescent="0.2">
      <c r="A69" s="707" t="s">
        <v>485</v>
      </c>
      <c r="B69" s="217" t="str">
        <f>IF(ISERROR((+B66/B67)),"",(+B66/B67))</f>
        <v/>
      </c>
      <c r="C69" s="217"/>
      <c r="D69" s="217">
        <f t="shared" ref="D69:I69" si="17">IF(ISERROR((+D66/D67)),"",(+D66/D67))</f>
        <v>0</v>
      </c>
      <c r="E69" s="217" t="str">
        <f t="shared" si="17"/>
        <v/>
      </c>
      <c r="F69" s="217" t="str">
        <f t="shared" si="17"/>
        <v/>
      </c>
      <c r="G69" s="217" t="str">
        <f t="shared" si="17"/>
        <v/>
      </c>
      <c r="H69" s="217" t="str">
        <f t="shared" ref="H69" si="18">IF(ISERROR((+H66/H67)),"",(+H66/H67))</f>
        <v/>
      </c>
      <c r="I69" s="217">
        <f t="shared" ca="1" si="17"/>
        <v>0.95488851473803593</v>
      </c>
      <c r="J69" s="497"/>
      <c r="K69" s="217"/>
    </row>
    <row r="70" spans="1:11" x14ac:dyDescent="0.2">
      <c r="B70" s="199"/>
      <c r="C70" s="199"/>
      <c r="D70" s="199"/>
      <c r="E70" s="199"/>
      <c r="F70" s="199"/>
      <c r="G70" s="199"/>
      <c r="H70" s="199"/>
      <c r="I70" s="199"/>
      <c r="J70" s="497"/>
    </row>
    <row r="71" spans="1:11" x14ac:dyDescent="0.2">
      <c r="A71" s="160" t="s">
        <v>486</v>
      </c>
      <c r="B71" s="655"/>
      <c r="C71" s="199"/>
      <c r="D71" s="199"/>
      <c r="E71" s="199"/>
      <c r="F71" s="199"/>
      <c r="G71" s="199"/>
      <c r="H71" s="199"/>
      <c r="I71" s="199"/>
      <c r="J71" s="497"/>
    </row>
    <row r="72" spans="1:11" x14ac:dyDescent="0.2">
      <c r="A72" s="707" t="s">
        <v>487</v>
      </c>
      <c r="B72" s="199">
        <f t="shared" ref="B72:I72" si="19">B15</f>
        <v>0</v>
      </c>
      <c r="C72" s="199">
        <f t="shared" si="19"/>
        <v>0</v>
      </c>
      <c r="D72" s="199">
        <f t="shared" si="19"/>
        <v>0</v>
      </c>
      <c r="E72" s="199">
        <f t="shared" si="19"/>
        <v>0</v>
      </c>
      <c r="F72" s="199">
        <f t="shared" si="19"/>
        <v>0</v>
      </c>
      <c r="G72" s="199">
        <f t="shared" si="19"/>
        <v>0</v>
      </c>
      <c r="H72" s="199">
        <f t="shared" si="19"/>
        <v>0</v>
      </c>
      <c r="I72" s="199">
        <f t="shared" si="19"/>
        <v>0</v>
      </c>
      <c r="J72" s="497"/>
      <c r="K72" s="216"/>
    </row>
    <row r="73" spans="1:11" x14ac:dyDescent="0.2">
      <c r="A73" s="707" t="s">
        <v>488</v>
      </c>
      <c r="B73" s="199">
        <f t="shared" ref="B73:I73" si="20">B35</f>
        <v>0</v>
      </c>
      <c r="C73" s="199">
        <f t="shared" si="20"/>
        <v>0</v>
      </c>
      <c r="D73" s="199">
        <f t="shared" si="20"/>
        <v>2793</v>
      </c>
      <c r="E73" s="199">
        <f t="shared" si="20"/>
        <v>0</v>
      </c>
      <c r="F73" s="199">
        <f t="shared" si="20"/>
        <v>0</v>
      </c>
      <c r="G73" s="199">
        <f t="shared" si="20"/>
        <v>0</v>
      </c>
      <c r="H73" s="199">
        <f t="shared" si="20"/>
        <v>0</v>
      </c>
      <c r="I73" s="199">
        <f t="shared" ca="1" si="20"/>
        <v>2848.86</v>
      </c>
      <c r="J73" s="497"/>
      <c r="K73" s="216"/>
    </row>
    <row r="74" spans="1:11" x14ac:dyDescent="0.2">
      <c r="A74" s="707" t="s">
        <v>489</v>
      </c>
      <c r="B74" s="748">
        <f>+B72-B73</f>
        <v>0</v>
      </c>
      <c r="C74" s="748">
        <f t="shared" ref="C74:I74" si="21">+C72-C73</f>
        <v>0</v>
      </c>
      <c r="D74" s="748">
        <f t="shared" si="21"/>
        <v>-2793</v>
      </c>
      <c r="E74" s="748">
        <f t="shared" si="21"/>
        <v>0</v>
      </c>
      <c r="F74" s="748">
        <f t="shared" si="21"/>
        <v>0</v>
      </c>
      <c r="G74" s="748">
        <f t="shared" si="21"/>
        <v>0</v>
      </c>
      <c r="H74" s="748">
        <f t="shared" ref="H74" si="22">+H72-H73</f>
        <v>0</v>
      </c>
      <c r="I74" s="748">
        <f t="shared" ca="1" si="21"/>
        <v>-2848.86</v>
      </c>
      <c r="J74" s="497"/>
      <c r="K74" s="216"/>
    </row>
    <row r="75" spans="1:11" x14ac:dyDescent="0.2">
      <c r="A75" s="707" t="s">
        <v>490</v>
      </c>
      <c r="B75" s="676" t="str">
        <f>IF(ISERROR((+B72/B73)),"",(+B72/B73))</f>
        <v/>
      </c>
      <c r="C75" s="676"/>
      <c r="D75" s="676">
        <f t="shared" ref="D75:I75" si="23">IF(ISERROR((+D72/D73)),"",(+D72/D73))</f>
        <v>0</v>
      </c>
      <c r="E75" s="676" t="str">
        <f t="shared" si="23"/>
        <v/>
      </c>
      <c r="F75" s="676" t="str">
        <f t="shared" si="23"/>
        <v/>
      </c>
      <c r="G75" s="676" t="str">
        <f t="shared" si="23"/>
        <v/>
      </c>
      <c r="H75" s="676" t="str">
        <f t="shared" ref="H75" si="24">IF(ISERROR((+H72/H73)),"",(+H72/H73))</f>
        <v/>
      </c>
      <c r="I75" s="676">
        <f t="shared" ca="1" si="23"/>
        <v>0</v>
      </c>
      <c r="J75" s="497"/>
      <c r="K75" s="217"/>
    </row>
    <row r="76" spans="1:11" x14ac:dyDescent="0.2">
      <c r="B76" s="199"/>
      <c r="C76" s="199"/>
      <c r="D76" s="199"/>
      <c r="E76" s="199"/>
      <c r="F76" s="199"/>
      <c r="G76" s="199"/>
      <c r="H76" s="199"/>
      <c r="I76" s="199"/>
      <c r="J76" s="497"/>
    </row>
    <row r="77" spans="1:11" x14ac:dyDescent="0.2">
      <c r="A77" s="160" t="s">
        <v>491</v>
      </c>
      <c r="B77" s="655"/>
      <c r="C77" s="199"/>
      <c r="D77" s="199"/>
      <c r="E77" s="199"/>
      <c r="F77" s="199"/>
      <c r="G77" s="199"/>
      <c r="H77" s="199"/>
      <c r="I77" s="199"/>
      <c r="J77" s="497"/>
    </row>
    <row r="78" spans="1:11" x14ac:dyDescent="0.2">
      <c r="A78" s="707" t="s">
        <v>492</v>
      </c>
      <c r="B78" s="199">
        <f t="shared" ref="B78:I78" si="25">B16</f>
        <v>0</v>
      </c>
      <c r="C78" s="199">
        <f t="shared" si="25"/>
        <v>0</v>
      </c>
      <c r="D78" s="199">
        <f t="shared" si="25"/>
        <v>0</v>
      </c>
      <c r="E78" s="199">
        <f t="shared" si="25"/>
        <v>0</v>
      </c>
      <c r="F78" s="199">
        <f t="shared" si="25"/>
        <v>0</v>
      </c>
      <c r="G78" s="199">
        <f t="shared" si="25"/>
        <v>0</v>
      </c>
      <c r="H78" s="199">
        <f t="shared" si="25"/>
        <v>0</v>
      </c>
      <c r="I78" s="199">
        <f t="shared" si="25"/>
        <v>0</v>
      </c>
      <c r="J78" s="497"/>
      <c r="K78" s="216"/>
    </row>
    <row r="79" spans="1:11" x14ac:dyDescent="0.2">
      <c r="A79" s="707" t="s">
        <v>493</v>
      </c>
      <c r="B79" s="199">
        <f t="shared" ref="B79:I79" si="26">B36</f>
        <v>0</v>
      </c>
      <c r="C79" s="199">
        <f t="shared" si="26"/>
        <v>0</v>
      </c>
      <c r="D79" s="199">
        <f t="shared" si="26"/>
        <v>0</v>
      </c>
      <c r="E79" s="199">
        <f t="shared" si="26"/>
        <v>0</v>
      </c>
      <c r="F79" s="199">
        <f t="shared" si="26"/>
        <v>0</v>
      </c>
      <c r="G79" s="199">
        <f t="shared" si="26"/>
        <v>0</v>
      </c>
      <c r="H79" s="199">
        <f t="shared" si="26"/>
        <v>0</v>
      </c>
      <c r="I79" s="199">
        <f t="shared" ca="1" si="26"/>
        <v>0</v>
      </c>
      <c r="J79" s="497"/>
      <c r="K79" s="216"/>
    </row>
    <row r="80" spans="1:11" x14ac:dyDescent="0.2">
      <c r="A80" s="707" t="s">
        <v>491</v>
      </c>
      <c r="B80" s="748">
        <f>+B78-B79</f>
        <v>0</v>
      </c>
      <c r="C80" s="748">
        <f t="shared" ref="C80:I80" si="27">+C78-C79</f>
        <v>0</v>
      </c>
      <c r="D80" s="748">
        <f t="shared" si="27"/>
        <v>0</v>
      </c>
      <c r="E80" s="748">
        <f t="shared" si="27"/>
        <v>0</v>
      </c>
      <c r="F80" s="748">
        <f t="shared" si="27"/>
        <v>0</v>
      </c>
      <c r="G80" s="748">
        <f t="shared" si="27"/>
        <v>0</v>
      </c>
      <c r="H80" s="748">
        <f t="shared" ref="H80" si="28">+H78-H79</f>
        <v>0</v>
      </c>
      <c r="I80" s="748">
        <f t="shared" ca="1" si="27"/>
        <v>0</v>
      </c>
      <c r="J80" s="497"/>
      <c r="K80" s="216"/>
    </row>
    <row r="81" spans="1:11" x14ac:dyDescent="0.2">
      <c r="A81" s="707" t="s">
        <v>494</v>
      </c>
      <c r="B81" s="676" t="str">
        <f>IF(ISERROR((+B78/B79)),"",(+B78/B79))</f>
        <v/>
      </c>
      <c r="C81" s="676" t="str">
        <f t="shared" ref="C81:I81" si="29">IF(ISERROR((+C78/C79)),"",(+C78/C79))</f>
        <v/>
      </c>
      <c r="D81" s="676" t="str">
        <f t="shared" si="29"/>
        <v/>
      </c>
      <c r="E81" s="676" t="str">
        <f t="shared" si="29"/>
        <v/>
      </c>
      <c r="F81" s="676" t="str">
        <f t="shared" si="29"/>
        <v/>
      </c>
      <c r="G81" s="676" t="str">
        <f t="shared" si="29"/>
        <v/>
      </c>
      <c r="H81" s="676" t="str">
        <f t="shared" ref="H81" si="30">IF(ISERROR((+H78/H79)),"",(+H78/H79))</f>
        <v/>
      </c>
      <c r="I81" s="676" t="str">
        <f t="shared" ca="1" si="29"/>
        <v/>
      </c>
      <c r="J81" s="497"/>
      <c r="K81" s="217"/>
    </row>
    <row r="82" spans="1:11" x14ac:dyDescent="0.2">
      <c r="B82" s="199"/>
      <c r="C82" s="199"/>
      <c r="D82" s="199"/>
      <c r="E82" s="199"/>
      <c r="F82" s="199"/>
      <c r="G82" s="199"/>
      <c r="H82" s="199"/>
      <c r="I82" s="199"/>
      <c r="J82" s="497"/>
    </row>
    <row r="83" spans="1:11" x14ac:dyDescent="0.2">
      <c r="A83" s="160" t="s">
        <v>495</v>
      </c>
      <c r="B83" s="655"/>
      <c r="C83" s="199"/>
      <c r="D83" s="199"/>
      <c r="E83" s="199"/>
      <c r="F83" s="199"/>
      <c r="G83" s="199"/>
      <c r="H83" s="199"/>
      <c r="I83" s="199"/>
      <c r="J83" s="497"/>
    </row>
    <row r="84" spans="1:11" x14ac:dyDescent="0.2">
      <c r="A84" s="707" t="s">
        <v>496</v>
      </c>
      <c r="B84" s="199">
        <f t="shared" ref="B84:I84" si="31">B17</f>
        <v>0</v>
      </c>
      <c r="C84" s="199">
        <f t="shared" si="31"/>
        <v>0</v>
      </c>
      <c r="D84" s="199">
        <f t="shared" si="31"/>
        <v>0</v>
      </c>
      <c r="E84" s="199">
        <f t="shared" si="31"/>
        <v>0</v>
      </c>
      <c r="F84" s="199">
        <f t="shared" si="31"/>
        <v>0</v>
      </c>
      <c r="G84" s="199">
        <f t="shared" si="31"/>
        <v>0</v>
      </c>
      <c r="H84" s="199">
        <f t="shared" si="31"/>
        <v>0</v>
      </c>
      <c r="I84" s="199">
        <f t="shared" si="31"/>
        <v>14640</v>
      </c>
      <c r="J84" s="497"/>
      <c r="K84" s="216"/>
    </row>
    <row r="85" spans="1:11" x14ac:dyDescent="0.2">
      <c r="A85" s="707" t="s">
        <v>497</v>
      </c>
      <c r="B85" s="199">
        <f t="shared" ref="B85:I85" si="32">B37</f>
        <v>0</v>
      </c>
      <c r="C85" s="199">
        <f t="shared" si="32"/>
        <v>0</v>
      </c>
      <c r="D85" s="199">
        <f t="shared" si="32"/>
        <v>13332</v>
      </c>
      <c r="E85" s="199">
        <f t="shared" si="32"/>
        <v>0</v>
      </c>
      <c r="F85" s="199">
        <f t="shared" si="32"/>
        <v>0</v>
      </c>
      <c r="G85" s="199">
        <f t="shared" si="32"/>
        <v>0</v>
      </c>
      <c r="H85" s="199">
        <f t="shared" si="32"/>
        <v>0</v>
      </c>
      <c r="I85" s="199">
        <f t="shared" ca="1" si="32"/>
        <v>13598.64</v>
      </c>
      <c r="J85" s="497"/>
      <c r="K85" s="216"/>
    </row>
    <row r="86" spans="1:11" x14ac:dyDescent="0.2">
      <c r="A86" s="707" t="s">
        <v>495</v>
      </c>
      <c r="B86" s="748">
        <f>+B84-B85</f>
        <v>0</v>
      </c>
      <c r="C86" s="748">
        <f t="shared" ref="C86:I86" si="33">+C84-C85</f>
        <v>0</v>
      </c>
      <c r="D86" s="748">
        <f t="shared" si="33"/>
        <v>-13332</v>
      </c>
      <c r="E86" s="748">
        <f t="shared" si="33"/>
        <v>0</v>
      </c>
      <c r="F86" s="748">
        <f t="shared" si="33"/>
        <v>0</v>
      </c>
      <c r="G86" s="748">
        <f t="shared" si="33"/>
        <v>0</v>
      </c>
      <c r="H86" s="748">
        <f t="shared" ref="H86" si="34">+H84-H85</f>
        <v>0</v>
      </c>
      <c r="I86" s="748">
        <f t="shared" ca="1" si="33"/>
        <v>1041.3600000000006</v>
      </c>
      <c r="J86" s="497"/>
      <c r="K86" s="216"/>
    </row>
    <row r="87" spans="1:11" x14ac:dyDescent="0.2">
      <c r="A87" s="707" t="s">
        <v>498</v>
      </c>
      <c r="B87" s="676" t="str">
        <f>IF(ISERROR((+B84/B85)),"",(+B84/B85))</f>
        <v/>
      </c>
      <c r="C87" s="676" t="str">
        <f t="shared" ref="C87:I87" si="35">IF(ISERROR((+C84/C85)),"",(+C84/C85))</f>
        <v/>
      </c>
      <c r="D87" s="676">
        <f t="shared" si="35"/>
        <v>0</v>
      </c>
      <c r="E87" s="676" t="str">
        <f t="shared" si="35"/>
        <v/>
      </c>
      <c r="F87" s="676" t="str">
        <f t="shared" si="35"/>
        <v/>
      </c>
      <c r="G87" s="676" t="str">
        <f t="shared" si="35"/>
        <v/>
      </c>
      <c r="H87" s="676" t="str">
        <f t="shared" ref="H87" si="36">IF(ISERROR((+H84/H85)),"",(+H84/H85))</f>
        <v/>
      </c>
      <c r="I87" s="676">
        <f t="shared" ca="1" si="35"/>
        <v>1.0765782460599</v>
      </c>
      <c r="J87" s="497"/>
      <c r="K87" s="217"/>
    </row>
    <row r="88" spans="1:11" x14ac:dyDescent="0.2">
      <c r="B88" s="199"/>
      <c r="C88" s="199"/>
      <c r="D88" s="199"/>
      <c r="E88" s="199"/>
      <c r="F88" s="199"/>
      <c r="G88" s="199"/>
      <c r="H88" s="199"/>
      <c r="I88" s="199"/>
      <c r="J88" s="497"/>
    </row>
    <row r="89" spans="1:11" x14ac:dyDescent="0.2">
      <c r="A89" s="160" t="s">
        <v>499</v>
      </c>
      <c r="B89" s="655"/>
      <c r="C89" s="199"/>
      <c r="D89" s="199"/>
      <c r="E89" s="199"/>
      <c r="F89" s="199"/>
      <c r="G89" s="199"/>
      <c r="H89" s="199"/>
      <c r="I89" s="199"/>
      <c r="J89" s="497"/>
    </row>
    <row r="90" spans="1:11" x14ac:dyDescent="0.2">
      <c r="A90" s="707" t="s">
        <v>500</v>
      </c>
      <c r="B90" s="199">
        <f t="shared" ref="B90:I90" si="37">B18</f>
        <v>0</v>
      </c>
      <c r="C90" s="199">
        <f t="shared" si="37"/>
        <v>0</v>
      </c>
      <c r="D90" s="199">
        <f t="shared" si="37"/>
        <v>0</v>
      </c>
      <c r="E90" s="199">
        <f t="shared" si="37"/>
        <v>0</v>
      </c>
      <c r="F90" s="199">
        <f t="shared" si="37"/>
        <v>0</v>
      </c>
      <c r="G90" s="199">
        <f t="shared" si="37"/>
        <v>0</v>
      </c>
      <c r="H90" s="199">
        <f t="shared" si="37"/>
        <v>0</v>
      </c>
      <c r="I90" s="199">
        <f t="shared" si="37"/>
        <v>0</v>
      </c>
      <c r="J90" s="497"/>
      <c r="K90" s="216"/>
    </row>
    <row r="91" spans="1:11" x14ac:dyDescent="0.2">
      <c r="A91" s="707" t="s">
        <v>501</v>
      </c>
      <c r="B91" s="199">
        <f t="shared" ref="B91:I91" si="38">B38</f>
        <v>0</v>
      </c>
      <c r="C91" s="199">
        <f t="shared" si="38"/>
        <v>0</v>
      </c>
      <c r="D91" s="199">
        <f t="shared" si="38"/>
        <v>0</v>
      </c>
      <c r="E91" s="199">
        <f t="shared" si="38"/>
        <v>0</v>
      </c>
      <c r="F91" s="199">
        <f t="shared" si="38"/>
        <v>0</v>
      </c>
      <c r="G91" s="199">
        <f t="shared" si="38"/>
        <v>0</v>
      </c>
      <c r="H91" s="199">
        <f t="shared" si="38"/>
        <v>0</v>
      </c>
      <c r="I91" s="199">
        <f t="shared" ca="1" si="38"/>
        <v>0</v>
      </c>
      <c r="J91" s="497"/>
      <c r="K91" s="216"/>
    </row>
    <row r="92" spans="1:11" x14ac:dyDescent="0.2">
      <c r="A92" s="707" t="s">
        <v>499</v>
      </c>
      <c r="B92" s="748">
        <f>+B90-B91</f>
        <v>0</v>
      </c>
      <c r="C92" s="748">
        <f t="shared" ref="C92" si="39">+C90-C91</f>
        <v>0</v>
      </c>
      <c r="D92" s="748">
        <f t="shared" ref="D92" si="40">+D90-D91</f>
        <v>0</v>
      </c>
      <c r="E92" s="748">
        <f t="shared" ref="E92" si="41">+E90-E91</f>
        <v>0</v>
      </c>
      <c r="F92" s="748">
        <f t="shared" ref="F92" si="42">+F90-F91</f>
        <v>0</v>
      </c>
      <c r="G92" s="748">
        <f t="shared" ref="G92:H92" si="43">+G90-G91</f>
        <v>0</v>
      </c>
      <c r="H92" s="748">
        <f t="shared" si="43"/>
        <v>0</v>
      </c>
      <c r="I92" s="748">
        <f t="shared" ref="I92" ca="1" si="44">+I90-I91</f>
        <v>0</v>
      </c>
      <c r="J92" s="497"/>
      <c r="K92" s="216"/>
    </row>
    <row r="93" spans="1:11" x14ac:dyDescent="0.2">
      <c r="A93" s="707" t="s">
        <v>502</v>
      </c>
      <c r="B93" s="676" t="str">
        <f>IF(ISERROR((+B90/B91)),"",(+B90/B91))</f>
        <v/>
      </c>
      <c r="C93" s="676" t="str">
        <f t="shared" ref="C93:I93" si="45">IF(ISERROR((+C90/C91)),"",(+C90/C91))</f>
        <v/>
      </c>
      <c r="D93" s="676" t="str">
        <f t="shared" si="45"/>
        <v/>
      </c>
      <c r="E93" s="676" t="str">
        <f t="shared" si="45"/>
        <v/>
      </c>
      <c r="F93" s="676" t="str">
        <f t="shared" si="45"/>
        <v/>
      </c>
      <c r="G93" s="676" t="str">
        <f t="shared" si="45"/>
        <v/>
      </c>
      <c r="H93" s="676" t="str">
        <f t="shared" ref="H93" si="46">IF(ISERROR((+H90/H91)),"",(+H90/H91))</f>
        <v/>
      </c>
      <c r="I93" s="676" t="str">
        <f t="shared" ca="1" si="45"/>
        <v/>
      </c>
      <c r="J93" s="497"/>
      <c r="K93" s="217"/>
    </row>
    <row r="94" spans="1:11" x14ac:dyDescent="0.2">
      <c r="B94" s="199"/>
      <c r="C94" s="199"/>
      <c r="D94" s="199"/>
      <c r="E94" s="199"/>
      <c r="F94" s="199"/>
      <c r="G94" s="199"/>
      <c r="H94" s="199"/>
      <c r="I94" s="199"/>
      <c r="J94" s="497"/>
    </row>
    <row r="95" spans="1:11" x14ac:dyDescent="0.2">
      <c r="A95" s="160" t="s">
        <v>503</v>
      </c>
      <c r="B95" s="655"/>
      <c r="C95" s="199"/>
      <c r="D95" s="199"/>
      <c r="E95" s="199"/>
      <c r="F95" s="199"/>
      <c r="G95" s="199"/>
      <c r="H95" s="199"/>
      <c r="I95" s="199"/>
      <c r="J95" s="497"/>
    </row>
    <row r="96" spans="1:11" x14ac:dyDescent="0.2">
      <c r="A96" s="707" t="s">
        <v>504</v>
      </c>
      <c r="B96" s="199">
        <f t="shared" ref="B96:I96" si="47">B19</f>
        <v>0</v>
      </c>
      <c r="C96" s="199">
        <f t="shared" si="47"/>
        <v>0</v>
      </c>
      <c r="D96" s="199">
        <f t="shared" si="47"/>
        <v>0</v>
      </c>
      <c r="E96" s="199">
        <f t="shared" si="47"/>
        <v>0</v>
      </c>
      <c r="F96" s="199">
        <f t="shared" si="47"/>
        <v>0</v>
      </c>
      <c r="G96" s="199">
        <f t="shared" si="47"/>
        <v>0</v>
      </c>
      <c r="H96" s="199">
        <f t="shared" si="47"/>
        <v>0</v>
      </c>
      <c r="I96" s="199">
        <f t="shared" si="47"/>
        <v>11494</v>
      </c>
      <c r="J96" s="497"/>
      <c r="K96" s="216"/>
    </row>
    <row r="97" spans="1:11" x14ac:dyDescent="0.2">
      <c r="A97" s="707" t="s">
        <v>505</v>
      </c>
      <c r="B97" s="199">
        <f t="shared" ref="B97:I97" si="48">B39</f>
        <v>0</v>
      </c>
      <c r="C97" s="199">
        <f t="shared" si="48"/>
        <v>0</v>
      </c>
      <c r="D97" s="199">
        <f t="shared" si="48"/>
        <v>10707</v>
      </c>
      <c r="E97" s="199">
        <f t="shared" si="48"/>
        <v>0</v>
      </c>
      <c r="F97" s="199">
        <f t="shared" si="48"/>
        <v>0</v>
      </c>
      <c r="G97" s="199">
        <f t="shared" si="48"/>
        <v>0</v>
      </c>
      <c r="H97" s="199">
        <f t="shared" si="48"/>
        <v>0</v>
      </c>
      <c r="I97" s="199">
        <f t="shared" ca="1" si="48"/>
        <v>10921.14</v>
      </c>
      <c r="J97" s="497"/>
      <c r="K97" s="216"/>
    </row>
    <row r="98" spans="1:11" x14ac:dyDescent="0.2">
      <c r="A98" s="707" t="s">
        <v>503</v>
      </c>
      <c r="B98" s="748">
        <f>+B96-B97</f>
        <v>0</v>
      </c>
      <c r="C98" s="748">
        <f t="shared" ref="C98" si="49">+C96-C97</f>
        <v>0</v>
      </c>
      <c r="D98" s="748">
        <f t="shared" ref="D98" si="50">+D96-D97</f>
        <v>-10707</v>
      </c>
      <c r="E98" s="748">
        <f t="shared" ref="E98" si="51">+E96-E97</f>
        <v>0</v>
      </c>
      <c r="F98" s="748">
        <f t="shared" ref="F98" si="52">+F96-F97</f>
        <v>0</v>
      </c>
      <c r="G98" s="748">
        <f t="shared" ref="G98:H98" si="53">+G96-G97</f>
        <v>0</v>
      </c>
      <c r="H98" s="748">
        <f t="shared" si="53"/>
        <v>0</v>
      </c>
      <c r="I98" s="748">
        <f t="shared" ref="I98" ca="1" si="54">+I96-I97</f>
        <v>572.86000000000058</v>
      </c>
      <c r="J98" s="497"/>
      <c r="K98" s="216"/>
    </row>
    <row r="99" spans="1:11" x14ac:dyDescent="0.2">
      <c r="A99" s="707" t="s">
        <v>506</v>
      </c>
      <c r="B99" s="676" t="str">
        <f>IF(ISERROR((+B96/B97)),"",(+B96/B97))</f>
        <v/>
      </c>
      <c r="C99" s="676" t="str">
        <f t="shared" ref="C99:I99" si="55">IF(ISERROR((+C96/C97)),"",(+C96/C97))</f>
        <v/>
      </c>
      <c r="D99" s="676">
        <f t="shared" si="55"/>
        <v>0</v>
      </c>
      <c r="E99" s="676" t="str">
        <f t="shared" si="55"/>
        <v/>
      </c>
      <c r="F99" s="676" t="str">
        <f t="shared" si="55"/>
        <v/>
      </c>
      <c r="G99" s="676" t="str">
        <f t="shared" si="55"/>
        <v/>
      </c>
      <c r="H99" s="676" t="str">
        <f t="shared" ref="H99" si="56">IF(ISERROR((+H96/H97)),"",(+H96/H97))</f>
        <v/>
      </c>
      <c r="I99" s="676">
        <f t="shared" ca="1" si="55"/>
        <v>1.0524542309685621</v>
      </c>
      <c r="J99" s="497"/>
      <c r="K99" s="217"/>
    </row>
    <row r="100" spans="1:11" x14ac:dyDescent="0.2">
      <c r="B100" s="199"/>
      <c r="C100" s="199"/>
      <c r="D100" s="199"/>
      <c r="E100" s="199"/>
      <c r="F100" s="199"/>
      <c r="G100" s="199"/>
      <c r="H100" s="199"/>
      <c r="I100" s="199"/>
      <c r="J100" s="497"/>
    </row>
    <row r="101" spans="1:11" x14ac:dyDescent="0.2">
      <c r="A101" s="160" t="s">
        <v>507</v>
      </c>
      <c r="B101" s="655"/>
      <c r="C101" s="199"/>
      <c r="D101" s="199"/>
      <c r="E101" s="199"/>
      <c r="F101" s="199"/>
      <c r="G101" s="199"/>
      <c r="H101" s="199"/>
      <c r="I101" s="199"/>
      <c r="J101" s="497"/>
    </row>
    <row r="102" spans="1:11" x14ac:dyDescent="0.2">
      <c r="A102" s="707" t="s">
        <v>508</v>
      </c>
      <c r="B102" s="199">
        <f t="shared" ref="B102:I102" si="57">SUM(B18:B19)</f>
        <v>0</v>
      </c>
      <c r="C102" s="199">
        <f t="shared" si="57"/>
        <v>0</v>
      </c>
      <c r="D102" s="199">
        <f t="shared" si="57"/>
        <v>0</v>
      </c>
      <c r="E102" s="199">
        <f t="shared" si="57"/>
        <v>0</v>
      </c>
      <c r="F102" s="199">
        <f t="shared" si="57"/>
        <v>0</v>
      </c>
      <c r="G102" s="199">
        <f t="shared" si="57"/>
        <v>0</v>
      </c>
      <c r="H102" s="199">
        <f t="shared" si="57"/>
        <v>0</v>
      </c>
      <c r="I102" s="199">
        <f t="shared" si="57"/>
        <v>11494</v>
      </c>
      <c r="J102" s="497"/>
      <c r="K102" s="216"/>
    </row>
    <row r="103" spans="1:11" x14ac:dyDescent="0.2">
      <c r="A103" s="707" t="s">
        <v>509</v>
      </c>
      <c r="B103" s="199">
        <f t="shared" ref="B103:I103" si="58">SUM(B38:B39)</f>
        <v>0</v>
      </c>
      <c r="C103" s="199">
        <f t="shared" si="58"/>
        <v>0</v>
      </c>
      <c r="D103" s="199">
        <f t="shared" si="58"/>
        <v>10707</v>
      </c>
      <c r="E103" s="199">
        <f t="shared" si="58"/>
        <v>0</v>
      </c>
      <c r="F103" s="199">
        <f t="shared" si="58"/>
        <v>0</v>
      </c>
      <c r="G103" s="199">
        <f t="shared" si="58"/>
        <v>0</v>
      </c>
      <c r="H103" s="199">
        <f t="shared" si="58"/>
        <v>0</v>
      </c>
      <c r="I103" s="199">
        <f t="shared" ca="1" si="58"/>
        <v>10921.14</v>
      </c>
      <c r="J103" s="497"/>
      <c r="K103" s="216"/>
    </row>
    <row r="104" spans="1:11" x14ac:dyDescent="0.2">
      <c r="A104" s="707" t="s">
        <v>507</v>
      </c>
      <c r="B104" s="748">
        <f>+B102-B103</f>
        <v>0</v>
      </c>
      <c r="C104" s="748">
        <f t="shared" ref="C104" si="59">+C102-C103</f>
        <v>0</v>
      </c>
      <c r="D104" s="748">
        <f t="shared" ref="D104" si="60">+D102-D103</f>
        <v>-10707</v>
      </c>
      <c r="E104" s="748">
        <f t="shared" ref="E104" si="61">+E102-E103</f>
        <v>0</v>
      </c>
      <c r="F104" s="748">
        <f t="shared" ref="F104" si="62">+F102-F103</f>
        <v>0</v>
      </c>
      <c r="G104" s="748">
        <f t="shared" ref="G104:H104" si="63">+G102-G103</f>
        <v>0</v>
      </c>
      <c r="H104" s="748">
        <f t="shared" si="63"/>
        <v>0</v>
      </c>
      <c r="I104" s="748">
        <f t="shared" ref="I104" ca="1" si="64">+I102-I103</f>
        <v>572.86000000000058</v>
      </c>
      <c r="J104" s="497"/>
      <c r="K104" s="216"/>
    </row>
    <row r="105" spans="1:11" x14ac:dyDescent="0.2">
      <c r="A105" s="707" t="s">
        <v>510</v>
      </c>
      <c r="B105" s="676" t="str">
        <f>IF(ISERROR((+B102/B103)),"",(+B102/B103))</f>
        <v/>
      </c>
      <c r="C105" s="676"/>
      <c r="D105" s="676">
        <f t="shared" ref="D105:I105" si="65">IF(ISERROR((+D102/D103)),"",(+D102/D103))</f>
        <v>0</v>
      </c>
      <c r="E105" s="676" t="str">
        <f t="shared" si="65"/>
        <v/>
      </c>
      <c r="F105" s="676" t="str">
        <f t="shared" si="65"/>
        <v/>
      </c>
      <c r="G105" s="676" t="str">
        <f t="shared" si="65"/>
        <v/>
      </c>
      <c r="H105" s="676"/>
      <c r="I105" s="676">
        <f t="shared" ca="1" si="65"/>
        <v>1.0524542309685621</v>
      </c>
      <c r="J105" s="217"/>
      <c r="K105" s="217"/>
    </row>
    <row r="110" spans="1:11" x14ac:dyDescent="0.2">
      <c r="A110" s="174" t="s">
        <v>511</v>
      </c>
      <c r="B110" s="174">
        <f>+B60</f>
        <v>2022</v>
      </c>
      <c r="C110" s="174">
        <f t="shared" ref="C110:E110" si="66">+C60</f>
        <v>2023</v>
      </c>
      <c r="D110" s="174">
        <f t="shared" si="66"/>
        <v>2024</v>
      </c>
      <c r="E110" s="174" t="str">
        <f t="shared" si="66"/>
        <v>Trailing 12</v>
      </c>
      <c r="F110" s="174" t="str">
        <f>LEFT(F31,4)&amp;" Ann."</f>
        <v>2025 Ann.</v>
      </c>
      <c r="G110" s="174" t="s">
        <v>433</v>
      </c>
      <c r="H110" s="174" t="s">
        <v>428</v>
      </c>
      <c r="I110" s="174" t="s">
        <v>456</v>
      </c>
      <c r="J110" s="174"/>
      <c r="K110" s="174"/>
    </row>
  </sheetData>
  <mergeCells count="9">
    <mergeCell ref="F59:F60"/>
    <mergeCell ref="G59:G60"/>
    <mergeCell ref="A64:I64"/>
    <mergeCell ref="A1:G1"/>
    <mergeCell ref="A3:G3"/>
    <mergeCell ref="F4:F5"/>
    <mergeCell ref="G4:G5"/>
    <mergeCell ref="A29:G29"/>
    <mergeCell ref="H4: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activeCell="T12" sqref="T12"/>
    </sheetView>
  </sheetViews>
  <sheetFormatPr baseColWidth="10" defaultColWidth="9.1640625" defaultRowHeight="15" x14ac:dyDescent="0.2"/>
  <cols>
    <col min="1" max="16384" width="9.1640625" style="150"/>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q W D 3 W l u A 5 m S l A A A A 9 w A A A B I A H A B D b 2 5 m a W c v U G F j a 2 F n Z S 5 4 b W w g o h g A K K A U A A A A A A A A A A A A A A A A A A A A A A A A A A A A h Y + x D o I w G I R f h X S n L c h g y E 8 Z X C U x I R r X p l R s h B 9 D i + X d H H w k X 0 G M o m 4 O N 9 z d N 9 z d r z f I x 7 Y J L r q 3 p s O M R J S T Q K P q K o N 1 R g Z 3 C J c k F 7 C R 6 i R r H U w w 2 n S 0 V U a O z p 1 T x r z 3 1 C 9 o 1 9 c s 5 j x i + 2 J d q q N u J f n A 5 j 8 c G r R O o t J E w O 4 1 R s Q 0 S p J J P K Y c 2 J x C Y f B L x N P g Z / s T w m p o 3 N B r o T H c l s B m C + x 9 Q j w A U E s D B B Q A A g A I A K l g 9 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Y P d a K I p H u A 4 A A A A R A A A A E w A c A E Z v c m 1 1 b G F z L 1 N l Y 3 R p b 2 4 x L m 0 g o h g A K K A U A A A A A A A A A A A A A A A A A A A A A A A A A A A A K 0 5 N L s n M z 1 M I h t C G 1 g B Q S w E C L Q A U A A I A C A C p Y P d a W 4 D m Z K U A A A D 3 A A A A E g A A A A A A A A A A A A A A A A A A A A A A Q 2 9 u Z m l n L 1 B h Y 2 t h Z 2 U u e G 1 s U E s B A i 0 A F A A C A A g A q W D 3 W g / K 6 a u k A A A A 6 Q A A A B M A A A A A A A A A A A A A A A A A 8 Q A A A F t D b 2 5 0 Z W 5 0 X 1 R 5 c G V z X S 5 4 b W x Q S w E C L Q A U A A I A C A C p Y P 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7 O M 6 Y H 0 w 0 + 9 F T G 0 h V h U i g A A A A A C A A A A A A A Q Z g A A A A E A A C A A A A A y L 3 E F s N G U B n 3 t 3 v E D W G 5 w F + + 7 a l t G 8 7 A g v L Q g F A A + O w A A A A A O g A A A A A I A A C A A A A C U A N 7 i + y e o x V i G 1 f H u u B w J U B 7 4 i 8 a A z I Q 6 b r v s 9 H B q o 1 A A A A D Y 5 t H X O c 3 / l c E D H 5 l b J 9 9 C g 0 p Z W Z B j Y O o z N 0 i 4 j m D 5 2 2 A y w z 5 E R O 2 j M J b w u O + G 8 U + q u j Q u f E 9 d n 1 i E i F w O l O R c b p j 0 0 5 N / u X y k l y Q W n V G W q U A A A A D O X Z + / S h C 6 d x L 5 f i / i q K W 4 E X u J Y u 5 i e R j g q P G X / P 1 w E f h / g 5 2 W h 8 3 K T R c 5 H j 9 b 7 k 5 n y e B 3 T t 5 j I 1 Z + 5 9 w T V M 8 9 < / D a t a M a s h u p > 
</file>

<file path=customXml/item2.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20" ma:contentTypeDescription="Create a new document." ma:contentTypeScope="" ma:versionID="4db5e129ab31c285a89695e92eebe5c5">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8ab809647096a3a550d3b962d30810b0"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URSRN5MXTWVJ-218288145-224908</_dlc_DocId>
    <_dlc_DocIdUrl xmlns="0765e0a5-7ba2-402d-9946-2e0ed7c63ed3">
      <Url>https://netorg4686179.sharepoint.com/_layouts/15/DocIdRedir.aspx?ID=URSRN5MXTWVJ-218288145-224908</Url>
      <Description>URSRN5MXTWVJ-218288145-224908</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AE882FB-4A4E-4E78-BDBA-510EF16679B4}">
  <ds:schemaRefs>
    <ds:schemaRef ds:uri="http://schemas.microsoft.com/DataMashup"/>
  </ds:schemaRefs>
</ds:datastoreItem>
</file>

<file path=customXml/itemProps2.xml><?xml version="1.0" encoding="utf-8"?>
<ds:datastoreItem xmlns:ds="http://schemas.openxmlformats.org/officeDocument/2006/customXml" ds:itemID="{D56B6D44-215F-469C-8692-71CD905776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EE7931-965C-4716-AA0A-D6F74EF988F2}">
  <ds:schemaRefs>
    <ds:schemaRef ds:uri="http://schemas.microsoft.com/sharepoint/v3/contenttype/forms"/>
  </ds:schemaRefs>
</ds:datastoreItem>
</file>

<file path=customXml/itemProps4.xml><?xml version="1.0" encoding="utf-8"?>
<ds:datastoreItem xmlns:ds="http://schemas.openxmlformats.org/officeDocument/2006/customXml" ds:itemID="{33A34812-8725-4855-807D-D659D4C9EB7D}">
  <ds:schemaRefs>
    <ds:schemaRef ds:uri="http://schemas.microsoft.com/office/2006/metadata/properties"/>
    <ds:schemaRef ds:uri="http://purl.org/dc/elements/1.1/"/>
    <ds:schemaRef ds:uri="http://schemas.microsoft.com/office/infopath/2007/PartnerControls"/>
    <ds:schemaRef ds:uri="http://purl.org/dc/terms/"/>
    <ds:schemaRef ds:uri="http://purl.org/dc/dcmitype/"/>
    <ds:schemaRef ds:uri="http://www.w3.org/XML/1998/namespace"/>
    <ds:schemaRef ds:uri="http://schemas.microsoft.com/office/2006/documentManagement/types"/>
    <ds:schemaRef ds:uri="http://schemas.openxmlformats.org/package/2006/metadata/core-properties"/>
    <ds:schemaRef ds:uri="6e23940f-583b-478a-a4f1-8d38fb5b28cc"/>
    <ds:schemaRef ds:uri="0765e0a5-7ba2-402d-9946-2e0ed7c63ed3"/>
  </ds:schemaRefs>
</ds:datastoreItem>
</file>

<file path=customXml/itemProps5.xml><?xml version="1.0" encoding="utf-8"?>
<ds:datastoreItem xmlns:ds="http://schemas.openxmlformats.org/officeDocument/2006/customXml" ds:itemID="{A8472779-7EEF-4CD4-9B21-6D99EAECB1B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11</vt:i4>
      </vt:variant>
      <vt:variant>
        <vt:lpstr>Charts</vt:lpstr>
      </vt:variant>
      <vt:variant>
        <vt:i4>1</vt:i4>
      </vt:variant>
      <vt:variant>
        <vt:lpstr>Named Ranges</vt:lpstr>
      </vt:variant>
      <vt:variant>
        <vt:i4>37</vt:i4>
      </vt:variant>
    </vt:vector>
  </HeadingPairs>
  <TitlesOfParts>
    <vt:vector size="49" baseType="lpstr">
      <vt:lpstr>Executive Summary</vt:lpstr>
      <vt:lpstr>Financial Summary</vt:lpstr>
      <vt:lpstr>Park Images</vt:lpstr>
      <vt:lpstr>Notes</vt:lpstr>
      <vt:lpstr>Proforma</vt:lpstr>
      <vt:lpstr>Comps-Market-Park</vt:lpstr>
      <vt:lpstr>IE Data Entry</vt:lpstr>
      <vt:lpstr>IE SUMMARY</vt:lpstr>
      <vt:lpstr>Expense Compare Chart</vt:lpstr>
      <vt:lpstr>BVG Chart Of Accounts</vt:lpstr>
      <vt:lpstr>WaterFall</vt:lpstr>
      <vt:lpstr>Chart1</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FirstRefiYear</vt:lpstr>
      <vt:lpstr>GlobalInflation</vt:lpstr>
      <vt:lpstr>GoingInCapToHide</vt:lpstr>
      <vt:lpstr>Income_Account_Codes</vt:lpstr>
      <vt:lpstr>InitialLoan</vt:lpstr>
      <vt:lpstr>InvestorPref</vt:lpstr>
      <vt:lpstr>InvestorPromote</vt:lpstr>
      <vt:lpstr>MgmtFee</vt:lpstr>
      <vt:lpstr>MgmtFeeLimit</vt:lpstr>
      <vt:lpstr>MoveCount</vt:lpstr>
      <vt:lpstr>NewTaxes</vt:lpstr>
      <vt:lpstr>NoHighlightRange</vt:lpstr>
      <vt:lpstr>NoOfSpaces</vt:lpstr>
      <vt:lpstr>OccPadsNum</vt:lpstr>
      <vt:lpstr>OtherFTE</vt:lpstr>
      <vt:lpstr>Park_Name</vt:lpstr>
      <vt:lpstr>WaterFall!Preferred_Return</vt:lpstr>
      <vt:lpstr>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Rachel Zirin</cp:lastModifiedBy>
  <cp:revision/>
  <dcterms:created xsi:type="dcterms:W3CDTF">2002-10-16T22:59:56Z</dcterms:created>
  <dcterms:modified xsi:type="dcterms:W3CDTF">2025-09-02T19:21:28Z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01dfe03b-e748-442f-9d5d-7f8e6f2d70c2</vt:lpwstr>
  </property>
  <property fmtid="{D5CDD505-2E9C-101B-9397-08002B2CF9AE}" pid="4" name="MediaServiceImageTags">
    <vt:lpwstr/>
  </property>
</Properties>
</file>