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/Users/rachelzirin/Downloads/"/>
    </mc:Choice>
  </mc:AlternateContent>
  <xr:revisionPtr revIDLastSave="0" documentId="13_ncr:1_{9EDDFA55-4FDB-5A4D-AF4F-28C1421E46AD}" xr6:coauthVersionLast="47" xr6:coauthVersionMax="47" xr10:uidLastSave="{00000000-0000-0000-0000-000000000000}"/>
  <bookViews>
    <workbookView xWindow="1520" yWindow="1500" windowWidth="17280" windowHeight="8880" xr2:uid="{047DD966-0158-484F-9EE6-B569EC8A0788}"/>
  </bookViews>
  <sheets>
    <sheet name="Executive Summary" sheetId="8" r:id="rId1"/>
    <sheet name="Financial Summary" sheetId="7" r:id="rId2"/>
    <sheet name="Park Images" sheetId="5" r:id="rId3"/>
    <sheet name="Proforma" sheetId="1" r:id="rId4"/>
    <sheet name="Notes" sheetId="2" r:id="rId5"/>
    <sheet name="Comps-Market-Park" sheetId="4" state="veryHidden" r:id="rId6"/>
    <sheet name="Rent Roll " sheetId="10" state="veryHidden" r:id="rId7"/>
    <sheet name="Quick Eval" sheetId="20" state="veryHidden" r:id="rId8"/>
    <sheet name="Closing Funds - POHs" sheetId="16" state="veryHidden" r:id="rId9"/>
    <sheet name="Year 1 Proforma" sheetId="22" state="veryHidden" r:id="rId10"/>
    <sheet name="IE Data Entry" sheetId="11" state="veryHidden" r:id="rId11"/>
    <sheet name="IE SUMMARY" sheetId="12" state="veryHidden" r:id="rId12"/>
    <sheet name="Inc-Exp-NOI Chart" sheetId="13" state="veryHidden" r:id="rId13"/>
    <sheet name="Expense Compare Chart" sheetId="14" state="veryHidden" r:id="rId14"/>
    <sheet name="BVG Chart Of Accounts" sheetId="15" state="veryHidden" r:id="rId15"/>
    <sheet name="1- PSA-LOI Fields" sheetId="17" state="veryHidden" r:id="rId16"/>
    <sheet name="WaterFall" sheetId="19" state="veryHidden" r:id="rId17"/>
  </sheets>
  <externalReferences>
    <externalReference r:id="rId18"/>
  </externalReferences>
  <definedNames>
    <definedName name="_Fill" localSheetId="15" hidden="1">#REF!</definedName>
    <definedName name="_Fill" localSheetId="16" hidden="1">#REF!</definedName>
    <definedName name="_Fill" hidden="1">#REF!</definedName>
    <definedName name="_Order1" hidden="1">0</definedName>
    <definedName name="_Table2_Out" localSheetId="15" hidden="1">[1]Matrix!#REF!</definedName>
    <definedName name="_Table2_Out" localSheetId="16" hidden="1">[1]Matrix!#REF!</definedName>
    <definedName name="_Table2_Out" hidden="1">[1]Matrix!#REF!</definedName>
    <definedName name="AcquisitionFee">Proforma!$N$6</definedName>
    <definedName name="AssetMgmtFee">Proforma!$N$7</definedName>
    <definedName name="BVG_Internal">Proforma!$153:$403</definedName>
    <definedName name="BVGPromote">Proforma!$K$21</definedName>
    <definedName name="ChartOfAccounts">'BVG Chart Of Accounts'!$A$18:$B$41</definedName>
    <definedName name="CommAssets">Notes!$D$44</definedName>
    <definedName name="Cost_of_Sale">Proforma!$I$157</definedName>
    <definedName name="CU?" localSheetId="16">WaterFall!$A$5</definedName>
    <definedName name="Current_Year">'IE Data Entry'!$B$3</definedName>
    <definedName name="DispositionFee">Proforma!$N$9</definedName>
    <definedName name="Equity_Share_LP" localSheetId="16">WaterFall!$C$9</definedName>
    <definedName name="Equity_Share_Sponsor" localSheetId="16">WaterFall!$C$8</definedName>
    <definedName name="GlobalInflation">Proforma!$J$4</definedName>
    <definedName name="GoingInCapToHide">Proforma!$C$7:$D$7</definedName>
    <definedName name="Hilton" localSheetId="15" hidden="1">{#N/A,#N/A,FALSE,"ExecSum";#N/A,#N/A,FALSE,"Summary";#N/A,#N/A,FALSE,"Budget";#N/A,#N/A,FALSE,"CashFlow"}</definedName>
    <definedName name="Hilton" localSheetId="16" hidden="1">{#N/A,#N/A,FALSE,"ExecSum";#N/A,#N/A,FALSE,"Summary";#N/A,#N/A,FALSE,"Budget";#N/A,#N/A,FALSE,"CashFlow"}</definedName>
    <definedName name="Hilton" localSheetId="9" hidden="1">{#N/A,#N/A,FALSE,"ExecSum";#N/A,#N/A,FALSE,"Summary";#N/A,#N/A,FALSE,"Budget";#N/A,#N/A,FALSE,"CashFlow"}</definedName>
    <definedName name="Hilton" hidden="1">{#N/A,#N/A,FALSE,"ExecSum";#N/A,#N/A,FALSE,"Summary";#N/A,#N/A,FALSE,"Budget";#N/A,#N/A,FALSE,"CashFlow"}</definedName>
    <definedName name="Income_Account_Codes">'BVG Chart Of Accounts'!$A$2:$B$13</definedName>
    <definedName name="InitialLoan">Proforma!$F$92</definedName>
    <definedName name="IntroPrintArea" localSheetId="16" hidden="1">#REF!</definedName>
    <definedName name="IntroPrintArea" hidden="1">#REF!</definedName>
    <definedName name="InvestorPref">Proforma!$K$22</definedName>
    <definedName name="InvestorPromote">Proforma!$K$20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42145.5554861111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Maintenance___Capital_Reserve">'Year 1 Proforma'!$I$6</definedName>
    <definedName name="MgmtFee">Proforma!$J$5</definedName>
    <definedName name="MgmtFeeLimit">Proforma!$J$6</definedName>
    <definedName name="MoveCount">'IE Data Entry'!$O$2</definedName>
    <definedName name="NewTaxes">Notes!#REF!</definedName>
    <definedName name="NoHighlightRange">Proforma!$E$29:$AJ$85</definedName>
    <definedName name="NoOfSpaces">Proforma!$D$15</definedName>
    <definedName name="OccPadsNum">Proforma!$E$15</definedName>
    <definedName name="OtherFTE">Notes!#REF!</definedName>
    <definedName name="Park_Name">Proforma!$U$1</definedName>
    <definedName name="Preferred_Return" localSheetId="16">WaterFall!$E$14</definedName>
    <definedName name="_xlnm.Print_Titles" localSheetId="3">Proforma!$33:$34</definedName>
    <definedName name="_xlnm.Print_Titles" localSheetId="9">'Year 1 Proforma'!$27:$28</definedName>
    <definedName name="Promote_Structure" localSheetId="16">WaterFall!$B$13:$I$17</definedName>
    <definedName name="Purchase_Price">Proforma!$D$4</definedName>
    <definedName name="RefiCap">Proforma!$E$102</definedName>
    <definedName name="RefinanceFee">Proforma!$N$8</definedName>
    <definedName name="ResAssets">Notes!$D$50</definedName>
    <definedName name="SewerInflation">Proforma!$E$47</definedName>
    <definedName name="Total_Equity" localSheetId="16">WaterFall!$D$10</definedName>
    <definedName name="wrn.bankrep." localSheetId="15" hidden="1">{#N/A,#N/A,FALSE,"ExecSum";#N/A,#N/A,FALSE,"Summary";#N/A,#N/A,FALSE,"Budget";#N/A,#N/A,FALSE,"CashFlow"}</definedName>
    <definedName name="wrn.bankrep." localSheetId="16" hidden="1">{#N/A,#N/A,FALSE,"ExecSum";#N/A,#N/A,FALSE,"Summary";#N/A,#N/A,FALSE,"Budget";#N/A,#N/A,FALSE,"CashFlow"}</definedName>
    <definedName name="wrn.bankrep." localSheetId="9" hidden="1">{#N/A,#N/A,FALSE,"ExecSum";#N/A,#N/A,FALSE,"Summary";#N/A,#N/A,FALSE,"Budget";#N/A,#N/A,FALSE,"CashFlow"}</definedName>
    <definedName name="wrn.bankrep." hidden="1">{#N/A,#N/A,FALSE,"ExecSum";#N/A,#N/A,FALSE,"Summary";#N/A,#N/A,FALSE,"Budget";#N/A,#N/A,FALSE,"CashFlow"}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8" l="1"/>
  <c r="C9" i="2"/>
  <c r="E68" i="1"/>
  <c r="E56" i="1"/>
  <c r="F75" i="1"/>
  <c r="F29" i="1"/>
  <c r="G29" i="1" s="1"/>
  <c r="H29" i="1" s="1"/>
  <c r="I29" i="1" s="1"/>
  <c r="J29" i="1" s="1"/>
  <c r="O22" i="1"/>
  <c r="N21" i="1"/>
  <c r="O21" i="1" s="1"/>
  <c r="I13" i="12" l="1"/>
  <c r="I14" i="12"/>
  <c r="E109" i="1"/>
  <c r="G29" i="11" l="1"/>
  <c r="H29" i="11"/>
  <c r="H9" i="11"/>
  <c r="G9" i="11"/>
  <c r="D15" i="1"/>
  <c r="E4" i="1" s="1"/>
  <c r="B7" i="20"/>
  <c r="B9" i="20" s="1"/>
  <c r="D10" i="1" l="1"/>
  <c r="D68" i="22" l="1"/>
  <c r="D65" i="22"/>
  <c r="D64" i="22"/>
  <c r="D63" i="22"/>
  <c r="D62" i="22"/>
  <c r="D57" i="22"/>
  <c r="D55" i="22"/>
  <c r="B38" i="22"/>
  <c r="B37" i="22"/>
  <c r="B36" i="22"/>
  <c r="B35" i="22"/>
  <c r="B34" i="22"/>
  <c r="C19" i="22"/>
  <c r="C18" i="22"/>
  <c r="D17" i="22"/>
  <c r="C17" i="22"/>
  <c r="D9" i="22"/>
  <c r="C9" i="22"/>
  <c r="E9" i="22" s="1"/>
  <c r="F9" i="22" s="1"/>
  <c r="D8" i="22"/>
  <c r="C8" i="22"/>
  <c r="D7" i="22"/>
  <c r="C7" i="22"/>
  <c r="B1" i="22"/>
  <c r="S1" i="22" s="1"/>
  <c r="C1" i="22" s="1"/>
  <c r="B33" i="22"/>
  <c r="B69" i="22"/>
  <c r="B56" i="22"/>
  <c r="C45" i="22"/>
  <c r="C22" i="22" s="1"/>
  <c r="B19" i="22"/>
  <c r="B25" i="22" s="1"/>
  <c r="B29" i="22" s="1"/>
  <c r="B18" i="22"/>
  <c r="B24" i="22" s="1"/>
  <c r="B28" i="22" s="1"/>
  <c r="B17" i="22"/>
  <c r="B23" i="22" s="1"/>
  <c r="B27" i="22" s="1"/>
  <c r="E12" i="22"/>
  <c r="C4" i="22"/>
  <c r="T1" i="1"/>
  <c r="D1" i="1" s="1"/>
  <c r="B21" i="20"/>
  <c r="B22" i="20" s="1"/>
  <c r="B24" i="20" s="1"/>
  <c r="G7" i="20"/>
  <c r="G8" i="20" s="1"/>
  <c r="C5" i="20"/>
  <c r="H4" i="20"/>
  <c r="C4" i="20"/>
  <c r="H3" i="20"/>
  <c r="C3" i="20"/>
  <c r="B1" i="20"/>
  <c r="AI113" i="1"/>
  <c r="AJ113" i="1"/>
  <c r="O23" i="1"/>
  <c r="N23" i="1"/>
  <c r="G27" i="1"/>
  <c r="H27" i="1" s="1"/>
  <c r="I27" i="1" s="1"/>
  <c r="J27" i="1" s="1"/>
  <c r="K27" i="1" s="1"/>
  <c r="L27" i="1" s="1"/>
  <c r="M27" i="1" s="1"/>
  <c r="N27" i="1" s="1"/>
  <c r="O27" i="1" s="1"/>
  <c r="P27" i="1" s="1"/>
  <c r="Q27" i="1" s="1"/>
  <c r="R27" i="1" s="1"/>
  <c r="S27" i="1" s="1"/>
  <c r="T27" i="1" s="1"/>
  <c r="U27" i="1" s="1"/>
  <c r="V27" i="1" s="1"/>
  <c r="W27" i="1" s="1"/>
  <c r="X27" i="1" s="1"/>
  <c r="Y27" i="1" s="1"/>
  <c r="Z27" i="1" s="1"/>
  <c r="AA27" i="1" s="1"/>
  <c r="AB27" i="1" s="1"/>
  <c r="AC27" i="1" s="1"/>
  <c r="AD27" i="1" s="1"/>
  <c r="AE27" i="1" s="1"/>
  <c r="AF27" i="1" s="1"/>
  <c r="AG27" i="1" s="1"/>
  <c r="AH27" i="1" s="1"/>
  <c r="AI27" i="1" s="1"/>
  <c r="AJ27" i="1" s="1"/>
  <c r="D32" i="12"/>
  <c r="G7" i="19"/>
  <c r="G5" i="19"/>
  <c r="B106" i="19"/>
  <c r="B99" i="19"/>
  <c r="B93" i="19"/>
  <c r="B84" i="19"/>
  <c r="F81" i="19"/>
  <c r="B78" i="19"/>
  <c r="F74" i="19"/>
  <c r="B69" i="19"/>
  <c r="B67" i="19"/>
  <c r="F62" i="19"/>
  <c r="F63" i="19" s="1"/>
  <c r="B59" i="19"/>
  <c r="F53" i="19"/>
  <c r="F38" i="19"/>
  <c r="G37" i="19"/>
  <c r="H37" i="19" s="1"/>
  <c r="F31" i="19"/>
  <c r="E16" i="19"/>
  <c r="C88" i="19" s="1"/>
  <c r="E15" i="19"/>
  <c r="C73" i="19" s="1"/>
  <c r="H14" i="19"/>
  <c r="I14" i="19" s="1"/>
  <c r="E14" i="19"/>
  <c r="C52" i="19"/>
  <c r="B13" i="19"/>
  <c r="C9" i="19"/>
  <c r="H16" i="19" s="1"/>
  <c r="I16" i="19" s="1"/>
  <c r="C44" i="19"/>
  <c r="F44" i="19" s="1"/>
  <c r="F55" i="19"/>
  <c r="E15" i="1"/>
  <c r="G65" i="12"/>
  <c r="H60" i="12"/>
  <c r="H65" i="12" s="1"/>
  <c r="D25" i="11"/>
  <c r="E25" i="11"/>
  <c r="F25" i="11"/>
  <c r="G25" i="11"/>
  <c r="I25" i="11"/>
  <c r="C25" i="11"/>
  <c r="F101" i="11"/>
  <c r="C79" i="1"/>
  <c r="C30" i="1"/>
  <c r="C31" i="1"/>
  <c r="C29" i="1"/>
  <c r="C34" i="1" s="1"/>
  <c r="C38" i="1" s="1"/>
  <c r="D36" i="1"/>
  <c r="D35" i="1"/>
  <c r="D34" i="1"/>
  <c r="J2" i="17"/>
  <c r="B7" i="17"/>
  <c r="N2" i="17"/>
  <c r="L2" i="17"/>
  <c r="B3" i="17"/>
  <c r="E2" i="17" s="1"/>
  <c r="B2" i="17"/>
  <c r="D2" i="17" s="1"/>
  <c r="AB2" i="17"/>
  <c r="AA2" i="17"/>
  <c r="Z2" i="17"/>
  <c r="W2" i="17"/>
  <c r="U2" i="17"/>
  <c r="S2" i="17"/>
  <c r="K2" i="17"/>
  <c r="H2" i="17"/>
  <c r="G2" i="17"/>
  <c r="X2" i="17"/>
  <c r="T2" i="17"/>
  <c r="V2" i="17"/>
  <c r="C100" i="1"/>
  <c r="F17" i="1"/>
  <c r="E51" i="1"/>
  <c r="D161" i="1" s="1"/>
  <c r="E161" i="1" s="1"/>
  <c r="E35" i="1"/>
  <c r="E36" i="1"/>
  <c r="E34" i="1"/>
  <c r="C66" i="1"/>
  <c r="F45" i="1"/>
  <c r="D34" i="22" s="1"/>
  <c r="E34" i="22" s="1"/>
  <c r="F46" i="1"/>
  <c r="G46" i="1" s="1"/>
  <c r="H46" i="1" s="1"/>
  <c r="I46" i="1" s="1"/>
  <c r="J46" i="1" s="1"/>
  <c r="K46" i="1" s="1"/>
  <c r="L46" i="1" s="1"/>
  <c r="M46" i="1" s="1"/>
  <c r="N46" i="1" s="1"/>
  <c r="O46" i="1" s="1"/>
  <c r="P46" i="1" s="1"/>
  <c r="Q46" i="1" s="1"/>
  <c r="R46" i="1" s="1"/>
  <c r="S46" i="1" s="1"/>
  <c r="T46" i="1" s="1"/>
  <c r="U46" i="1" s="1"/>
  <c r="V46" i="1" s="1"/>
  <c r="W46" i="1" s="1"/>
  <c r="X46" i="1" s="1"/>
  <c r="Y46" i="1" s="1"/>
  <c r="Z46" i="1" s="1"/>
  <c r="AA46" i="1" s="1"/>
  <c r="AB46" i="1" s="1"/>
  <c r="AC46" i="1" s="1"/>
  <c r="AD46" i="1" s="1"/>
  <c r="AE46" i="1" s="1"/>
  <c r="AF46" i="1" s="1"/>
  <c r="AG46" i="1" s="1"/>
  <c r="AH46" i="1" s="1"/>
  <c r="AI46" i="1" s="1"/>
  <c r="AJ46" i="1" s="1"/>
  <c r="F47" i="1"/>
  <c r="D36" i="22" s="1"/>
  <c r="E36" i="22" s="1"/>
  <c r="F48" i="1"/>
  <c r="B48" i="1" s="1"/>
  <c r="F49" i="1"/>
  <c r="D38" i="22" s="1"/>
  <c r="E38" i="22" s="1"/>
  <c r="F44" i="1"/>
  <c r="D33" i="22" s="1"/>
  <c r="B7" i="16"/>
  <c r="A7" i="16"/>
  <c r="G331" i="1"/>
  <c r="H331" i="1"/>
  <c r="I331" i="1"/>
  <c r="J331" i="1"/>
  <c r="K331" i="1"/>
  <c r="L331" i="1"/>
  <c r="M331" i="1"/>
  <c r="N331" i="1"/>
  <c r="O331" i="1"/>
  <c r="G333" i="1"/>
  <c r="H333" i="1"/>
  <c r="I333" i="1"/>
  <c r="J333" i="1"/>
  <c r="K333" i="1"/>
  <c r="L333" i="1"/>
  <c r="M333" i="1"/>
  <c r="N333" i="1"/>
  <c r="O333" i="1"/>
  <c r="G336" i="1"/>
  <c r="H336" i="1"/>
  <c r="I336" i="1"/>
  <c r="J336" i="1"/>
  <c r="K336" i="1"/>
  <c r="L336" i="1"/>
  <c r="M336" i="1"/>
  <c r="N336" i="1"/>
  <c r="F331" i="1"/>
  <c r="F333" i="1"/>
  <c r="F335" i="1"/>
  <c r="F336" i="1"/>
  <c r="C299" i="1"/>
  <c r="C348" i="1" s="1"/>
  <c r="C309" i="1"/>
  <c r="C358" i="1" s="1"/>
  <c r="C310" i="1"/>
  <c r="C359" i="1" s="1"/>
  <c r="G282" i="1"/>
  <c r="H282" i="1"/>
  <c r="I282" i="1"/>
  <c r="J282" i="1"/>
  <c r="G284" i="1"/>
  <c r="H284" i="1"/>
  <c r="I284" i="1"/>
  <c r="J284" i="1"/>
  <c r="G287" i="1"/>
  <c r="H287" i="1"/>
  <c r="I287" i="1"/>
  <c r="F282" i="1"/>
  <c r="F284" i="1"/>
  <c r="F286" i="1"/>
  <c r="F287" i="1"/>
  <c r="C277" i="1"/>
  <c r="C326" i="1" s="1"/>
  <c r="C288" i="1"/>
  <c r="C337" i="1" s="1"/>
  <c r="C245" i="1"/>
  <c r="C294" i="1" s="1"/>
  <c r="C343" i="1" s="1"/>
  <c r="C246" i="1"/>
  <c r="C295" i="1" s="1"/>
  <c r="C344" i="1" s="1"/>
  <c r="C247" i="1"/>
  <c r="C296" i="1" s="1"/>
  <c r="C345" i="1" s="1"/>
  <c r="C248" i="1"/>
  <c r="C297" i="1" s="1"/>
  <c r="C346" i="1" s="1"/>
  <c r="C249" i="1"/>
  <c r="C298" i="1" s="1"/>
  <c r="C347" i="1" s="1"/>
  <c r="C251" i="1"/>
  <c r="C300" i="1" s="1"/>
  <c r="C349" i="1" s="1"/>
  <c r="C252" i="1"/>
  <c r="C301" i="1" s="1"/>
  <c r="C350" i="1" s="1"/>
  <c r="C253" i="1"/>
  <c r="C302" i="1" s="1"/>
  <c r="C351" i="1" s="1"/>
  <c r="C254" i="1"/>
  <c r="C303" i="1" s="1"/>
  <c r="C352" i="1" s="1"/>
  <c r="C255" i="1"/>
  <c r="C304" i="1" s="1"/>
  <c r="C353" i="1" s="1"/>
  <c r="C256" i="1"/>
  <c r="C305" i="1" s="1"/>
  <c r="C354" i="1" s="1"/>
  <c r="C257" i="1"/>
  <c r="C306" i="1" s="1"/>
  <c r="C355" i="1" s="1"/>
  <c r="C244" i="1"/>
  <c r="C293" i="1" s="1"/>
  <c r="C342" i="1" s="1"/>
  <c r="F229" i="1"/>
  <c r="G229" i="1"/>
  <c r="H229" i="1"/>
  <c r="F233" i="1"/>
  <c r="G233" i="1"/>
  <c r="H233" i="1"/>
  <c r="F235" i="1"/>
  <c r="G235" i="1"/>
  <c r="H235" i="1"/>
  <c r="F237" i="1"/>
  <c r="F238" i="1"/>
  <c r="G238" i="1"/>
  <c r="C221" i="1"/>
  <c r="C270" i="1" s="1"/>
  <c r="C319" i="1" s="1"/>
  <c r="C222" i="1"/>
  <c r="C271" i="1" s="1"/>
  <c r="C320" i="1" s="1"/>
  <c r="C223" i="1"/>
  <c r="C272" i="1" s="1"/>
  <c r="C321" i="1" s="1"/>
  <c r="C224" i="1"/>
  <c r="C273" i="1" s="1"/>
  <c r="C322" i="1" s="1"/>
  <c r="C225" i="1"/>
  <c r="C274" i="1" s="1"/>
  <c r="C323" i="1" s="1"/>
  <c r="C226" i="1"/>
  <c r="C275" i="1" s="1"/>
  <c r="C324" i="1" s="1"/>
  <c r="C230" i="1"/>
  <c r="C279" i="1" s="1"/>
  <c r="C328" i="1" s="1"/>
  <c r="C232" i="1"/>
  <c r="C281" i="1"/>
  <c r="C330" i="1" s="1"/>
  <c r="C233" i="1"/>
  <c r="C282" i="1" s="1"/>
  <c r="C331" i="1" s="1"/>
  <c r="C234" i="1"/>
  <c r="C283" i="1" s="1"/>
  <c r="C332" i="1" s="1"/>
  <c r="C235" i="1"/>
  <c r="C284" i="1" s="1"/>
  <c r="C333" i="1" s="1"/>
  <c r="C236" i="1"/>
  <c r="C285" i="1" s="1"/>
  <c r="C334" i="1" s="1"/>
  <c r="C237" i="1"/>
  <c r="C286" i="1" s="1"/>
  <c r="C335" i="1" s="1"/>
  <c r="C238" i="1"/>
  <c r="C287" i="1" s="1"/>
  <c r="C336" i="1" s="1"/>
  <c r="C240" i="1"/>
  <c r="C289" i="1" s="1"/>
  <c r="C338" i="1" s="1"/>
  <c r="C220" i="1"/>
  <c r="C269" i="1" s="1"/>
  <c r="C318" i="1" s="1"/>
  <c r="C28" i="2"/>
  <c r="B11" i="16" s="1"/>
  <c r="B14" i="16" s="1"/>
  <c r="B16" i="16" s="1"/>
  <c r="J210" i="1"/>
  <c r="F14" i="1"/>
  <c r="G14" i="1"/>
  <c r="F13" i="1"/>
  <c r="G13" i="1" s="1"/>
  <c r="C36" i="1"/>
  <c r="C40" i="1" s="1"/>
  <c r="H51" i="12"/>
  <c r="C159" i="1"/>
  <c r="D34" i="2"/>
  <c r="O2" i="11"/>
  <c r="D55" i="1"/>
  <c r="G30" i="16"/>
  <c r="H30" i="16" s="1"/>
  <c r="F93" i="1"/>
  <c r="F320" i="1" s="1"/>
  <c r="D48" i="2"/>
  <c r="D47" i="2"/>
  <c r="D46" i="2"/>
  <c r="D44" i="2"/>
  <c r="G90" i="1"/>
  <c r="G93" i="1" s="1"/>
  <c r="G320" i="1" s="1"/>
  <c r="G55" i="12"/>
  <c r="G54" i="12"/>
  <c r="G53" i="12"/>
  <c r="G52" i="12"/>
  <c r="G51" i="12"/>
  <c r="G50" i="12"/>
  <c r="G47" i="12"/>
  <c r="G46" i="12"/>
  <c r="G43" i="12"/>
  <c r="G42" i="12"/>
  <c r="G38" i="12"/>
  <c r="G91" i="12" s="1"/>
  <c r="G36" i="12"/>
  <c r="G79" i="12" s="1"/>
  <c r="G35" i="12"/>
  <c r="G73" i="12" s="1"/>
  <c r="E53" i="12"/>
  <c r="E50" i="12"/>
  <c r="E48" i="12"/>
  <c r="E45" i="12"/>
  <c r="E42" i="12"/>
  <c r="E40" i="12"/>
  <c r="E37" i="12"/>
  <c r="E85" i="12" s="1"/>
  <c r="E34" i="12"/>
  <c r="F59" i="12"/>
  <c r="F65" i="12" s="1"/>
  <c r="E55" i="12"/>
  <c r="D55" i="12"/>
  <c r="C55" i="12"/>
  <c r="B55" i="12"/>
  <c r="E54" i="12"/>
  <c r="D54" i="12"/>
  <c r="C54" i="12"/>
  <c r="B54" i="12"/>
  <c r="D53" i="12"/>
  <c r="C53" i="12"/>
  <c r="B53" i="12"/>
  <c r="E52" i="12"/>
  <c r="D52" i="12"/>
  <c r="C52" i="12"/>
  <c r="B52" i="12"/>
  <c r="E51" i="12"/>
  <c r="D51" i="12"/>
  <c r="C51" i="12"/>
  <c r="B51" i="12"/>
  <c r="D50" i="12"/>
  <c r="C50" i="12"/>
  <c r="B50" i="12"/>
  <c r="G49" i="12"/>
  <c r="E49" i="12"/>
  <c r="D49" i="12"/>
  <c r="C49" i="12"/>
  <c r="B49" i="12"/>
  <c r="G48" i="12"/>
  <c r="D48" i="12"/>
  <c r="C48" i="12"/>
  <c r="B48" i="12"/>
  <c r="E47" i="12"/>
  <c r="D47" i="12"/>
  <c r="C47" i="12"/>
  <c r="B47" i="12"/>
  <c r="E46" i="12"/>
  <c r="D46" i="12"/>
  <c r="C46" i="12"/>
  <c r="B46" i="12"/>
  <c r="G45" i="12"/>
  <c r="D45" i="12"/>
  <c r="C45" i="12"/>
  <c r="B45" i="12"/>
  <c r="G44" i="12"/>
  <c r="E44" i="12"/>
  <c r="D44" i="12"/>
  <c r="C44" i="12"/>
  <c r="B44" i="12"/>
  <c r="E43" i="12"/>
  <c r="D43" i="12"/>
  <c r="C43" i="12"/>
  <c r="B43" i="12"/>
  <c r="D42" i="12"/>
  <c r="C42" i="12"/>
  <c r="B42" i="12"/>
  <c r="G41" i="12"/>
  <c r="E41" i="12"/>
  <c r="D41" i="12"/>
  <c r="C41" i="12"/>
  <c r="B41" i="12"/>
  <c r="G40" i="12"/>
  <c r="D40" i="12"/>
  <c r="C40" i="12"/>
  <c r="B40" i="12"/>
  <c r="G39" i="12"/>
  <c r="E39" i="12"/>
  <c r="E97" i="12" s="1"/>
  <c r="D39" i="12"/>
  <c r="C39" i="12"/>
  <c r="C97" i="12" s="1"/>
  <c r="B39" i="12"/>
  <c r="B97" i="12" s="1"/>
  <c r="E38" i="12"/>
  <c r="D38" i="12"/>
  <c r="C38" i="12"/>
  <c r="B38" i="12"/>
  <c r="B91" i="12" s="1"/>
  <c r="G37" i="12"/>
  <c r="G85" i="12" s="1"/>
  <c r="D37" i="12"/>
  <c r="D85" i="12" s="1"/>
  <c r="C37" i="12"/>
  <c r="C85" i="12" s="1"/>
  <c r="B37" i="12"/>
  <c r="B85" i="12" s="1"/>
  <c r="E36" i="12"/>
  <c r="E79" i="12" s="1"/>
  <c r="D36" i="12"/>
  <c r="C36" i="12"/>
  <c r="C79" i="12" s="1"/>
  <c r="B36" i="12"/>
  <c r="B79" i="12" s="1"/>
  <c r="E35" i="12"/>
  <c r="E73" i="12" s="1"/>
  <c r="D35" i="12"/>
  <c r="C35" i="12"/>
  <c r="C73" i="12" s="1"/>
  <c r="B35" i="12"/>
  <c r="B73" i="12" s="1"/>
  <c r="G34" i="12"/>
  <c r="D34" i="12"/>
  <c r="C34" i="12"/>
  <c r="B34" i="12"/>
  <c r="G33" i="12"/>
  <c r="E33" i="12"/>
  <c r="D33" i="12"/>
  <c r="C33" i="12"/>
  <c r="B33" i="12"/>
  <c r="E32" i="12"/>
  <c r="C32" i="12"/>
  <c r="B32" i="12"/>
  <c r="F31" i="12"/>
  <c r="F110" i="12" s="1"/>
  <c r="G24" i="12"/>
  <c r="F24" i="12"/>
  <c r="E24" i="12"/>
  <c r="D24" i="12"/>
  <c r="C24" i="12"/>
  <c r="B24" i="12"/>
  <c r="G20" i="12"/>
  <c r="F20" i="12"/>
  <c r="E20" i="12"/>
  <c r="D20" i="12"/>
  <c r="C20" i="12"/>
  <c r="B20" i="12"/>
  <c r="G19" i="12"/>
  <c r="G96" i="12" s="1"/>
  <c r="E19" i="12"/>
  <c r="E96" i="12" s="1"/>
  <c r="D19" i="12"/>
  <c r="D96" i="12" s="1"/>
  <c r="C19" i="12"/>
  <c r="C96" i="12" s="1"/>
  <c r="B19" i="12"/>
  <c r="G18" i="12"/>
  <c r="G90" i="12" s="1"/>
  <c r="F18" i="12"/>
  <c r="E18" i="12"/>
  <c r="E90" i="12" s="1"/>
  <c r="D18" i="12"/>
  <c r="C18" i="12"/>
  <c r="C90" i="12" s="1"/>
  <c r="B18" i="12"/>
  <c r="G17" i="12"/>
  <c r="G84" i="12" s="1"/>
  <c r="F17" i="12"/>
  <c r="F84" i="12" s="1"/>
  <c r="E17" i="12"/>
  <c r="E84" i="12" s="1"/>
  <c r="D17" i="12"/>
  <c r="D84" i="12" s="1"/>
  <c r="C17" i="12"/>
  <c r="C84" i="12" s="1"/>
  <c r="B17" i="12"/>
  <c r="G16" i="12"/>
  <c r="G78" i="12" s="1"/>
  <c r="F16" i="12"/>
  <c r="F78" i="12" s="1"/>
  <c r="E16" i="12"/>
  <c r="D16" i="12"/>
  <c r="D78" i="12" s="1"/>
  <c r="C16" i="12"/>
  <c r="B16" i="12"/>
  <c r="G15" i="12"/>
  <c r="G72" i="12" s="1"/>
  <c r="F15" i="12"/>
  <c r="F72" i="12" s="1"/>
  <c r="E15" i="12"/>
  <c r="E72" i="12" s="1"/>
  <c r="D15" i="12"/>
  <c r="D72" i="12" s="1"/>
  <c r="C15" i="12"/>
  <c r="C72" i="12" s="1"/>
  <c r="B15" i="12"/>
  <c r="G10" i="12"/>
  <c r="F10" i="12"/>
  <c r="E10" i="12"/>
  <c r="D10" i="12"/>
  <c r="C10" i="12"/>
  <c r="B10" i="12"/>
  <c r="G9" i="12"/>
  <c r="F9" i="12"/>
  <c r="E9" i="12"/>
  <c r="D9" i="12"/>
  <c r="C9" i="12"/>
  <c r="B9" i="12"/>
  <c r="G8" i="12"/>
  <c r="F8" i="12"/>
  <c r="E8" i="12"/>
  <c r="D8" i="12"/>
  <c r="C8" i="12"/>
  <c r="B8" i="12"/>
  <c r="G7" i="12"/>
  <c r="E7" i="12"/>
  <c r="D7" i="12"/>
  <c r="C7" i="12"/>
  <c r="B7" i="12"/>
  <c r="F4" i="12"/>
  <c r="A1" i="12"/>
  <c r="E101" i="11"/>
  <c r="D101" i="11"/>
  <c r="C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F29" i="11"/>
  <c r="E31" i="12"/>
  <c r="E60" i="12" s="1"/>
  <c r="E110" i="12" s="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H5" i="11"/>
  <c r="H99" i="11" s="1"/>
  <c r="A5" i="11"/>
  <c r="B4" i="11"/>
  <c r="L56" i="12" s="1"/>
  <c r="F53" i="12"/>
  <c r="G101" i="11"/>
  <c r="H10" i="11"/>
  <c r="H14" i="11"/>
  <c r="H22" i="11"/>
  <c r="H32" i="11"/>
  <c r="F55" i="12" s="1"/>
  <c r="F34" i="12"/>
  <c r="H44" i="11"/>
  <c r="F41" i="12" s="1"/>
  <c r="H48" i="11"/>
  <c r="H56" i="11"/>
  <c r="H80" i="11"/>
  <c r="H88" i="11"/>
  <c r="H92" i="11"/>
  <c r="H100" i="11"/>
  <c r="H11" i="11"/>
  <c r="H37" i="11"/>
  <c r="H41" i="11"/>
  <c r="F47" i="12"/>
  <c r="H49" i="11"/>
  <c r="F51" i="12"/>
  <c r="H65" i="11"/>
  <c r="H73" i="11"/>
  <c r="H77" i="11"/>
  <c r="H85" i="11"/>
  <c r="H89" i="11"/>
  <c r="H24" i="11"/>
  <c r="H34" i="11"/>
  <c r="H38" i="11"/>
  <c r="H58" i="11"/>
  <c r="F48" i="12" s="1"/>
  <c r="H62" i="11"/>
  <c r="H70" i="11"/>
  <c r="H74" i="11"/>
  <c r="H98" i="11"/>
  <c r="H17" i="11"/>
  <c r="H21" i="11"/>
  <c r="F33" i="12"/>
  <c r="H35" i="11"/>
  <c r="F40" i="12" s="1"/>
  <c r="H47" i="11"/>
  <c r="F36" i="12" s="1"/>
  <c r="F79" i="12" s="1"/>
  <c r="H55" i="11"/>
  <c r="H59" i="11"/>
  <c r="H67" i="11"/>
  <c r="H71" i="11"/>
  <c r="H95" i="11"/>
  <c r="G32" i="12"/>
  <c r="I101" i="11"/>
  <c r="D61" i="22"/>
  <c r="B71" i="1"/>
  <c r="F64" i="1"/>
  <c r="F30" i="1"/>
  <c r="F31" i="1"/>
  <c r="G31" i="1" s="1"/>
  <c r="H31" i="1" s="1"/>
  <c r="F12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U37" i="1" s="1"/>
  <c r="V37" i="1" s="1"/>
  <c r="W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C35" i="1"/>
  <c r="C39" i="1" s="1"/>
  <c r="F72" i="1"/>
  <c r="G72" i="1" s="1"/>
  <c r="H72" i="1" s="1"/>
  <c r="I72" i="1" s="1"/>
  <c r="J72" i="1" s="1"/>
  <c r="K72" i="1" s="1"/>
  <c r="L72" i="1" s="1"/>
  <c r="M72" i="1" s="1"/>
  <c r="N72" i="1" s="1"/>
  <c r="O72" i="1" s="1"/>
  <c r="P72" i="1" s="1"/>
  <c r="Q72" i="1" s="1"/>
  <c r="R72" i="1" s="1"/>
  <c r="S72" i="1" s="1"/>
  <c r="T72" i="1" s="1"/>
  <c r="U72" i="1" s="1"/>
  <c r="V72" i="1" s="1"/>
  <c r="W72" i="1" s="1"/>
  <c r="X72" i="1" s="1"/>
  <c r="Y72" i="1" s="1"/>
  <c r="Z72" i="1" s="1"/>
  <c r="AA72" i="1" s="1"/>
  <c r="AB72" i="1" s="1"/>
  <c r="AC72" i="1" s="1"/>
  <c r="AD72" i="1" s="1"/>
  <c r="AE72" i="1" s="1"/>
  <c r="AF72" i="1" s="1"/>
  <c r="AG72" i="1" s="1"/>
  <c r="AH72" i="1" s="1"/>
  <c r="AI72" i="1" s="1"/>
  <c r="AJ72" i="1" s="1"/>
  <c r="B5" i="7"/>
  <c r="B9" i="8" s="1"/>
  <c r="A1" i="5"/>
  <c r="D50" i="1"/>
  <c r="D160" i="1" s="1"/>
  <c r="E160" i="1" s="1"/>
  <c r="F65" i="1"/>
  <c r="H41" i="12" s="1"/>
  <c r="F67" i="1"/>
  <c r="H43" i="12" s="1"/>
  <c r="F73" i="1"/>
  <c r="H49" i="12" s="1"/>
  <c r="F74" i="1"/>
  <c r="G74" i="1" s="1"/>
  <c r="H74" i="1" s="1"/>
  <c r="I74" i="1" s="1"/>
  <c r="J74" i="1" s="1"/>
  <c r="K74" i="1" s="1"/>
  <c r="L74" i="1" s="1"/>
  <c r="M74" i="1" s="1"/>
  <c r="N74" i="1" s="1"/>
  <c r="O74" i="1" s="1"/>
  <c r="P74" i="1" s="1"/>
  <c r="Q74" i="1" s="1"/>
  <c r="R74" i="1" s="1"/>
  <c r="S74" i="1" s="1"/>
  <c r="T74" i="1" s="1"/>
  <c r="U74" i="1" s="1"/>
  <c r="V74" i="1" s="1"/>
  <c r="W74" i="1" s="1"/>
  <c r="X74" i="1" s="1"/>
  <c r="Y74" i="1" s="1"/>
  <c r="Z74" i="1" s="1"/>
  <c r="AA74" i="1" s="1"/>
  <c r="AB74" i="1" s="1"/>
  <c r="AC74" i="1" s="1"/>
  <c r="AD74" i="1" s="1"/>
  <c r="AE74" i="1" s="1"/>
  <c r="AF74" i="1" s="1"/>
  <c r="AG74" i="1" s="1"/>
  <c r="AH74" i="1" s="1"/>
  <c r="AI74" i="1" s="1"/>
  <c r="AJ74" i="1" s="1"/>
  <c r="F78" i="1"/>
  <c r="G78" i="1" s="1"/>
  <c r="H78" i="1" s="1"/>
  <c r="I78" i="1" s="1"/>
  <c r="J78" i="1" s="1"/>
  <c r="K78" i="1" s="1"/>
  <c r="L78" i="1" s="1"/>
  <c r="M78" i="1" s="1"/>
  <c r="N78" i="1" s="1"/>
  <c r="O78" i="1" s="1"/>
  <c r="P78" i="1" s="1"/>
  <c r="Q78" i="1" s="1"/>
  <c r="R78" i="1" s="1"/>
  <c r="S78" i="1" s="1"/>
  <c r="T78" i="1" s="1"/>
  <c r="U78" i="1" s="1"/>
  <c r="V78" i="1" s="1"/>
  <c r="W78" i="1" s="1"/>
  <c r="X78" i="1" s="1"/>
  <c r="Y78" i="1" s="1"/>
  <c r="Z78" i="1" s="1"/>
  <c r="AA78" i="1" s="1"/>
  <c r="AB78" i="1" s="1"/>
  <c r="AC78" i="1" s="1"/>
  <c r="AD78" i="1" s="1"/>
  <c r="AE78" i="1" s="1"/>
  <c r="AF78" i="1" s="1"/>
  <c r="AG78" i="1" s="1"/>
  <c r="AH78" i="1" s="1"/>
  <c r="AI78" i="1" s="1"/>
  <c r="AJ78" i="1" s="1"/>
  <c r="K21" i="1"/>
  <c r="E38" i="8" s="1"/>
  <c r="D9" i="1"/>
  <c r="E34" i="8" s="1"/>
  <c r="F12" i="7"/>
  <c r="E13" i="7"/>
  <c r="J12" i="7"/>
  <c r="I12" i="7"/>
  <c r="H12" i="7"/>
  <c r="G12" i="7"/>
  <c r="E12" i="7"/>
  <c r="A2" i="7"/>
  <c r="D34" i="8"/>
  <c r="G9" i="8"/>
  <c r="G30" i="1"/>
  <c r="Q2" i="17"/>
  <c r="F334" i="1"/>
  <c r="F236" i="1"/>
  <c r="F285" i="1"/>
  <c r="G236" i="1"/>
  <c r="G285" i="1"/>
  <c r="G334" i="1"/>
  <c r="H285" i="1"/>
  <c r="H334" i="1"/>
  <c r="H236" i="1"/>
  <c r="I334" i="1"/>
  <c r="I285" i="1"/>
  <c r="J334" i="1"/>
  <c r="J285" i="1"/>
  <c r="K334" i="1"/>
  <c r="L334" i="1"/>
  <c r="M334" i="1"/>
  <c r="N334" i="1"/>
  <c r="O334" i="1"/>
  <c r="B95" i="19" l="1"/>
  <c r="C103" i="19"/>
  <c r="I37" i="19"/>
  <c r="B80" i="19"/>
  <c r="F75" i="19"/>
  <c r="D44" i="19"/>
  <c r="A5" i="19"/>
  <c r="G38" i="19"/>
  <c r="H38" i="19" s="1"/>
  <c r="H63" i="11"/>
  <c r="H31" i="11"/>
  <c r="H66" i="11"/>
  <c r="H81" i="11"/>
  <c r="H45" i="11"/>
  <c r="H96" i="11"/>
  <c r="H52" i="11"/>
  <c r="H18" i="11"/>
  <c r="B23" i="17"/>
  <c r="Y2" i="17" s="1"/>
  <c r="F7" i="12"/>
  <c r="F11" i="12" s="1"/>
  <c r="H13" i="11"/>
  <c r="F19" i="12" s="1"/>
  <c r="F96" i="12" s="1"/>
  <c r="H54" i="11"/>
  <c r="H30" i="11"/>
  <c r="H69" i="11"/>
  <c r="H84" i="11"/>
  <c r="E5" i="12"/>
  <c r="J14" i="19"/>
  <c r="H94" i="11"/>
  <c r="H50" i="11"/>
  <c r="F38" i="12" s="1"/>
  <c r="F91" i="12" s="1"/>
  <c r="H20" i="11"/>
  <c r="H61" i="11"/>
  <c r="H76" i="11"/>
  <c r="H91" i="11"/>
  <c r="G35" i="1"/>
  <c r="G39" i="1" s="1"/>
  <c r="H87" i="11"/>
  <c r="H43" i="11"/>
  <c r="H90" i="11"/>
  <c r="H16" i="11"/>
  <c r="H57" i="11"/>
  <c r="H33" i="11"/>
  <c r="H72" i="11"/>
  <c r="H40" i="11"/>
  <c r="F44" i="12" s="1"/>
  <c r="H51" i="11"/>
  <c r="F37" i="12" s="1"/>
  <c r="F85" i="12" s="1"/>
  <c r="F86" i="12" s="1"/>
  <c r="H15" i="19"/>
  <c r="I15" i="19" s="1"/>
  <c r="J15" i="19" s="1"/>
  <c r="H17" i="19"/>
  <c r="I17" i="19" s="1"/>
  <c r="J17" i="19" s="1"/>
  <c r="H83" i="11"/>
  <c r="H86" i="11"/>
  <c r="H12" i="11"/>
  <c r="H23" i="11"/>
  <c r="H68" i="11"/>
  <c r="H79" i="11"/>
  <c r="H39" i="11"/>
  <c r="H82" i="11"/>
  <c r="F52" i="12" s="1"/>
  <c r="H97" i="11"/>
  <c r="H53" i="11"/>
  <c r="F45" i="12" s="1"/>
  <c r="H19" i="11"/>
  <c r="H64" i="11"/>
  <c r="F42" i="12" s="1"/>
  <c r="H36" i="11"/>
  <c r="F32" i="12" s="1"/>
  <c r="H50" i="12"/>
  <c r="H46" i="11"/>
  <c r="F35" i="12" s="1"/>
  <c r="H75" i="11"/>
  <c r="F39" i="12" s="1"/>
  <c r="H78" i="11"/>
  <c r="H42" i="11"/>
  <c r="H93" i="11"/>
  <c r="H15" i="11"/>
  <c r="H60" i="11"/>
  <c r="G47" i="1"/>
  <c r="H47" i="1" s="1"/>
  <c r="I47" i="1" s="1"/>
  <c r="J47" i="1" s="1"/>
  <c r="K47" i="1" s="1"/>
  <c r="L47" i="1" s="1"/>
  <c r="M47" i="1" s="1"/>
  <c r="N47" i="1" s="1"/>
  <c r="O47" i="1" s="1"/>
  <c r="P47" i="1" s="1"/>
  <c r="Q47" i="1" s="1"/>
  <c r="R47" i="1" s="1"/>
  <c r="S47" i="1" s="1"/>
  <c r="T47" i="1" s="1"/>
  <c r="U47" i="1" s="1"/>
  <c r="V47" i="1" s="1"/>
  <c r="W47" i="1" s="1"/>
  <c r="X47" i="1" s="1"/>
  <c r="Y47" i="1" s="1"/>
  <c r="Z47" i="1" s="1"/>
  <c r="AA47" i="1" s="1"/>
  <c r="AB47" i="1" s="1"/>
  <c r="AC47" i="1" s="1"/>
  <c r="AD47" i="1" s="1"/>
  <c r="AE47" i="1" s="1"/>
  <c r="AF47" i="1" s="1"/>
  <c r="AG47" i="1" s="1"/>
  <c r="AH47" i="1" s="1"/>
  <c r="AI47" i="1" s="1"/>
  <c r="AJ47" i="1" s="1"/>
  <c r="H18" i="12"/>
  <c r="H90" i="12" s="1"/>
  <c r="B47" i="1"/>
  <c r="E8" i="22"/>
  <c r="F8" i="22" s="1"/>
  <c r="H48" i="12"/>
  <c r="F319" i="1"/>
  <c r="C10" i="2"/>
  <c r="C30" i="2" s="1"/>
  <c r="D5" i="1" s="1"/>
  <c r="E5" i="1" s="1"/>
  <c r="E103" i="12"/>
  <c r="D75" i="22"/>
  <c r="F106" i="1"/>
  <c r="F193" i="1" s="1"/>
  <c r="G44" i="1"/>
  <c r="H44" i="1" s="1"/>
  <c r="I44" i="1" s="1"/>
  <c r="J44" i="1" s="1"/>
  <c r="K44" i="1" s="1"/>
  <c r="L44" i="1" s="1"/>
  <c r="M44" i="1" s="1"/>
  <c r="N44" i="1" s="1"/>
  <c r="O44" i="1" s="1"/>
  <c r="P44" i="1" s="1"/>
  <c r="Q44" i="1" s="1"/>
  <c r="R44" i="1" s="1"/>
  <c r="S44" i="1" s="1"/>
  <c r="T44" i="1" s="1"/>
  <c r="U44" i="1" s="1"/>
  <c r="V44" i="1" s="1"/>
  <c r="W44" i="1" s="1"/>
  <c r="X44" i="1" s="1"/>
  <c r="Y44" i="1" s="1"/>
  <c r="Z44" i="1" s="1"/>
  <c r="AA44" i="1" s="1"/>
  <c r="AB44" i="1" s="1"/>
  <c r="AC44" i="1" s="1"/>
  <c r="AD44" i="1" s="1"/>
  <c r="AE44" i="1" s="1"/>
  <c r="AF44" i="1" s="1"/>
  <c r="AG44" i="1" s="1"/>
  <c r="AH44" i="1" s="1"/>
  <c r="AI44" i="1" s="1"/>
  <c r="I51" i="12"/>
  <c r="I41" i="12"/>
  <c r="I48" i="12"/>
  <c r="AI140" i="1"/>
  <c r="AI142" i="1" s="1"/>
  <c r="AJ140" i="1"/>
  <c r="AJ142" i="1" s="1"/>
  <c r="AH140" i="1"/>
  <c r="AH142" i="1" s="1"/>
  <c r="D23" i="22"/>
  <c r="H30" i="1"/>
  <c r="H35" i="1" s="1"/>
  <c r="H39" i="1" s="1"/>
  <c r="G67" i="1"/>
  <c r="H67" i="1" s="1"/>
  <c r="I67" i="1" s="1"/>
  <c r="J67" i="1" s="1"/>
  <c r="K67" i="1" s="1"/>
  <c r="L67" i="1" s="1"/>
  <c r="M67" i="1" s="1"/>
  <c r="N67" i="1" s="1"/>
  <c r="O67" i="1" s="1"/>
  <c r="P67" i="1" s="1"/>
  <c r="Q67" i="1" s="1"/>
  <c r="R67" i="1" s="1"/>
  <c r="S67" i="1" s="1"/>
  <c r="T67" i="1" s="1"/>
  <c r="U67" i="1" s="1"/>
  <c r="V67" i="1" s="1"/>
  <c r="W67" i="1" s="1"/>
  <c r="X67" i="1" s="1"/>
  <c r="Y67" i="1" s="1"/>
  <c r="Z67" i="1" s="1"/>
  <c r="AA67" i="1" s="1"/>
  <c r="AB67" i="1" s="1"/>
  <c r="AC67" i="1" s="1"/>
  <c r="AD67" i="1" s="1"/>
  <c r="AE67" i="1" s="1"/>
  <c r="AF67" i="1" s="1"/>
  <c r="AG67" i="1" s="1"/>
  <c r="AH67" i="1" s="1"/>
  <c r="AI67" i="1" s="1"/>
  <c r="AJ67" i="1" s="1"/>
  <c r="F71" i="1"/>
  <c r="H19" i="12"/>
  <c r="H96" i="12" s="1"/>
  <c r="G48" i="1"/>
  <c r="H48" i="1" s="1"/>
  <c r="I48" i="1" s="1"/>
  <c r="J48" i="1" s="1"/>
  <c r="K48" i="1" s="1"/>
  <c r="L48" i="1" s="1"/>
  <c r="M48" i="1" s="1"/>
  <c r="N48" i="1" s="1"/>
  <c r="O48" i="1" s="1"/>
  <c r="P48" i="1" s="1"/>
  <c r="Q48" i="1" s="1"/>
  <c r="R48" i="1" s="1"/>
  <c r="S48" i="1" s="1"/>
  <c r="T48" i="1" s="1"/>
  <c r="U48" i="1" s="1"/>
  <c r="V48" i="1" s="1"/>
  <c r="W48" i="1" s="1"/>
  <c r="X48" i="1" s="1"/>
  <c r="Y48" i="1" s="1"/>
  <c r="Z48" i="1" s="1"/>
  <c r="AA48" i="1" s="1"/>
  <c r="AB48" i="1" s="1"/>
  <c r="AC48" i="1" s="1"/>
  <c r="AD48" i="1" s="1"/>
  <c r="AE48" i="1" s="1"/>
  <c r="AF48" i="1" s="1"/>
  <c r="AG48" i="1" s="1"/>
  <c r="AH48" i="1" s="1"/>
  <c r="AI48" i="1" s="1"/>
  <c r="AJ48" i="1" s="1"/>
  <c r="F36" i="1"/>
  <c r="F40" i="1" s="1"/>
  <c r="H54" i="12"/>
  <c r="B11" i="7"/>
  <c r="B10" i="7" s="1"/>
  <c r="B12" i="7" s="1"/>
  <c r="C10" i="7" s="1"/>
  <c r="F91" i="1"/>
  <c r="F111" i="1" s="1"/>
  <c r="H15" i="12"/>
  <c r="H72" i="12" s="1"/>
  <c r="B44" i="1"/>
  <c r="D35" i="22"/>
  <c r="E35" i="22" s="1"/>
  <c r="D37" i="22"/>
  <c r="E37" i="22" s="1"/>
  <c r="D19" i="22"/>
  <c r="D25" i="22" s="1"/>
  <c r="E25" i="22" s="1"/>
  <c r="C10" i="22"/>
  <c r="D56" i="22" s="1"/>
  <c r="D54" i="22"/>
  <c r="C24" i="22"/>
  <c r="C47" i="22"/>
  <c r="G36" i="1"/>
  <c r="G40" i="1" s="1"/>
  <c r="G12" i="1"/>
  <c r="G73" i="1"/>
  <c r="H73" i="1" s="1"/>
  <c r="I73" i="1" s="1"/>
  <c r="J73" i="1" s="1"/>
  <c r="K73" i="1" s="1"/>
  <c r="L73" i="1" s="1"/>
  <c r="M73" i="1" s="1"/>
  <c r="N73" i="1" s="1"/>
  <c r="O73" i="1" s="1"/>
  <c r="P73" i="1" s="1"/>
  <c r="Q73" i="1" s="1"/>
  <c r="R73" i="1" s="1"/>
  <c r="S73" i="1" s="1"/>
  <c r="T73" i="1" s="1"/>
  <c r="U73" i="1" s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AG73" i="1" s="1"/>
  <c r="AH73" i="1" s="1"/>
  <c r="AI73" i="1" s="1"/>
  <c r="AJ73" i="1" s="1"/>
  <c r="G65" i="1"/>
  <c r="H65" i="1" s="1"/>
  <c r="I65" i="1" s="1"/>
  <c r="J65" i="1" s="1"/>
  <c r="K65" i="1" s="1"/>
  <c r="L65" i="1" s="1"/>
  <c r="M65" i="1" s="1"/>
  <c r="N65" i="1" s="1"/>
  <c r="O65" i="1" s="1"/>
  <c r="P65" i="1" s="1"/>
  <c r="Q65" i="1" s="1"/>
  <c r="R65" i="1" s="1"/>
  <c r="S65" i="1" s="1"/>
  <c r="T65" i="1" s="1"/>
  <c r="U65" i="1" s="1"/>
  <c r="V65" i="1" s="1"/>
  <c r="W65" i="1" s="1"/>
  <c r="X65" i="1" s="1"/>
  <c r="Y65" i="1" s="1"/>
  <c r="Z65" i="1" s="1"/>
  <c r="AA65" i="1" s="1"/>
  <c r="AB65" i="1" s="1"/>
  <c r="AC65" i="1" s="1"/>
  <c r="AD65" i="1" s="1"/>
  <c r="AE65" i="1" s="1"/>
  <c r="AF65" i="1" s="1"/>
  <c r="AG65" i="1" s="1"/>
  <c r="AH65" i="1" s="1"/>
  <c r="AI65" i="1" s="1"/>
  <c r="AJ65" i="1" s="1"/>
  <c r="G75" i="1"/>
  <c r="H75" i="1" s="1"/>
  <c r="I75" i="1" s="1"/>
  <c r="J75" i="1" s="1"/>
  <c r="K75" i="1" s="1"/>
  <c r="L75" i="1" s="1"/>
  <c r="M75" i="1" s="1"/>
  <c r="N75" i="1" s="1"/>
  <c r="O75" i="1" s="1"/>
  <c r="P75" i="1" s="1"/>
  <c r="Q75" i="1" s="1"/>
  <c r="R75" i="1" s="1"/>
  <c r="S75" i="1" s="1"/>
  <c r="T75" i="1" s="1"/>
  <c r="U75" i="1" s="1"/>
  <c r="V75" i="1" s="1"/>
  <c r="W75" i="1" s="1"/>
  <c r="X75" i="1" s="1"/>
  <c r="Y75" i="1" s="1"/>
  <c r="Z75" i="1" s="1"/>
  <c r="AA75" i="1" s="1"/>
  <c r="AB75" i="1" s="1"/>
  <c r="AC75" i="1" s="1"/>
  <c r="AD75" i="1" s="1"/>
  <c r="AE75" i="1" s="1"/>
  <c r="AF75" i="1" s="1"/>
  <c r="AG75" i="1" s="1"/>
  <c r="AH75" i="1" s="1"/>
  <c r="AI75" i="1" s="1"/>
  <c r="AJ75" i="1" s="1"/>
  <c r="F35" i="1"/>
  <c r="F222" i="1"/>
  <c r="D10" i="22"/>
  <c r="D18" i="22"/>
  <c r="D24" i="22" s="1"/>
  <c r="E24" i="22" s="1"/>
  <c r="C25" i="22"/>
  <c r="C40" i="22"/>
  <c r="C54" i="22"/>
  <c r="C58" i="22"/>
  <c r="D78" i="1"/>
  <c r="C46" i="22"/>
  <c r="D79" i="1"/>
  <c r="D65" i="1"/>
  <c r="C56" i="22"/>
  <c r="C60" i="22"/>
  <c r="D72" i="1"/>
  <c r="C66" i="22"/>
  <c r="D71" i="1"/>
  <c r="C64" i="22"/>
  <c r="C48" i="22"/>
  <c r="C50" i="22"/>
  <c r="C52" i="22"/>
  <c r="E29" i="11"/>
  <c r="D31" i="12" s="1"/>
  <c r="D5" i="12" s="1"/>
  <c r="E9" i="11"/>
  <c r="C4" i="11"/>
  <c r="L11" i="12"/>
  <c r="L21" i="12"/>
  <c r="L62" i="12"/>
  <c r="L27" i="12"/>
  <c r="C53" i="22"/>
  <c r="C55" i="22"/>
  <c r="D67" i="1"/>
  <c r="C69" i="22"/>
  <c r="C23" i="22"/>
  <c r="C59" i="22"/>
  <c r="C61" i="22"/>
  <c r="C63" i="22"/>
  <c r="C65" i="22"/>
  <c r="C67" i="22"/>
  <c r="C27" i="22"/>
  <c r="E91" i="12"/>
  <c r="E93" i="12" s="1"/>
  <c r="B72" i="12"/>
  <c r="B74" i="12" s="1"/>
  <c r="B84" i="12"/>
  <c r="B86" i="12" s="1"/>
  <c r="B96" i="12"/>
  <c r="B99" i="12" s="1"/>
  <c r="B78" i="12"/>
  <c r="B80" i="12" s="1"/>
  <c r="D86" i="12"/>
  <c r="G103" i="12"/>
  <c r="C75" i="12"/>
  <c r="D40" i="22"/>
  <c r="B102" i="12"/>
  <c r="G97" i="12"/>
  <c r="G99" i="12" s="1"/>
  <c r="E75" i="12"/>
  <c r="E67" i="12"/>
  <c r="B11" i="12"/>
  <c r="B103" i="12"/>
  <c r="D74" i="1"/>
  <c r="C66" i="12"/>
  <c r="G56" i="12"/>
  <c r="C78" i="12"/>
  <c r="C81" i="12" s="1"/>
  <c r="C51" i="22"/>
  <c r="D60" i="12"/>
  <c r="D79" i="12"/>
  <c r="D81" i="12" s="1"/>
  <c r="D73" i="1"/>
  <c r="D61" i="1"/>
  <c r="D103" i="12"/>
  <c r="C11" i="12"/>
  <c r="F90" i="12"/>
  <c r="F92" i="12" s="1"/>
  <c r="E56" i="12"/>
  <c r="D67" i="12"/>
  <c r="C67" i="12"/>
  <c r="D97" i="12"/>
  <c r="D99" i="12" s="1"/>
  <c r="E86" i="12"/>
  <c r="D91" i="12"/>
  <c r="C57" i="22"/>
  <c r="G87" i="12"/>
  <c r="B56" i="12"/>
  <c r="E11" i="12"/>
  <c r="F73" i="12"/>
  <c r="F75" i="12" s="1"/>
  <c r="B67" i="12"/>
  <c r="G86" i="12"/>
  <c r="B90" i="12"/>
  <c r="C62" i="22"/>
  <c r="G74" i="12"/>
  <c r="G75" i="12"/>
  <c r="D63" i="1"/>
  <c r="D56" i="12"/>
  <c r="G67" i="12"/>
  <c r="C91" i="12"/>
  <c r="C92" i="12" s="1"/>
  <c r="C21" i="12"/>
  <c r="D59" i="1"/>
  <c r="C56" i="12"/>
  <c r="C103" i="12"/>
  <c r="C49" i="22"/>
  <c r="D64" i="1"/>
  <c r="C68" i="22"/>
  <c r="G66" i="12"/>
  <c r="E65" i="12"/>
  <c r="D73" i="12"/>
  <c r="D75" i="12" s="1"/>
  <c r="G11" i="12"/>
  <c r="D102" i="12"/>
  <c r="D105" i="12" s="1"/>
  <c r="D70" i="1"/>
  <c r="D87" i="12"/>
  <c r="G21" i="12"/>
  <c r="E87" i="12"/>
  <c r="G93" i="12"/>
  <c r="B21" i="12"/>
  <c r="G102" i="12"/>
  <c r="D77" i="1"/>
  <c r="E7" i="22"/>
  <c r="F7" i="22" s="1"/>
  <c r="T1" i="22"/>
  <c r="E23" i="22"/>
  <c r="E33" i="22"/>
  <c r="G64" i="1"/>
  <c r="H64" i="1" s="1"/>
  <c r="I64" i="1" s="1"/>
  <c r="J64" i="1" s="1"/>
  <c r="K64" i="1" s="1"/>
  <c r="L64" i="1" s="1"/>
  <c r="M64" i="1" s="1"/>
  <c r="N64" i="1" s="1"/>
  <c r="O64" i="1" s="1"/>
  <c r="P64" i="1" s="1"/>
  <c r="Q64" i="1" s="1"/>
  <c r="R64" i="1" s="1"/>
  <c r="S64" i="1" s="1"/>
  <c r="T64" i="1" s="1"/>
  <c r="U64" i="1" s="1"/>
  <c r="V64" i="1" s="1"/>
  <c r="W64" i="1" s="1"/>
  <c r="X64" i="1" s="1"/>
  <c r="Y64" i="1" s="1"/>
  <c r="Z64" i="1" s="1"/>
  <c r="AA64" i="1" s="1"/>
  <c r="AB64" i="1" s="1"/>
  <c r="AC64" i="1" s="1"/>
  <c r="AD64" i="1" s="1"/>
  <c r="AE64" i="1" s="1"/>
  <c r="AF64" i="1" s="1"/>
  <c r="AG64" i="1" s="1"/>
  <c r="AH64" i="1" s="1"/>
  <c r="AI64" i="1" s="1"/>
  <c r="AJ64" i="1" s="1"/>
  <c r="H40" i="12"/>
  <c r="I40" i="12" s="1"/>
  <c r="U1" i="1"/>
  <c r="B4" i="17"/>
  <c r="F2" i="17" s="1"/>
  <c r="J16" i="19"/>
  <c r="B12" i="20"/>
  <c r="B13" i="20" s="1"/>
  <c r="G11" i="20"/>
  <c r="G12" i="20" s="1"/>
  <c r="G15" i="20" s="1"/>
  <c r="F271" i="1"/>
  <c r="D50" i="2"/>
  <c r="D51" i="2" s="1"/>
  <c r="D54" i="2" s="1"/>
  <c r="F140" i="1" s="1"/>
  <c r="F270" i="1"/>
  <c r="AJ44" i="1"/>
  <c r="D57" i="1"/>
  <c r="D68" i="1"/>
  <c r="D56" i="1"/>
  <c r="D58" i="1"/>
  <c r="G222" i="1"/>
  <c r="H20" i="12"/>
  <c r="I20" i="12" s="1"/>
  <c r="B49" i="1"/>
  <c r="G49" i="1"/>
  <c r="H49" i="1" s="1"/>
  <c r="I49" i="1" s="1"/>
  <c r="J49" i="1" s="1"/>
  <c r="K49" i="1" s="1"/>
  <c r="L49" i="1" s="1"/>
  <c r="M49" i="1" s="1"/>
  <c r="N49" i="1" s="1"/>
  <c r="O49" i="1" s="1"/>
  <c r="P49" i="1" s="1"/>
  <c r="Q49" i="1" s="1"/>
  <c r="R49" i="1" s="1"/>
  <c r="S49" i="1" s="1"/>
  <c r="T49" i="1" s="1"/>
  <c r="U49" i="1" s="1"/>
  <c r="V49" i="1" s="1"/>
  <c r="W49" i="1" s="1"/>
  <c r="X49" i="1" s="1"/>
  <c r="Y49" i="1" s="1"/>
  <c r="Z49" i="1" s="1"/>
  <c r="AA49" i="1" s="1"/>
  <c r="AB49" i="1" s="1"/>
  <c r="AC49" i="1" s="1"/>
  <c r="AD49" i="1" s="1"/>
  <c r="AE49" i="1" s="1"/>
  <c r="AF49" i="1" s="1"/>
  <c r="AG49" i="1" s="1"/>
  <c r="AH49" i="1" s="1"/>
  <c r="AI49" i="1" s="1"/>
  <c r="AJ49" i="1" s="1"/>
  <c r="G45" i="1"/>
  <c r="H16" i="12"/>
  <c r="I16" i="12" s="1"/>
  <c r="B45" i="1"/>
  <c r="B73" i="1"/>
  <c r="B74" i="1"/>
  <c r="D67" i="22"/>
  <c r="B75" i="1"/>
  <c r="B78" i="1"/>
  <c r="B65" i="1"/>
  <c r="B72" i="1"/>
  <c r="B67" i="1"/>
  <c r="B17" i="7"/>
  <c r="B18" i="7" s="1"/>
  <c r="C9" i="8"/>
  <c r="D9" i="8" s="1"/>
  <c r="B64" i="1"/>
  <c r="F15" i="1"/>
  <c r="G15" i="1" s="1"/>
  <c r="F9" i="8" s="1"/>
  <c r="I2" i="17"/>
  <c r="B11" i="17"/>
  <c r="B14" i="17" s="1"/>
  <c r="F50" i="1"/>
  <c r="I31" i="1"/>
  <c r="H36" i="1"/>
  <c r="H40" i="1" s="1"/>
  <c r="H90" i="1"/>
  <c r="G106" i="1"/>
  <c r="F283" i="1"/>
  <c r="G271" i="1"/>
  <c r="F221" i="1"/>
  <c r="F96" i="1"/>
  <c r="F94" i="1" s="1"/>
  <c r="F223" i="1" s="1"/>
  <c r="D62" i="1"/>
  <c r="D69" i="1"/>
  <c r="D76" i="1"/>
  <c r="D60" i="1"/>
  <c r="D75" i="1"/>
  <c r="D66" i="1"/>
  <c r="B46" i="1"/>
  <c r="H17" i="12"/>
  <c r="H84" i="12" s="1"/>
  <c r="H24" i="12"/>
  <c r="I24" i="12" s="1"/>
  <c r="B51" i="1"/>
  <c r="F34" i="1"/>
  <c r="H7" i="12" s="1"/>
  <c r="I7" i="12" s="1"/>
  <c r="D11" i="12"/>
  <c r="F80" i="12"/>
  <c r="F81" i="12"/>
  <c r="G81" i="12"/>
  <c r="G80" i="12"/>
  <c r="E21" i="12"/>
  <c r="D90" i="12"/>
  <c r="E78" i="12"/>
  <c r="C99" i="12"/>
  <c r="C98" i="12"/>
  <c r="C86" i="12"/>
  <c r="C87" i="12"/>
  <c r="E99" i="12"/>
  <c r="E98" i="12"/>
  <c r="B66" i="12"/>
  <c r="E74" i="12"/>
  <c r="G92" i="12"/>
  <c r="D66" i="12"/>
  <c r="E66" i="12"/>
  <c r="C102" i="12"/>
  <c r="C74" i="12"/>
  <c r="F74" i="12"/>
  <c r="D21" i="12"/>
  <c r="E102" i="12"/>
  <c r="F97" i="12" l="1"/>
  <c r="F103" i="12"/>
  <c r="F99" i="12"/>
  <c r="F66" i="12"/>
  <c r="F68" i="12" s="1"/>
  <c r="F98" i="12"/>
  <c r="H102" i="12"/>
  <c r="F21" i="12"/>
  <c r="F46" i="12"/>
  <c r="I38" i="19"/>
  <c r="J37" i="19"/>
  <c r="F67" i="12"/>
  <c r="F69" i="12" s="1"/>
  <c r="F87" i="12"/>
  <c r="I18" i="12"/>
  <c r="F43" i="12"/>
  <c r="I43" i="12" s="1"/>
  <c r="H25" i="11"/>
  <c r="E64" i="22"/>
  <c r="F50" i="12"/>
  <c r="I50" i="12" s="1"/>
  <c r="H101" i="11"/>
  <c r="F54" i="12"/>
  <c r="I54" i="12" s="1"/>
  <c r="F102" i="12"/>
  <c r="I30" i="1"/>
  <c r="I35" i="1" s="1"/>
  <c r="I39" i="1" s="1"/>
  <c r="F49" i="12"/>
  <c r="I49" i="12" s="1"/>
  <c r="I17" i="12"/>
  <c r="F234" i="1"/>
  <c r="I19" i="12"/>
  <c r="F321" i="1"/>
  <c r="E9" i="7"/>
  <c r="F272" i="1"/>
  <c r="D51" i="22"/>
  <c r="D53" i="22"/>
  <c r="D49" i="22"/>
  <c r="D60" i="22"/>
  <c r="E60" i="22" s="1"/>
  <c r="F332" i="1"/>
  <c r="I15" i="12"/>
  <c r="E92" i="12"/>
  <c r="G105" i="12"/>
  <c r="K54" i="12"/>
  <c r="G69" i="12"/>
  <c r="C68" i="12"/>
  <c r="C39" i="22"/>
  <c r="B75" i="12"/>
  <c r="B98" i="12"/>
  <c r="F105" i="12"/>
  <c r="D104" i="12"/>
  <c r="B81" i="12"/>
  <c r="C80" i="12"/>
  <c r="E39" i="22"/>
  <c r="L140" i="1"/>
  <c r="L142" i="1" s="1"/>
  <c r="T140" i="1"/>
  <c r="AB140" i="1"/>
  <c r="AB142" i="1" s="1"/>
  <c r="M140" i="1"/>
  <c r="M142" i="1" s="1"/>
  <c r="U140" i="1"/>
  <c r="AC140" i="1"/>
  <c r="AC142" i="1" s="1"/>
  <c r="W140" i="1"/>
  <c r="W142" i="1" s="1"/>
  <c r="P140" i="1"/>
  <c r="P142" i="1" s="1"/>
  <c r="I140" i="1"/>
  <c r="I142" i="1" s="1"/>
  <c r="Y140" i="1"/>
  <c r="Y142" i="1" s="1"/>
  <c r="G140" i="1"/>
  <c r="G142" i="1" s="1"/>
  <c r="R140" i="1"/>
  <c r="R142" i="1" s="1"/>
  <c r="K140" i="1"/>
  <c r="K142" i="1" s="1"/>
  <c r="N140" i="1"/>
  <c r="N142" i="1" s="1"/>
  <c r="V140" i="1"/>
  <c r="V142" i="1" s="1"/>
  <c r="AD140" i="1"/>
  <c r="AD142" i="1" s="1"/>
  <c r="O140" i="1"/>
  <c r="O142" i="1" s="1"/>
  <c r="AE140" i="1"/>
  <c r="AE142" i="1" s="1"/>
  <c r="H140" i="1"/>
  <c r="H142" i="1" s="1"/>
  <c r="AF140" i="1"/>
  <c r="AF142" i="1" s="1"/>
  <c r="Q140" i="1"/>
  <c r="Q142" i="1" s="1"/>
  <c r="J140" i="1"/>
  <c r="J142" i="1" s="1"/>
  <c r="S140" i="1"/>
  <c r="S142" i="1" s="1"/>
  <c r="AG140" i="1"/>
  <c r="AG142" i="1" s="1"/>
  <c r="X140" i="1"/>
  <c r="X142" i="1" s="1"/>
  <c r="Z140" i="1"/>
  <c r="Z142" i="1" s="1"/>
  <c r="AA140" i="1"/>
  <c r="AA142" i="1" s="1"/>
  <c r="G71" i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H47" i="12"/>
  <c r="I47" i="12" s="1"/>
  <c r="H9" i="12"/>
  <c r="I9" i="12" s="1"/>
  <c r="B36" i="1"/>
  <c r="E63" i="22"/>
  <c r="F39" i="1"/>
  <c r="B35" i="1"/>
  <c r="H8" i="12"/>
  <c r="I8" i="12" s="1"/>
  <c r="D29" i="22"/>
  <c r="E29" i="22" s="1"/>
  <c r="B40" i="1"/>
  <c r="E67" i="22"/>
  <c r="D39" i="22"/>
  <c r="D98" i="12"/>
  <c r="G104" i="12"/>
  <c r="G68" i="12"/>
  <c r="D29" i="11"/>
  <c r="C31" i="12" s="1"/>
  <c r="D9" i="11"/>
  <c r="D4" i="11"/>
  <c r="C30" i="22"/>
  <c r="B87" i="12"/>
  <c r="C69" i="12"/>
  <c r="B26" i="12"/>
  <c r="B61" i="12" s="1"/>
  <c r="D80" i="12"/>
  <c r="D93" i="12"/>
  <c r="F93" i="12"/>
  <c r="E12" i="12"/>
  <c r="K19" i="12"/>
  <c r="D92" i="12"/>
  <c r="G26" i="12"/>
  <c r="G61" i="12" s="1"/>
  <c r="K9" i="12"/>
  <c r="C12" i="12"/>
  <c r="B105" i="12"/>
  <c r="F104" i="12"/>
  <c r="C57" i="12"/>
  <c r="G98" i="12"/>
  <c r="D159" i="1"/>
  <c r="D162" i="1" s="1"/>
  <c r="E162" i="1" s="1"/>
  <c r="B59" i="1"/>
  <c r="F63" i="1"/>
  <c r="H39" i="12" s="1"/>
  <c r="I39" i="12" s="1"/>
  <c r="F26" i="12"/>
  <c r="F12" i="12"/>
  <c r="B63" i="1"/>
  <c r="F61" i="1"/>
  <c r="H37" i="12" s="1"/>
  <c r="I37" i="12" s="1"/>
  <c r="B61" i="1"/>
  <c r="F59" i="1"/>
  <c r="B104" i="12"/>
  <c r="D12" i="12"/>
  <c r="D74" i="12"/>
  <c r="C70" i="22"/>
  <c r="C26" i="12"/>
  <c r="C61" i="12" s="1"/>
  <c r="B92" i="12"/>
  <c r="B93" i="12"/>
  <c r="D110" i="12"/>
  <c r="D65" i="12"/>
  <c r="C22" i="12"/>
  <c r="K20" i="12"/>
  <c r="D57" i="12"/>
  <c r="C93" i="12"/>
  <c r="K10" i="12"/>
  <c r="E26" i="12"/>
  <c r="E61" i="12" s="1"/>
  <c r="K56" i="12"/>
  <c r="E57" i="12"/>
  <c r="K11" i="12"/>
  <c r="E68" i="22"/>
  <c r="E61" i="22"/>
  <c r="B62" i="1"/>
  <c r="D52" i="22"/>
  <c r="E55" i="22"/>
  <c r="E62" i="22"/>
  <c r="F60" i="1"/>
  <c r="D50" i="22"/>
  <c r="F68" i="1"/>
  <c r="G68" i="1" s="1"/>
  <c r="H68" i="1" s="1"/>
  <c r="I68" i="1" s="1"/>
  <c r="J68" i="1" s="1"/>
  <c r="K68" i="1" s="1"/>
  <c r="L68" i="1" s="1"/>
  <c r="M68" i="1" s="1"/>
  <c r="N68" i="1" s="1"/>
  <c r="O68" i="1" s="1"/>
  <c r="P68" i="1" s="1"/>
  <c r="Q68" i="1" s="1"/>
  <c r="R68" i="1" s="1"/>
  <c r="S68" i="1" s="1"/>
  <c r="T68" i="1" s="1"/>
  <c r="U68" i="1" s="1"/>
  <c r="V68" i="1" s="1"/>
  <c r="W68" i="1" s="1"/>
  <c r="X68" i="1" s="1"/>
  <c r="Y68" i="1" s="1"/>
  <c r="Z68" i="1" s="1"/>
  <c r="AA68" i="1" s="1"/>
  <c r="AB68" i="1" s="1"/>
  <c r="AC68" i="1" s="1"/>
  <c r="AD68" i="1" s="1"/>
  <c r="AE68" i="1" s="1"/>
  <c r="AF68" i="1" s="1"/>
  <c r="AG68" i="1" s="1"/>
  <c r="AH68" i="1" s="1"/>
  <c r="AI68" i="1" s="1"/>
  <c r="AJ68" i="1" s="1"/>
  <c r="D58" i="22"/>
  <c r="E58" i="22" s="1"/>
  <c r="B76" i="1"/>
  <c r="D66" i="22"/>
  <c r="E54" i="22"/>
  <c r="E65" i="22"/>
  <c r="E57" i="22"/>
  <c r="D4" i="22"/>
  <c r="E10" i="22"/>
  <c r="F10" i="22" s="1"/>
  <c r="E56" i="22"/>
  <c r="C13" i="20"/>
  <c r="B16" i="20"/>
  <c r="B48" i="20" s="1"/>
  <c r="C2" i="20"/>
  <c r="G21" i="20"/>
  <c r="H15" i="20"/>
  <c r="B26" i="20"/>
  <c r="B27" i="20" s="1"/>
  <c r="B30" i="20" s="1"/>
  <c r="B49" i="20" s="1"/>
  <c r="T142" i="1"/>
  <c r="U142" i="1"/>
  <c r="B68" i="1"/>
  <c r="F56" i="1"/>
  <c r="B6" i="7"/>
  <c r="D6" i="1"/>
  <c r="E9" i="8"/>
  <c r="F121" i="1"/>
  <c r="F246" i="1" s="1"/>
  <c r="F247" i="1" s="1"/>
  <c r="B60" i="1"/>
  <c r="F76" i="1"/>
  <c r="G76" i="1" s="1"/>
  <c r="H76" i="1" s="1"/>
  <c r="I76" i="1" s="1"/>
  <c r="J76" i="1" s="1"/>
  <c r="K76" i="1" s="1"/>
  <c r="L76" i="1" s="1"/>
  <c r="M76" i="1" s="1"/>
  <c r="N76" i="1" s="1"/>
  <c r="O76" i="1" s="1"/>
  <c r="P76" i="1" s="1"/>
  <c r="Q76" i="1" s="1"/>
  <c r="R76" i="1" s="1"/>
  <c r="S76" i="1" s="1"/>
  <c r="T76" i="1" s="1"/>
  <c r="U76" i="1" s="1"/>
  <c r="V76" i="1" s="1"/>
  <c r="W76" i="1" s="1"/>
  <c r="X76" i="1" s="1"/>
  <c r="Y76" i="1" s="1"/>
  <c r="Z76" i="1" s="1"/>
  <c r="AA76" i="1" s="1"/>
  <c r="AB76" i="1" s="1"/>
  <c r="AC76" i="1" s="1"/>
  <c r="AD76" i="1" s="1"/>
  <c r="AE76" i="1" s="1"/>
  <c r="AF76" i="1" s="1"/>
  <c r="AG76" i="1" s="1"/>
  <c r="AH76" i="1" s="1"/>
  <c r="AI76" i="1" s="1"/>
  <c r="AJ76" i="1" s="1"/>
  <c r="F62" i="1"/>
  <c r="D80" i="1"/>
  <c r="B16" i="17"/>
  <c r="R2" i="17" s="1"/>
  <c r="P2" i="17"/>
  <c r="F38" i="1"/>
  <c r="D38" i="1" s="1"/>
  <c r="D41" i="1" s="1"/>
  <c r="D52" i="1" s="1"/>
  <c r="D53" i="1" s="1"/>
  <c r="B34" i="1"/>
  <c r="E50" i="1"/>
  <c r="B50" i="1"/>
  <c r="H106" i="1"/>
  <c r="G283" i="1"/>
  <c r="G332" i="1"/>
  <c r="G234" i="1"/>
  <c r="G193" i="1"/>
  <c r="B70" i="1"/>
  <c r="F70" i="1"/>
  <c r="B77" i="1"/>
  <c r="F77" i="1"/>
  <c r="H78" i="12"/>
  <c r="H66" i="12"/>
  <c r="H21" i="12"/>
  <c r="I21" i="12" s="1"/>
  <c r="B66" i="1"/>
  <c r="F66" i="1"/>
  <c r="F225" i="1"/>
  <c r="F274" i="1"/>
  <c r="F95" i="1"/>
  <c r="F323" i="1"/>
  <c r="I90" i="1"/>
  <c r="H93" i="1"/>
  <c r="G113" i="1" s="1"/>
  <c r="G28" i="1"/>
  <c r="G34" i="1"/>
  <c r="J31" i="1"/>
  <c r="I36" i="1"/>
  <c r="I40" i="1" s="1"/>
  <c r="B13" i="17"/>
  <c r="O2" i="17" s="1"/>
  <c r="M2" i="17"/>
  <c r="H45" i="1"/>
  <c r="G50" i="1"/>
  <c r="E81" i="12"/>
  <c r="E80" i="12"/>
  <c r="D22" i="12"/>
  <c r="K21" i="12"/>
  <c r="C105" i="12"/>
  <c r="C104" i="12"/>
  <c r="D26" i="12"/>
  <c r="E68" i="12"/>
  <c r="E69" i="12"/>
  <c r="D69" i="12"/>
  <c r="D68" i="12"/>
  <c r="E105" i="12"/>
  <c r="E104" i="12"/>
  <c r="B68" i="12"/>
  <c r="B69" i="12"/>
  <c r="F22" i="12"/>
  <c r="E22" i="12"/>
  <c r="J38" i="19" l="1"/>
  <c r="K37" i="19"/>
  <c r="J30" i="1"/>
  <c r="F56" i="12"/>
  <c r="F58" i="12"/>
  <c r="D83" i="1"/>
  <c r="D85" i="1" s="1"/>
  <c r="D81" i="1"/>
  <c r="E58" i="12"/>
  <c r="C42" i="22"/>
  <c r="C73" i="22" s="1"/>
  <c r="B58" i="12"/>
  <c r="I12" i="12"/>
  <c r="E115" i="1"/>
  <c r="E130" i="1" s="1"/>
  <c r="E143" i="1" s="1"/>
  <c r="G237" i="1"/>
  <c r="F13" i="7"/>
  <c r="G286" i="1"/>
  <c r="G335" i="1"/>
  <c r="B56" i="1"/>
  <c r="D46" i="22"/>
  <c r="E46" i="22" s="1"/>
  <c r="D47" i="22"/>
  <c r="E47" i="22" s="1"/>
  <c r="J35" i="1"/>
  <c r="J39" i="1" s="1"/>
  <c r="K30" i="1"/>
  <c r="B39" i="1"/>
  <c r="D28" i="22"/>
  <c r="E28" i="22" s="1"/>
  <c r="D48" i="22"/>
  <c r="E48" i="22" s="1"/>
  <c r="C29" i="11"/>
  <c r="B31" i="12" s="1"/>
  <c r="I31" i="12" s="1"/>
  <c r="C9" i="11"/>
  <c r="C5" i="12"/>
  <c r="C60" i="12"/>
  <c r="C58" i="12"/>
  <c r="K26" i="12"/>
  <c r="C27" i="12"/>
  <c r="E27" i="12"/>
  <c r="K25" i="12" s="1"/>
  <c r="F61" i="12"/>
  <c r="K61" i="12" s="1"/>
  <c r="C62" i="12"/>
  <c r="E159" i="1"/>
  <c r="F41" i="1"/>
  <c r="F53" i="1" s="1"/>
  <c r="G79" i="1" s="1"/>
  <c r="D27" i="22"/>
  <c r="G63" i="1"/>
  <c r="H63" i="1" s="1"/>
  <c r="I63" i="1" s="1"/>
  <c r="J63" i="1" s="1"/>
  <c r="K63" i="1" s="1"/>
  <c r="L63" i="1" s="1"/>
  <c r="M63" i="1" s="1"/>
  <c r="N63" i="1" s="1"/>
  <c r="O63" i="1" s="1"/>
  <c r="P63" i="1" s="1"/>
  <c r="Q63" i="1" s="1"/>
  <c r="R63" i="1" s="1"/>
  <c r="S63" i="1" s="1"/>
  <c r="T63" i="1" s="1"/>
  <c r="U63" i="1" s="1"/>
  <c r="V63" i="1" s="1"/>
  <c r="W63" i="1" s="1"/>
  <c r="X63" i="1" s="1"/>
  <c r="Y63" i="1" s="1"/>
  <c r="Z63" i="1" s="1"/>
  <c r="AA63" i="1" s="1"/>
  <c r="AB63" i="1" s="1"/>
  <c r="AC63" i="1" s="1"/>
  <c r="AD63" i="1" s="1"/>
  <c r="AE63" i="1" s="1"/>
  <c r="AF63" i="1" s="1"/>
  <c r="AG63" i="1" s="1"/>
  <c r="AH63" i="1" s="1"/>
  <c r="AI63" i="1" s="1"/>
  <c r="AJ63" i="1" s="1"/>
  <c r="H35" i="12"/>
  <c r="I35" i="12" s="1"/>
  <c r="H97" i="12"/>
  <c r="H85" i="12"/>
  <c r="G59" i="1"/>
  <c r="H59" i="1" s="1"/>
  <c r="I59" i="1" s="1"/>
  <c r="J59" i="1" s="1"/>
  <c r="K59" i="1" s="1"/>
  <c r="G61" i="1"/>
  <c r="H61" i="1" s="1"/>
  <c r="I61" i="1" s="1"/>
  <c r="J61" i="1" s="1"/>
  <c r="K61" i="1" s="1"/>
  <c r="L61" i="1" s="1"/>
  <c r="M61" i="1" s="1"/>
  <c r="N61" i="1" s="1"/>
  <c r="O61" i="1" s="1"/>
  <c r="P61" i="1" s="1"/>
  <c r="Q61" i="1" s="1"/>
  <c r="R61" i="1" s="1"/>
  <c r="S61" i="1" s="1"/>
  <c r="T61" i="1" s="1"/>
  <c r="U61" i="1" s="1"/>
  <c r="V61" i="1" s="1"/>
  <c r="W61" i="1" s="1"/>
  <c r="X61" i="1" s="1"/>
  <c r="Y61" i="1" s="1"/>
  <c r="Z61" i="1" s="1"/>
  <c r="AA61" i="1" s="1"/>
  <c r="AB61" i="1" s="1"/>
  <c r="AC61" i="1" s="1"/>
  <c r="AD61" i="1" s="1"/>
  <c r="AE61" i="1" s="1"/>
  <c r="AF61" i="1" s="1"/>
  <c r="AG61" i="1" s="1"/>
  <c r="AH61" i="1" s="1"/>
  <c r="AI61" i="1" s="1"/>
  <c r="AJ61" i="1" s="1"/>
  <c r="G29" i="20"/>
  <c r="B50" i="20"/>
  <c r="B35" i="20" s="1"/>
  <c r="H36" i="12"/>
  <c r="I36" i="12" s="1"/>
  <c r="H44" i="12"/>
  <c r="I44" i="12" s="1"/>
  <c r="G60" i="1"/>
  <c r="H60" i="1" s="1"/>
  <c r="I60" i="1" s="1"/>
  <c r="J60" i="1" s="1"/>
  <c r="K60" i="1" s="1"/>
  <c r="L60" i="1" s="1"/>
  <c r="M60" i="1" s="1"/>
  <c r="N60" i="1" s="1"/>
  <c r="O60" i="1" s="1"/>
  <c r="P60" i="1" s="1"/>
  <c r="Q60" i="1" s="1"/>
  <c r="R60" i="1" s="1"/>
  <c r="S60" i="1" s="1"/>
  <c r="T60" i="1" s="1"/>
  <c r="U60" i="1" s="1"/>
  <c r="V60" i="1" s="1"/>
  <c r="W60" i="1" s="1"/>
  <c r="X60" i="1" s="1"/>
  <c r="Y60" i="1" s="1"/>
  <c r="Z60" i="1" s="1"/>
  <c r="AA60" i="1" s="1"/>
  <c r="AB60" i="1" s="1"/>
  <c r="AC60" i="1" s="1"/>
  <c r="AD60" i="1" s="1"/>
  <c r="AE60" i="1" s="1"/>
  <c r="AF60" i="1" s="1"/>
  <c r="AG60" i="1" s="1"/>
  <c r="AH60" i="1" s="1"/>
  <c r="AI60" i="1" s="1"/>
  <c r="AJ60" i="1" s="1"/>
  <c r="C16" i="20"/>
  <c r="B34" i="20"/>
  <c r="B39" i="20"/>
  <c r="C39" i="20" s="1"/>
  <c r="C30" i="20"/>
  <c r="G56" i="1"/>
  <c r="H56" i="1" s="1"/>
  <c r="I56" i="1" s="1"/>
  <c r="J56" i="1" s="1"/>
  <c r="K56" i="1" s="1"/>
  <c r="L56" i="1" s="1"/>
  <c r="M56" i="1" s="1"/>
  <c r="N56" i="1" s="1"/>
  <c r="O56" i="1" s="1"/>
  <c r="P56" i="1" s="1"/>
  <c r="Q56" i="1" s="1"/>
  <c r="R56" i="1" s="1"/>
  <c r="S56" i="1" s="1"/>
  <c r="T56" i="1" s="1"/>
  <c r="U56" i="1" s="1"/>
  <c r="V56" i="1" s="1"/>
  <c r="W56" i="1" s="1"/>
  <c r="X56" i="1" s="1"/>
  <c r="Y56" i="1" s="1"/>
  <c r="Z56" i="1" s="1"/>
  <c r="AA56" i="1" s="1"/>
  <c r="AB56" i="1" s="1"/>
  <c r="AC56" i="1" s="1"/>
  <c r="AD56" i="1" s="1"/>
  <c r="AE56" i="1" s="1"/>
  <c r="AF56" i="1" s="1"/>
  <c r="AG56" i="1" s="1"/>
  <c r="AH56" i="1" s="1"/>
  <c r="AI56" i="1" s="1"/>
  <c r="AJ56" i="1" s="1"/>
  <c r="H32" i="12"/>
  <c r="I32" i="12" s="1"/>
  <c r="B14" i="7"/>
  <c r="B15" i="7" s="1"/>
  <c r="B7" i="7"/>
  <c r="F122" i="1"/>
  <c r="E199" i="1"/>
  <c r="E207" i="1" s="1"/>
  <c r="E211" i="1" s="1"/>
  <c r="E6" i="1"/>
  <c r="H52" i="12"/>
  <c r="I52" i="12" s="1"/>
  <c r="H38" i="12"/>
  <c r="I38" i="12" s="1"/>
  <c r="G62" i="1"/>
  <c r="H62" i="1" s="1"/>
  <c r="F273" i="1"/>
  <c r="F224" i="1"/>
  <c r="F97" i="1"/>
  <c r="F322" i="1"/>
  <c r="G66" i="1"/>
  <c r="H66" i="1" s="1"/>
  <c r="I66" i="1" s="1"/>
  <c r="J66" i="1" s="1"/>
  <c r="K66" i="1" s="1"/>
  <c r="L66" i="1" s="1"/>
  <c r="M66" i="1" s="1"/>
  <c r="N66" i="1" s="1"/>
  <c r="O66" i="1" s="1"/>
  <c r="P66" i="1" s="1"/>
  <c r="Q66" i="1" s="1"/>
  <c r="R66" i="1" s="1"/>
  <c r="S66" i="1" s="1"/>
  <c r="T66" i="1" s="1"/>
  <c r="U66" i="1" s="1"/>
  <c r="V66" i="1" s="1"/>
  <c r="W66" i="1" s="1"/>
  <c r="X66" i="1" s="1"/>
  <c r="Y66" i="1" s="1"/>
  <c r="Z66" i="1" s="1"/>
  <c r="AA66" i="1" s="1"/>
  <c r="AB66" i="1" s="1"/>
  <c r="AC66" i="1" s="1"/>
  <c r="AD66" i="1" s="1"/>
  <c r="AE66" i="1" s="1"/>
  <c r="AF66" i="1" s="1"/>
  <c r="AG66" i="1" s="1"/>
  <c r="AH66" i="1" s="1"/>
  <c r="AI66" i="1" s="1"/>
  <c r="AJ66" i="1" s="1"/>
  <c r="H42" i="12"/>
  <c r="I42" i="12" s="1"/>
  <c r="I45" i="1"/>
  <c r="H50" i="1"/>
  <c r="J36" i="1"/>
  <c r="J40" i="1" s="1"/>
  <c r="K31" i="1"/>
  <c r="G38" i="1"/>
  <c r="G41" i="1" s="1"/>
  <c r="G53" i="1" s="1"/>
  <c r="H79" i="1" s="1"/>
  <c r="H320" i="1"/>
  <c r="H222" i="1"/>
  <c r="G91" i="1"/>
  <c r="G111" i="1" s="1"/>
  <c r="H271" i="1"/>
  <c r="G77" i="1"/>
  <c r="H77" i="1" s="1"/>
  <c r="I77" i="1" s="1"/>
  <c r="J77" i="1" s="1"/>
  <c r="K77" i="1" s="1"/>
  <c r="L77" i="1" s="1"/>
  <c r="M77" i="1" s="1"/>
  <c r="N77" i="1" s="1"/>
  <c r="O77" i="1" s="1"/>
  <c r="P77" i="1" s="1"/>
  <c r="Q77" i="1" s="1"/>
  <c r="R77" i="1" s="1"/>
  <c r="S77" i="1" s="1"/>
  <c r="T77" i="1" s="1"/>
  <c r="U77" i="1" s="1"/>
  <c r="V77" i="1" s="1"/>
  <c r="W77" i="1" s="1"/>
  <c r="X77" i="1" s="1"/>
  <c r="Y77" i="1" s="1"/>
  <c r="Z77" i="1" s="1"/>
  <c r="AA77" i="1" s="1"/>
  <c r="AB77" i="1" s="1"/>
  <c r="AC77" i="1" s="1"/>
  <c r="AD77" i="1" s="1"/>
  <c r="AE77" i="1" s="1"/>
  <c r="AF77" i="1" s="1"/>
  <c r="AG77" i="1" s="1"/>
  <c r="AH77" i="1" s="1"/>
  <c r="AI77" i="1" s="1"/>
  <c r="AJ77" i="1" s="1"/>
  <c r="H53" i="12"/>
  <c r="I53" i="12" s="1"/>
  <c r="D59" i="22"/>
  <c r="E59" i="22" s="1"/>
  <c r="H28" i="1"/>
  <c r="H34" i="1"/>
  <c r="J90" i="1"/>
  <c r="I94" i="1"/>
  <c r="I93" i="1"/>
  <c r="B38" i="1"/>
  <c r="H10" i="12"/>
  <c r="I10" i="12" s="1"/>
  <c r="H46" i="12"/>
  <c r="I46" i="12" s="1"/>
  <c r="G70" i="1"/>
  <c r="H70" i="1" s="1"/>
  <c r="I70" i="1" s="1"/>
  <c r="J70" i="1" s="1"/>
  <c r="K70" i="1" s="1"/>
  <c r="L70" i="1" s="1"/>
  <c r="M70" i="1" s="1"/>
  <c r="N70" i="1" s="1"/>
  <c r="O70" i="1" s="1"/>
  <c r="P70" i="1" s="1"/>
  <c r="Q70" i="1" s="1"/>
  <c r="R70" i="1" s="1"/>
  <c r="S70" i="1" s="1"/>
  <c r="T70" i="1" s="1"/>
  <c r="U70" i="1" s="1"/>
  <c r="V70" i="1" s="1"/>
  <c r="W70" i="1" s="1"/>
  <c r="X70" i="1" s="1"/>
  <c r="Y70" i="1" s="1"/>
  <c r="Z70" i="1" s="1"/>
  <c r="AA70" i="1" s="1"/>
  <c r="AB70" i="1" s="1"/>
  <c r="AC70" i="1" s="1"/>
  <c r="AD70" i="1" s="1"/>
  <c r="AE70" i="1" s="1"/>
  <c r="AF70" i="1" s="1"/>
  <c r="AG70" i="1" s="1"/>
  <c r="AH70" i="1" s="1"/>
  <c r="AI70" i="1" s="1"/>
  <c r="AJ70" i="1" s="1"/>
  <c r="H332" i="1"/>
  <c r="I106" i="1"/>
  <c r="H234" i="1"/>
  <c r="H283" i="1"/>
  <c r="H193" i="1"/>
  <c r="F27" i="12"/>
  <c r="K27" i="12"/>
  <c r="D58" i="12"/>
  <c r="D61" i="12"/>
  <c r="D62" i="12" s="1"/>
  <c r="D27" i="12"/>
  <c r="F57" i="12" l="1"/>
  <c r="K55" i="12"/>
  <c r="L37" i="19"/>
  <c r="K38" i="19"/>
  <c r="E41" i="1"/>
  <c r="F58" i="1"/>
  <c r="G58" i="1" s="1"/>
  <c r="H58" i="1" s="1"/>
  <c r="I58" i="1" s="1"/>
  <c r="J58" i="1" s="1"/>
  <c r="K58" i="1" s="1"/>
  <c r="L58" i="1" s="1"/>
  <c r="M58" i="1" s="1"/>
  <c r="N58" i="1" s="1"/>
  <c r="O58" i="1" s="1"/>
  <c r="P58" i="1" s="1"/>
  <c r="Q58" i="1" s="1"/>
  <c r="R58" i="1" s="1"/>
  <c r="S58" i="1" s="1"/>
  <c r="T58" i="1" s="1"/>
  <c r="U58" i="1" s="1"/>
  <c r="V58" i="1" s="1"/>
  <c r="W58" i="1" s="1"/>
  <c r="X58" i="1" s="1"/>
  <c r="Y58" i="1" s="1"/>
  <c r="Z58" i="1" s="1"/>
  <c r="AA58" i="1" s="1"/>
  <c r="AB58" i="1" s="1"/>
  <c r="AC58" i="1" s="1"/>
  <c r="AD58" i="1" s="1"/>
  <c r="AE58" i="1" s="1"/>
  <c r="AF58" i="1" s="1"/>
  <c r="AG58" i="1" s="1"/>
  <c r="AH58" i="1" s="1"/>
  <c r="AI58" i="1" s="1"/>
  <c r="AJ58" i="1" s="1"/>
  <c r="C71" i="22"/>
  <c r="B41" i="1"/>
  <c r="B58" i="1"/>
  <c r="D38" i="8"/>
  <c r="E240" i="1"/>
  <c r="G110" i="1"/>
  <c r="K110" i="1"/>
  <c r="O110" i="1"/>
  <c r="S110" i="1"/>
  <c r="W110" i="1"/>
  <c r="AA110" i="1"/>
  <c r="AE110" i="1"/>
  <c r="AI110" i="1"/>
  <c r="N110" i="1"/>
  <c r="Z110" i="1"/>
  <c r="H110" i="1"/>
  <c r="L110" i="1"/>
  <c r="P110" i="1"/>
  <c r="T110" i="1"/>
  <c r="X110" i="1"/>
  <c r="AB110" i="1"/>
  <c r="AF110" i="1"/>
  <c r="AJ110" i="1"/>
  <c r="R110" i="1"/>
  <c r="AD110" i="1"/>
  <c r="I110" i="1"/>
  <c r="M110" i="1"/>
  <c r="Q110" i="1"/>
  <c r="U110" i="1"/>
  <c r="Y110" i="1"/>
  <c r="AC110" i="1"/>
  <c r="AG110" i="1"/>
  <c r="F110" i="1"/>
  <c r="J110" i="1"/>
  <c r="V110" i="1"/>
  <c r="AH110" i="1"/>
  <c r="F39" i="19"/>
  <c r="F47" i="19" s="1"/>
  <c r="E132" i="1"/>
  <c r="B57" i="1"/>
  <c r="K35" i="1"/>
  <c r="K39" i="1" s="1"/>
  <c r="L30" i="1"/>
  <c r="F57" i="1"/>
  <c r="G57" i="1" s="1"/>
  <c r="H57" i="1" s="1"/>
  <c r="I57" i="1" s="1"/>
  <c r="J57" i="1" s="1"/>
  <c r="K57" i="1" s="1"/>
  <c r="L57" i="1" s="1"/>
  <c r="M57" i="1" s="1"/>
  <c r="N57" i="1" s="1"/>
  <c r="O57" i="1" s="1"/>
  <c r="P57" i="1" s="1"/>
  <c r="Q57" i="1" s="1"/>
  <c r="R57" i="1" s="1"/>
  <c r="S57" i="1" s="1"/>
  <c r="T57" i="1" s="1"/>
  <c r="U57" i="1" s="1"/>
  <c r="V57" i="1" s="1"/>
  <c r="W57" i="1" s="1"/>
  <c r="X57" i="1" s="1"/>
  <c r="Y57" i="1" s="1"/>
  <c r="Z57" i="1" s="1"/>
  <c r="AA57" i="1" s="1"/>
  <c r="AB57" i="1" s="1"/>
  <c r="AC57" i="1" s="1"/>
  <c r="AD57" i="1" s="1"/>
  <c r="AE57" i="1" s="1"/>
  <c r="AF57" i="1" s="1"/>
  <c r="AG57" i="1" s="1"/>
  <c r="AH57" i="1" s="1"/>
  <c r="AI57" i="1" s="1"/>
  <c r="AJ57" i="1" s="1"/>
  <c r="C110" i="12"/>
  <c r="C65" i="12"/>
  <c r="B60" i="12"/>
  <c r="I60" i="12" s="1"/>
  <c r="B5" i="12"/>
  <c r="E27" i="22"/>
  <c r="E30" i="22" s="1"/>
  <c r="E42" i="22" s="1"/>
  <c r="D30" i="22"/>
  <c r="D42" i="22" s="1"/>
  <c r="D69" i="22" s="1"/>
  <c r="E69" i="22" s="1"/>
  <c r="H11" i="12"/>
  <c r="I11" i="12" s="1"/>
  <c r="H98" i="12"/>
  <c r="H99" i="12"/>
  <c r="H73" i="12"/>
  <c r="H86" i="12"/>
  <c r="H87" i="12"/>
  <c r="H91" i="12"/>
  <c r="H79" i="12"/>
  <c r="H80" i="12" s="1"/>
  <c r="G25" i="20"/>
  <c r="G23" i="20"/>
  <c r="B36" i="20"/>
  <c r="B51" i="20" s="1"/>
  <c r="B52" i="20" s="1"/>
  <c r="B53" i="20" s="1"/>
  <c r="B37" i="20" s="1"/>
  <c r="H103" i="12"/>
  <c r="H67" i="12"/>
  <c r="H38" i="1"/>
  <c r="H41" i="1" s="1"/>
  <c r="H53" i="1" s="1"/>
  <c r="I79" i="1" s="1"/>
  <c r="G52" i="1"/>
  <c r="F4" i="7"/>
  <c r="I283" i="1"/>
  <c r="I332" i="1"/>
  <c r="I193" i="1"/>
  <c r="J106" i="1"/>
  <c r="K106" i="1" s="1"/>
  <c r="K90" i="1"/>
  <c r="L90" i="1" s="1"/>
  <c r="I34" i="1"/>
  <c r="I28" i="1"/>
  <c r="J45" i="1"/>
  <c r="I50" i="1"/>
  <c r="H9" i="7"/>
  <c r="I272" i="1"/>
  <c r="I321" i="1"/>
  <c r="F52" i="1"/>
  <c r="B53" i="1"/>
  <c r="E4" i="7"/>
  <c r="E52" i="1"/>
  <c r="E53" i="1" s="1"/>
  <c r="D27" i="16" s="1"/>
  <c r="F79" i="1"/>
  <c r="F69" i="1"/>
  <c r="B69" i="1"/>
  <c r="I320" i="1"/>
  <c r="H113" i="1"/>
  <c r="I271" i="1"/>
  <c r="H91" i="1"/>
  <c r="H111" i="1" s="1"/>
  <c r="K36" i="1"/>
  <c r="K40" i="1" s="1"/>
  <c r="L31" i="1"/>
  <c r="F226" i="1"/>
  <c r="G92" i="1"/>
  <c r="F324" i="1"/>
  <c r="F275" i="1"/>
  <c r="F62" i="12"/>
  <c r="E62" i="12"/>
  <c r="K60" i="12" s="1"/>
  <c r="K62" i="12"/>
  <c r="L59" i="1"/>
  <c r="I62" i="1"/>
  <c r="H33" i="12" l="1"/>
  <c r="I33" i="12" s="1"/>
  <c r="M37" i="19"/>
  <c r="L38" i="19"/>
  <c r="L106" i="1"/>
  <c r="K332" i="1"/>
  <c r="K193" i="1"/>
  <c r="D39" i="8"/>
  <c r="D40" i="8" s="1"/>
  <c r="D41" i="8" s="1"/>
  <c r="H48" i="8" s="1"/>
  <c r="H34" i="12"/>
  <c r="I34" i="12" s="1"/>
  <c r="E257" i="1"/>
  <c r="E289" i="1"/>
  <c r="F60" i="19"/>
  <c r="F77" i="19" s="1"/>
  <c r="F76" i="19"/>
  <c r="F57" i="19"/>
  <c r="F65" i="19" s="1"/>
  <c r="F56" i="19"/>
  <c r="F64" i="19"/>
  <c r="L35" i="1"/>
  <c r="L39" i="1" s="1"/>
  <c r="M30" i="1"/>
  <c r="B110" i="12"/>
  <c r="B65" i="12"/>
  <c r="H26" i="12"/>
  <c r="I26" i="12" s="1"/>
  <c r="H75" i="12"/>
  <c r="H74" i="12"/>
  <c r="H104" i="12"/>
  <c r="H81" i="12"/>
  <c r="H92" i="12"/>
  <c r="H69" i="12"/>
  <c r="H93" i="12"/>
  <c r="G24" i="20"/>
  <c r="G26" i="20" s="1"/>
  <c r="G27" i="20" s="1"/>
  <c r="H105" i="12"/>
  <c r="H68" i="12"/>
  <c r="G270" i="1"/>
  <c r="G319" i="1"/>
  <c r="G96" i="1"/>
  <c r="G94" i="1" s="1"/>
  <c r="G221" i="1"/>
  <c r="H286" i="1"/>
  <c r="G13" i="7"/>
  <c r="H237" i="1"/>
  <c r="H335" i="1"/>
  <c r="K45" i="1"/>
  <c r="J50" i="1"/>
  <c r="M31" i="1"/>
  <c r="L36" i="1"/>
  <c r="L40" i="1" s="1"/>
  <c r="J28" i="1"/>
  <c r="K29" i="1"/>
  <c r="J34" i="1"/>
  <c r="J283" i="1"/>
  <c r="J332" i="1"/>
  <c r="J193" i="1"/>
  <c r="B79" i="1"/>
  <c r="H55" i="12"/>
  <c r="I55" i="12" s="1"/>
  <c r="I38" i="1"/>
  <c r="I41" i="1" s="1"/>
  <c r="I53" i="1" s="1"/>
  <c r="J79" i="1" s="1"/>
  <c r="M90" i="1"/>
  <c r="L93" i="1"/>
  <c r="H52" i="1"/>
  <c r="G4" i="7"/>
  <c r="G69" i="1"/>
  <c r="H45" i="12"/>
  <c r="I45" i="12" s="1"/>
  <c r="F80" i="1"/>
  <c r="J62" i="1"/>
  <c r="M59" i="1"/>
  <c r="M38" i="19" l="1"/>
  <c r="N37" i="19"/>
  <c r="F48" i="8"/>
  <c r="G48" i="8"/>
  <c r="I48" i="8"/>
  <c r="M106" i="1"/>
  <c r="L332" i="1"/>
  <c r="L193" i="1"/>
  <c r="G321" i="1"/>
  <c r="G223" i="1"/>
  <c r="G272" i="1"/>
  <c r="F9" i="7"/>
  <c r="E338" i="1"/>
  <c r="F295" i="1"/>
  <c r="F296" i="1" s="1"/>
  <c r="E306" i="1"/>
  <c r="F32" i="19"/>
  <c r="F58" i="19"/>
  <c r="G53" i="19" s="1"/>
  <c r="G55" i="19" s="1"/>
  <c r="F22" i="19"/>
  <c r="F59" i="19"/>
  <c r="F69" i="19"/>
  <c r="F70" i="19" s="1"/>
  <c r="F78" i="19" s="1"/>
  <c r="F82" i="19" s="1"/>
  <c r="F89" i="19"/>
  <c r="F67" i="19"/>
  <c r="F66" i="19"/>
  <c r="G62" i="19" s="1"/>
  <c r="G63" i="19" s="1"/>
  <c r="M35" i="1"/>
  <c r="M39" i="1" s="1"/>
  <c r="N30" i="1"/>
  <c r="H56" i="12"/>
  <c r="I56" i="12" s="1"/>
  <c r="H4" i="7"/>
  <c r="I52" i="1"/>
  <c r="K113" i="1"/>
  <c r="L320" i="1"/>
  <c r="J38" i="1"/>
  <c r="J41" i="1" s="1"/>
  <c r="J53" i="1" s="1"/>
  <c r="K79" i="1" s="1"/>
  <c r="N90" i="1"/>
  <c r="K28" i="1"/>
  <c r="L29" i="1"/>
  <c r="K34" i="1"/>
  <c r="N31" i="1"/>
  <c r="M36" i="1"/>
  <c r="M40" i="1" s="1"/>
  <c r="H69" i="1"/>
  <c r="G80" i="1"/>
  <c r="G323" i="1"/>
  <c r="G225" i="1"/>
  <c r="G274" i="1"/>
  <c r="G95" i="1"/>
  <c r="F81" i="1"/>
  <c r="E5" i="7"/>
  <c r="E6" i="7" s="1"/>
  <c r="F83" i="1"/>
  <c r="D163" i="1"/>
  <c r="E80" i="1"/>
  <c r="L45" i="1"/>
  <c r="K50" i="1"/>
  <c r="N59" i="1"/>
  <c r="K62" i="1"/>
  <c r="O37" i="19" l="1"/>
  <c r="N38" i="19"/>
  <c r="N106" i="1"/>
  <c r="M193" i="1"/>
  <c r="M332" i="1"/>
  <c r="F80" i="19"/>
  <c r="F344" i="1"/>
  <c r="F345" i="1" s="1"/>
  <c r="E355" i="1"/>
  <c r="F79" i="19"/>
  <c r="G74" i="19" s="1"/>
  <c r="G75" i="19" s="1"/>
  <c r="F96" i="19"/>
  <c r="F91" i="19"/>
  <c r="F90" i="19"/>
  <c r="O30" i="1"/>
  <c r="N35" i="1"/>
  <c r="N39" i="1" s="1"/>
  <c r="H58" i="12"/>
  <c r="H61" i="12"/>
  <c r="I61" i="12" s="1"/>
  <c r="M45" i="1"/>
  <c r="L50" i="1"/>
  <c r="G83" i="1"/>
  <c r="G81" i="1"/>
  <c r="F5" i="7"/>
  <c r="F6" i="7" s="1"/>
  <c r="J52" i="1"/>
  <c r="I4" i="7"/>
  <c r="J13" i="7"/>
  <c r="K335" i="1"/>
  <c r="F99" i="1"/>
  <c r="F98" i="1"/>
  <c r="F85" i="1"/>
  <c r="I69" i="1"/>
  <c r="H80" i="1"/>
  <c r="O31" i="1"/>
  <c r="N36" i="1"/>
  <c r="N40" i="1" s="1"/>
  <c r="B80" i="1"/>
  <c r="E81" i="1"/>
  <c r="E83" i="1"/>
  <c r="E85" i="1" s="1"/>
  <c r="O90" i="1"/>
  <c r="N93" i="1"/>
  <c r="E163" i="1"/>
  <c r="D164" i="1"/>
  <c r="E164" i="1" s="1"/>
  <c r="E165" i="1" s="1"/>
  <c r="D7" i="1" s="1"/>
  <c r="G273" i="1"/>
  <c r="G322" i="1"/>
  <c r="G224" i="1"/>
  <c r="G97" i="1"/>
  <c r="F83" i="19"/>
  <c r="F84" i="19" s="1"/>
  <c r="F92" i="19"/>
  <c r="L28" i="1"/>
  <c r="M29" i="1"/>
  <c r="L34" i="1"/>
  <c r="E11" i="7"/>
  <c r="E14" i="7" s="1"/>
  <c r="E7" i="7"/>
  <c r="K38" i="1"/>
  <c r="K41" i="1" s="1"/>
  <c r="K53" i="1" s="1"/>
  <c r="L79" i="1" s="1"/>
  <c r="L62" i="1"/>
  <c r="O59" i="1"/>
  <c r="P37" i="19" l="1"/>
  <c r="O38" i="19"/>
  <c r="O106" i="1"/>
  <c r="N193" i="1"/>
  <c r="N332" i="1"/>
  <c r="G81" i="19"/>
  <c r="O35" i="1"/>
  <c r="O39" i="1" s="1"/>
  <c r="P30" i="1"/>
  <c r="L38" i="1"/>
  <c r="L41" i="1" s="1"/>
  <c r="L53" i="1" s="1"/>
  <c r="M79" i="1" s="1"/>
  <c r="G226" i="1"/>
  <c r="G275" i="1"/>
  <c r="G324" i="1"/>
  <c r="H92" i="1"/>
  <c r="B85" i="1"/>
  <c r="B27" i="16"/>
  <c r="P31" i="1"/>
  <c r="O36" i="1"/>
  <c r="O40" i="1" s="1"/>
  <c r="J4" i="7"/>
  <c r="K52" i="1"/>
  <c r="F85" i="19"/>
  <c r="F93" i="19" s="1"/>
  <c r="N320" i="1"/>
  <c r="M113" i="1"/>
  <c r="M335" i="1" s="1"/>
  <c r="J69" i="1"/>
  <c r="I80" i="1"/>
  <c r="O93" i="1"/>
  <c r="P90" i="1"/>
  <c r="D8" i="1"/>
  <c r="F192" i="1"/>
  <c r="F88" i="1"/>
  <c r="F104" i="1"/>
  <c r="D55" i="2"/>
  <c r="D56" i="2" s="1"/>
  <c r="F87" i="1"/>
  <c r="F316" i="1"/>
  <c r="F102" i="1"/>
  <c r="F267" i="1"/>
  <c r="F7" i="7"/>
  <c r="F11" i="7"/>
  <c r="F14" i="7" s="1"/>
  <c r="N45" i="1"/>
  <c r="M50" i="1"/>
  <c r="N29" i="1"/>
  <c r="M34" i="1"/>
  <c r="M28" i="1"/>
  <c r="H81" i="1"/>
  <c r="G5" i="7"/>
  <c r="G6" i="7" s="1"/>
  <c r="H83" i="1"/>
  <c r="G85" i="1"/>
  <c r="G99" i="1"/>
  <c r="G98" i="1"/>
  <c r="P59" i="1"/>
  <c r="M62" i="1"/>
  <c r="Q37" i="19" l="1"/>
  <c r="P38" i="19"/>
  <c r="O332" i="1"/>
  <c r="O193" i="1"/>
  <c r="P35" i="1"/>
  <c r="P39" i="1" s="1"/>
  <c r="Q30" i="1"/>
  <c r="F141" i="1"/>
  <c r="H221" i="1"/>
  <c r="H270" i="1"/>
  <c r="H319" i="1"/>
  <c r="H96" i="1"/>
  <c r="H94" i="1" s="1"/>
  <c r="N34" i="1"/>
  <c r="N28" i="1"/>
  <c r="O29" i="1"/>
  <c r="N113" i="1"/>
  <c r="N335" i="1" s="1"/>
  <c r="O320" i="1"/>
  <c r="K69" i="1"/>
  <c r="J80" i="1"/>
  <c r="P36" i="1"/>
  <c r="P40" i="1" s="1"/>
  <c r="Q31" i="1"/>
  <c r="H85" i="1"/>
  <c r="O45" i="1"/>
  <c r="N50" i="1"/>
  <c r="F328" i="1"/>
  <c r="F279" i="1"/>
  <c r="F103" i="1"/>
  <c r="F230" i="1"/>
  <c r="H9" i="8"/>
  <c r="B8" i="7"/>
  <c r="G7" i="7"/>
  <c r="M38" i="1"/>
  <c r="M41" i="1" s="1"/>
  <c r="M53" i="1" s="1"/>
  <c r="N79" i="1" s="1"/>
  <c r="F115" i="1"/>
  <c r="F330" i="1"/>
  <c r="F338" i="1" s="1"/>
  <c r="F281" i="1"/>
  <c r="F289" i="1" s="1"/>
  <c r="F232" i="1"/>
  <c r="F240" i="1" s="1"/>
  <c r="P108" i="1"/>
  <c r="Q90" i="1"/>
  <c r="H5" i="7"/>
  <c r="H6" i="7" s="1"/>
  <c r="I83" i="1"/>
  <c r="I81" i="1"/>
  <c r="F97" i="19"/>
  <c r="F95" i="19"/>
  <c r="F94" i="19"/>
  <c r="G267" i="1"/>
  <c r="G102" i="1"/>
  <c r="G88" i="1"/>
  <c r="G104" i="1"/>
  <c r="G192" i="1"/>
  <c r="G316" i="1"/>
  <c r="G141" i="1"/>
  <c r="G87" i="1"/>
  <c r="F218" i="1"/>
  <c r="F211" i="1"/>
  <c r="F207" i="1"/>
  <c r="F199" i="1"/>
  <c r="N91" i="1"/>
  <c r="N111" i="1" s="1"/>
  <c r="F27" i="16"/>
  <c r="G27" i="16"/>
  <c r="Q59" i="1"/>
  <c r="N62" i="1"/>
  <c r="Q47" i="19" l="1"/>
  <c r="Q67" i="19"/>
  <c r="Q38" i="19"/>
  <c r="Q74" i="19"/>
  <c r="Q39" i="19"/>
  <c r="R37" i="19"/>
  <c r="Q54" i="19"/>
  <c r="Q66" i="19"/>
  <c r="Q53" i="19"/>
  <c r="Q65" i="19"/>
  <c r="Q89" i="19" s="1"/>
  <c r="Q64" i="19"/>
  <c r="Q62" i="19"/>
  <c r="Q63" i="19" s="1"/>
  <c r="H272" i="1"/>
  <c r="H223" i="1"/>
  <c r="G9" i="7"/>
  <c r="G11" i="7" s="1"/>
  <c r="G14" i="7" s="1"/>
  <c r="H321" i="1"/>
  <c r="H99" i="1"/>
  <c r="H98" i="1"/>
  <c r="Q35" i="1"/>
  <c r="Q39" i="1" s="1"/>
  <c r="R30" i="1"/>
  <c r="E48" i="8"/>
  <c r="F142" i="1"/>
  <c r="G328" i="1"/>
  <c r="G103" i="1"/>
  <c r="G230" i="1"/>
  <c r="G279" i="1"/>
  <c r="F98" i="19"/>
  <c r="F99" i="19" s="1"/>
  <c r="F100" i="19" s="1"/>
  <c r="F104" i="19" s="1"/>
  <c r="F21" i="19" s="1"/>
  <c r="F24" i="19" s="1"/>
  <c r="F297" i="1"/>
  <c r="P45" i="1"/>
  <c r="O50" i="1"/>
  <c r="Q36" i="1"/>
  <c r="Q40" i="1" s="1"/>
  <c r="R31" i="1"/>
  <c r="O34" i="1"/>
  <c r="O28" i="1"/>
  <c r="P29" i="1"/>
  <c r="G199" i="1"/>
  <c r="G207" i="1"/>
  <c r="G211" i="1"/>
  <c r="G218" i="1"/>
  <c r="Q108" i="1"/>
  <c r="R90" i="1"/>
  <c r="Q93" i="1"/>
  <c r="F346" i="1"/>
  <c r="G330" i="1"/>
  <c r="G338" i="1" s="1"/>
  <c r="G281" i="1"/>
  <c r="G289" i="1" s="1"/>
  <c r="G232" i="1"/>
  <c r="G240" i="1" s="1"/>
  <c r="G115" i="1"/>
  <c r="I98" i="1"/>
  <c r="I99" i="1"/>
  <c r="I85" i="1"/>
  <c r="G39" i="19"/>
  <c r="F123" i="1"/>
  <c r="F116" i="1"/>
  <c r="C25" i="1" s="1"/>
  <c r="J81" i="1"/>
  <c r="I5" i="7"/>
  <c r="I6" i="7" s="1"/>
  <c r="J83" i="1"/>
  <c r="N38" i="1"/>
  <c r="N41" i="1" s="1"/>
  <c r="N53" i="1" s="1"/>
  <c r="O79" i="1" s="1"/>
  <c r="H7" i="7"/>
  <c r="H11" i="7"/>
  <c r="F248" i="1"/>
  <c r="F249" i="1" s="1"/>
  <c r="H267" i="1"/>
  <c r="H192" i="1"/>
  <c r="H316" i="1"/>
  <c r="H87" i="1"/>
  <c r="H88" i="1"/>
  <c r="H104" i="1"/>
  <c r="H102" i="1"/>
  <c r="H141" i="1"/>
  <c r="L69" i="1"/>
  <c r="K80" i="1"/>
  <c r="H225" i="1"/>
  <c r="H323" i="1"/>
  <c r="H274" i="1"/>
  <c r="H95" i="1"/>
  <c r="O62" i="1"/>
  <c r="R59" i="1"/>
  <c r="S37" i="19" l="1"/>
  <c r="R54" i="19"/>
  <c r="R65" i="19"/>
  <c r="R89" i="19" s="1"/>
  <c r="R47" i="19"/>
  <c r="R39" i="19"/>
  <c r="R74" i="19"/>
  <c r="R53" i="19"/>
  <c r="R67" i="19"/>
  <c r="R66" i="19"/>
  <c r="R64" i="19"/>
  <c r="R62" i="19"/>
  <c r="R63" i="19" s="1"/>
  <c r="R38" i="19"/>
  <c r="Q40" i="19"/>
  <c r="Q19" i="19"/>
  <c r="Q41" i="19"/>
  <c r="Q42" i="19" s="1"/>
  <c r="Q82" i="19"/>
  <c r="Q83" i="19"/>
  <c r="Q78" i="19"/>
  <c r="Q81" i="19"/>
  <c r="Q84" i="19"/>
  <c r="Q79" i="19"/>
  <c r="Q76" i="19"/>
  <c r="Q85" i="19"/>
  <c r="Q75" i="19"/>
  <c r="Q80" i="19"/>
  <c r="Q90" i="19"/>
  <c r="Q100" i="19"/>
  <c r="Q96" i="19"/>
  <c r="Q104" i="19"/>
  <c r="Q95" i="19"/>
  <c r="Q98" i="19"/>
  <c r="Q92" i="19"/>
  <c r="Q94" i="19"/>
  <c r="Q99" i="19"/>
  <c r="Q93" i="19"/>
  <c r="Q97" i="19"/>
  <c r="Q91" i="19"/>
  <c r="Q57" i="19"/>
  <c r="Q60" i="19" s="1"/>
  <c r="Q77" i="19" s="1"/>
  <c r="Q55" i="19"/>
  <c r="Q59" i="19"/>
  <c r="Q58" i="19"/>
  <c r="Q69" i="19"/>
  <c r="Q70" i="19"/>
  <c r="Q56" i="19"/>
  <c r="Q22" i="19" s="1"/>
  <c r="R35" i="1"/>
  <c r="R39" i="1" s="1"/>
  <c r="S30" i="1"/>
  <c r="F250" i="1"/>
  <c r="F252" i="1" s="1"/>
  <c r="F255" i="1" s="1"/>
  <c r="F257" i="1" s="1"/>
  <c r="I7" i="7"/>
  <c r="F125" i="1"/>
  <c r="F124" i="1"/>
  <c r="G121" i="1" s="1"/>
  <c r="R93" i="1"/>
  <c r="R108" i="1"/>
  <c r="S90" i="1"/>
  <c r="O38" i="1"/>
  <c r="O41" i="1" s="1"/>
  <c r="O53" i="1" s="1"/>
  <c r="P79" i="1" s="1"/>
  <c r="H279" i="1"/>
  <c r="H328" i="1"/>
  <c r="H103" i="1"/>
  <c r="H230" i="1"/>
  <c r="G41" i="19"/>
  <c r="G42" i="19" s="1"/>
  <c r="G19" i="19"/>
  <c r="G40" i="19"/>
  <c r="H39" i="19"/>
  <c r="G116" i="1"/>
  <c r="F299" i="1"/>
  <c r="F298" i="1"/>
  <c r="G295" i="1" s="1"/>
  <c r="H224" i="1"/>
  <c r="H273" i="1"/>
  <c r="H322" i="1"/>
  <c r="H97" i="1"/>
  <c r="K81" i="1"/>
  <c r="K83" i="1"/>
  <c r="K85" i="1" s="1"/>
  <c r="J5" i="7"/>
  <c r="J6" i="7" s="1"/>
  <c r="J7" i="7" s="1"/>
  <c r="H330" i="1"/>
  <c r="H338" i="1" s="1"/>
  <c r="H232" i="1"/>
  <c r="H281" i="1"/>
  <c r="H289" i="1" s="1"/>
  <c r="H115" i="1"/>
  <c r="H211" i="1"/>
  <c r="H207" i="1"/>
  <c r="H218" i="1"/>
  <c r="H238" i="1" s="1"/>
  <c r="H195" i="1"/>
  <c r="H199" i="1" s="1"/>
  <c r="E200" i="1" s="1"/>
  <c r="D169" i="1" s="1"/>
  <c r="E20" i="1" s="1"/>
  <c r="I102" i="1"/>
  <c r="I88" i="1"/>
  <c r="I104" i="1"/>
  <c r="I267" i="1"/>
  <c r="I316" i="1"/>
  <c r="I87" i="1"/>
  <c r="I192" i="1"/>
  <c r="F348" i="1"/>
  <c r="F347" i="1"/>
  <c r="G344" i="1" s="1"/>
  <c r="P28" i="1"/>
  <c r="P34" i="1"/>
  <c r="Q29" i="1"/>
  <c r="Q45" i="1"/>
  <c r="P50" i="1"/>
  <c r="F105" i="19"/>
  <c r="F106" i="19" s="1"/>
  <c r="F107" i="19" s="1"/>
  <c r="M69" i="1"/>
  <c r="L80" i="1"/>
  <c r="L83" i="1" s="1"/>
  <c r="L85" i="1" s="1"/>
  <c r="J85" i="1"/>
  <c r="P113" i="1"/>
  <c r="R36" i="1"/>
  <c r="R40" i="1" s="1"/>
  <c r="S31" i="1"/>
  <c r="S59" i="1"/>
  <c r="P62" i="1"/>
  <c r="R58" i="19" l="1"/>
  <c r="R56" i="19"/>
  <c r="R22" i="19" s="1"/>
  <c r="R69" i="19"/>
  <c r="R55" i="19"/>
  <c r="R70" i="19"/>
  <c r="R57" i="19"/>
  <c r="R60" i="19" s="1"/>
  <c r="R77" i="19" s="1"/>
  <c r="R59" i="19"/>
  <c r="Q106" i="19"/>
  <c r="Q105" i="19"/>
  <c r="Q107" i="19"/>
  <c r="R83" i="19"/>
  <c r="R78" i="19"/>
  <c r="R84" i="19"/>
  <c r="R81" i="19"/>
  <c r="R82" i="19"/>
  <c r="R76" i="19"/>
  <c r="R75" i="19"/>
  <c r="R79" i="19"/>
  <c r="R80" i="19"/>
  <c r="R85" i="19"/>
  <c r="Q43" i="19"/>
  <c r="Q45" i="19"/>
  <c r="Q46" i="19" s="1"/>
  <c r="Q24" i="19"/>
  <c r="Q28" i="19"/>
  <c r="Q30" i="19" s="1"/>
  <c r="Q21" i="19"/>
  <c r="Q29" i="19" s="1"/>
  <c r="Q31" i="19"/>
  <c r="Q34" i="19"/>
  <c r="Q32" i="19"/>
  <c r="R91" i="19"/>
  <c r="R104" i="19"/>
  <c r="R95" i="19"/>
  <c r="R94" i="19"/>
  <c r="R100" i="19"/>
  <c r="R93" i="19"/>
  <c r="R99" i="19"/>
  <c r="R97" i="19"/>
  <c r="R96" i="19"/>
  <c r="R98" i="19"/>
  <c r="R92" i="19"/>
  <c r="R90" i="19"/>
  <c r="R40" i="19"/>
  <c r="R19" i="19"/>
  <c r="R41" i="19"/>
  <c r="R42" i="19" s="1"/>
  <c r="S47" i="19"/>
  <c r="S38" i="19"/>
  <c r="S74" i="19"/>
  <c r="S66" i="19"/>
  <c r="S39" i="19"/>
  <c r="S65" i="19"/>
  <c r="S89" i="19" s="1"/>
  <c r="S64" i="19"/>
  <c r="S54" i="19"/>
  <c r="S62" i="19"/>
  <c r="S63" i="19" s="1"/>
  <c r="S53" i="19"/>
  <c r="S67" i="19"/>
  <c r="T37" i="19"/>
  <c r="T30" i="1"/>
  <c r="S35" i="1"/>
  <c r="S39" i="1" s="1"/>
  <c r="G117" i="1"/>
  <c r="F28" i="19"/>
  <c r="F34" i="19" s="1"/>
  <c r="F253" i="1"/>
  <c r="F256" i="1" s="1"/>
  <c r="Q28" i="1"/>
  <c r="Q34" i="1"/>
  <c r="R29" i="1"/>
  <c r="G345" i="1"/>
  <c r="G346" i="1" s="1"/>
  <c r="G348" i="1" s="1"/>
  <c r="I39" i="19"/>
  <c r="H116" i="1"/>
  <c r="H117" i="1" s="1"/>
  <c r="H40" i="19"/>
  <c r="H41" i="19"/>
  <c r="H42" i="19" s="1"/>
  <c r="H19" i="19"/>
  <c r="Q113" i="1"/>
  <c r="Q91" i="1"/>
  <c r="Q111" i="1" s="1"/>
  <c r="L192" i="1"/>
  <c r="L211" i="1" s="1"/>
  <c r="L316" i="1"/>
  <c r="L88" i="1"/>
  <c r="L102" i="1"/>
  <c r="L87" i="1"/>
  <c r="P38" i="1"/>
  <c r="P41" i="1" s="1"/>
  <c r="P53" i="1" s="1"/>
  <c r="Q79" i="1" s="1"/>
  <c r="F351" i="1"/>
  <c r="F354" i="1" s="1"/>
  <c r="F350" i="1"/>
  <c r="F353" i="1" s="1"/>
  <c r="F355" i="1" s="1"/>
  <c r="I279" i="1"/>
  <c r="I103" i="1"/>
  <c r="I328" i="1"/>
  <c r="K102" i="1"/>
  <c r="K192" i="1"/>
  <c r="K211" i="1" s="1"/>
  <c r="K87" i="1"/>
  <c r="K88" i="1"/>
  <c r="K316" i="1"/>
  <c r="G296" i="1"/>
  <c r="G297" i="1" s="1"/>
  <c r="G299" i="1" s="1"/>
  <c r="G122" i="1"/>
  <c r="G123" i="1" s="1"/>
  <c r="G246" i="1"/>
  <c r="T31" i="1"/>
  <c r="S36" i="1"/>
  <c r="S40" i="1" s="1"/>
  <c r="J316" i="1"/>
  <c r="J88" i="1"/>
  <c r="J192" i="1"/>
  <c r="J87" i="1"/>
  <c r="C23" i="1" s="1"/>
  <c r="J267" i="1"/>
  <c r="J287" i="1" s="1"/>
  <c r="J102" i="1"/>
  <c r="N69" i="1"/>
  <c r="M80" i="1"/>
  <c r="M83" i="1" s="1"/>
  <c r="M85" i="1" s="1"/>
  <c r="I211" i="1"/>
  <c r="I207" i="1"/>
  <c r="F301" i="1"/>
  <c r="F304" i="1" s="1"/>
  <c r="F306" i="1" s="1"/>
  <c r="F302" i="1"/>
  <c r="F305" i="1" s="1"/>
  <c r="G31" i="19"/>
  <c r="S93" i="1"/>
  <c r="T90" i="1"/>
  <c r="S108" i="1"/>
  <c r="F128" i="1"/>
  <c r="F131" i="1" s="1"/>
  <c r="F127" i="1"/>
  <c r="F130" i="1" s="1"/>
  <c r="R45" i="1"/>
  <c r="Q50" i="1"/>
  <c r="I330" i="1"/>
  <c r="I281" i="1"/>
  <c r="H226" i="1"/>
  <c r="H239" i="1" s="1"/>
  <c r="H240" i="1" s="1"/>
  <c r="E242" i="1" s="1"/>
  <c r="D170" i="1" s="1"/>
  <c r="E21" i="1" s="1"/>
  <c r="H275" i="1"/>
  <c r="H324" i="1"/>
  <c r="I92" i="1"/>
  <c r="G43" i="19"/>
  <c r="G45" i="19"/>
  <c r="G46" i="19" s="1"/>
  <c r="Q62" i="1"/>
  <c r="T59" i="1"/>
  <c r="S79" i="19" l="1"/>
  <c r="S80" i="19"/>
  <c r="S76" i="19"/>
  <c r="S75" i="19"/>
  <c r="S84" i="19"/>
  <c r="S81" i="19"/>
  <c r="S82" i="19"/>
  <c r="S85" i="19"/>
  <c r="S83" i="19"/>
  <c r="S78" i="19"/>
  <c r="T64" i="19"/>
  <c r="T38" i="19"/>
  <c r="T47" i="19"/>
  <c r="T67" i="19"/>
  <c r="U37" i="19"/>
  <c r="T39" i="19"/>
  <c r="T74" i="19"/>
  <c r="T62" i="19"/>
  <c r="T63" i="19" s="1"/>
  <c r="T54" i="19"/>
  <c r="T53" i="19"/>
  <c r="T66" i="19"/>
  <c r="T65" i="19"/>
  <c r="T89" i="19" s="1"/>
  <c r="R43" i="19"/>
  <c r="R45" i="19"/>
  <c r="R46" i="19" s="1"/>
  <c r="R106" i="19"/>
  <c r="R105" i="19"/>
  <c r="R107" i="19"/>
  <c r="S40" i="19"/>
  <c r="S19" i="19"/>
  <c r="S41" i="19"/>
  <c r="S42" i="19" s="1"/>
  <c r="R21" i="19"/>
  <c r="R29" i="19" s="1"/>
  <c r="R34" i="19"/>
  <c r="R28" i="19"/>
  <c r="R31" i="19"/>
  <c r="R24" i="19"/>
  <c r="R32" i="19"/>
  <c r="S55" i="19"/>
  <c r="S58" i="19"/>
  <c r="S59" i="19"/>
  <c r="S57" i="19"/>
  <c r="S60" i="19" s="1"/>
  <c r="S77" i="19" s="1"/>
  <c r="S56" i="19"/>
  <c r="S22" i="19" s="1"/>
  <c r="S69" i="19"/>
  <c r="S70" i="19"/>
  <c r="S90" i="19"/>
  <c r="S94" i="19"/>
  <c r="S98" i="19"/>
  <c r="S104" i="19"/>
  <c r="S93" i="19"/>
  <c r="S100" i="19"/>
  <c r="S96" i="19"/>
  <c r="S99" i="19"/>
  <c r="S92" i="19"/>
  <c r="S97" i="19"/>
  <c r="S91" i="19"/>
  <c r="S95" i="19"/>
  <c r="U30" i="1"/>
  <c r="T35" i="1"/>
  <c r="T39" i="1" s="1"/>
  <c r="G47" i="19"/>
  <c r="G57" i="19" s="1"/>
  <c r="G65" i="19" s="1"/>
  <c r="G347" i="1"/>
  <c r="H344" i="1" s="1"/>
  <c r="H345" i="1" s="1"/>
  <c r="H346" i="1" s="1"/>
  <c r="H348" i="1" s="1"/>
  <c r="G298" i="1"/>
  <c r="H295" i="1" s="1"/>
  <c r="H296" i="1" s="1"/>
  <c r="H297" i="1" s="1"/>
  <c r="H299" i="1" s="1"/>
  <c r="G124" i="1"/>
  <c r="H121" i="1" s="1"/>
  <c r="G125" i="1"/>
  <c r="F132" i="1"/>
  <c r="F133" i="1"/>
  <c r="F143" i="1"/>
  <c r="E16" i="7"/>
  <c r="R113" i="1"/>
  <c r="O69" i="1"/>
  <c r="N80" i="1"/>
  <c r="N83" i="1" s="1"/>
  <c r="N85" i="1" s="1"/>
  <c r="G247" i="1"/>
  <c r="G248" i="1" s="1"/>
  <c r="G250" i="1" s="1"/>
  <c r="L328" i="1"/>
  <c r="L103" i="1"/>
  <c r="R34" i="1"/>
  <c r="S29" i="1"/>
  <c r="R28" i="1"/>
  <c r="G302" i="1"/>
  <c r="G305" i="1" s="1"/>
  <c r="G301" i="1"/>
  <c r="G304" i="1" s="1"/>
  <c r="G306" i="1" s="1"/>
  <c r="H31" i="19"/>
  <c r="I40" i="19"/>
  <c r="I19" i="19"/>
  <c r="I41" i="19"/>
  <c r="I42" i="19" s="1"/>
  <c r="Q38" i="1"/>
  <c r="Q41" i="1" s="1"/>
  <c r="Q53" i="1" s="1"/>
  <c r="R79" i="1" s="1"/>
  <c r="I270" i="1"/>
  <c r="I319" i="1"/>
  <c r="I96" i="1"/>
  <c r="S45" i="1"/>
  <c r="R50" i="1"/>
  <c r="B34" i="8"/>
  <c r="C34" i="8" s="1"/>
  <c r="J328" i="1"/>
  <c r="J103" i="1"/>
  <c r="J279" i="1"/>
  <c r="J211" i="1"/>
  <c r="J206" i="1"/>
  <c r="J207" i="1" s="1"/>
  <c r="E208" i="1" s="1"/>
  <c r="E169" i="1" s="1"/>
  <c r="F20" i="1" s="1"/>
  <c r="U31" i="1"/>
  <c r="T36" i="1"/>
  <c r="T40" i="1" s="1"/>
  <c r="H43" i="19"/>
  <c r="H45" i="19"/>
  <c r="H46" i="19" s="1"/>
  <c r="T93" i="1"/>
  <c r="T108" i="1"/>
  <c r="U90" i="1"/>
  <c r="M316" i="1"/>
  <c r="M192" i="1"/>
  <c r="M211" i="1" s="1"/>
  <c r="M88" i="1"/>
  <c r="M87" i="1"/>
  <c r="M102" i="1"/>
  <c r="K103" i="1"/>
  <c r="K328" i="1"/>
  <c r="R91" i="1"/>
  <c r="R111" i="1" s="1"/>
  <c r="G350" i="1"/>
  <c r="G353" i="1" s="1"/>
  <c r="G355" i="1" s="1"/>
  <c r="G351" i="1"/>
  <c r="G354" i="1" s="1"/>
  <c r="U59" i="1"/>
  <c r="R62" i="1"/>
  <c r="R30" i="19" l="1"/>
  <c r="T95" i="19"/>
  <c r="T98" i="19"/>
  <c r="T96" i="19"/>
  <c r="T90" i="19"/>
  <c r="T93" i="19"/>
  <c r="T99" i="19"/>
  <c r="T92" i="19"/>
  <c r="T104" i="19"/>
  <c r="T97" i="19"/>
  <c r="T91" i="19"/>
  <c r="T100" i="19"/>
  <c r="T94" i="19"/>
  <c r="T69" i="19"/>
  <c r="T58" i="19"/>
  <c r="T55" i="19"/>
  <c r="T56" i="19"/>
  <c r="T22" i="19" s="1"/>
  <c r="T59" i="19"/>
  <c r="T57" i="19"/>
  <c r="T60" i="19" s="1"/>
  <c r="T77" i="19" s="1"/>
  <c r="T70" i="19"/>
  <c r="T40" i="19"/>
  <c r="T41" i="19"/>
  <c r="T42" i="19" s="1"/>
  <c r="T19" i="19"/>
  <c r="U66" i="19"/>
  <c r="U67" i="19"/>
  <c r="U54" i="19"/>
  <c r="U53" i="19"/>
  <c r="U38" i="19"/>
  <c r="U65" i="19"/>
  <c r="U89" i="19" s="1"/>
  <c r="U39" i="19"/>
  <c r="U64" i="19"/>
  <c r="U62" i="19"/>
  <c r="U63" i="19" s="1"/>
  <c r="U47" i="19"/>
  <c r="U74" i="19"/>
  <c r="T81" i="19"/>
  <c r="T84" i="19"/>
  <c r="T85" i="19"/>
  <c r="T76" i="19"/>
  <c r="T80" i="19"/>
  <c r="T78" i="19"/>
  <c r="T75" i="19"/>
  <c r="T79" i="19"/>
  <c r="T83" i="19"/>
  <c r="T82" i="19"/>
  <c r="S106" i="19"/>
  <c r="S105" i="19"/>
  <c r="S107" i="19"/>
  <c r="S45" i="19"/>
  <c r="S46" i="19" s="1"/>
  <c r="S43" i="19"/>
  <c r="S31" i="19"/>
  <c r="S24" i="19"/>
  <c r="S28" i="19"/>
  <c r="S21" i="19"/>
  <c r="S29" i="19" s="1"/>
  <c r="S34" i="19"/>
  <c r="S32" i="19"/>
  <c r="S91" i="1"/>
  <c r="S111" i="1" s="1"/>
  <c r="H47" i="19"/>
  <c r="H64" i="19" s="1"/>
  <c r="V30" i="1"/>
  <c r="U35" i="1"/>
  <c r="U39" i="1" s="1"/>
  <c r="G64" i="19"/>
  <c r="G66" i="19" s="1"/>
  <c r="H62" i="19" s="1"/>
  <c r="H63" i="19" s="1"/>
  <c r="G60" i="19"/>
  <c r="G54" i="19" s="1"/>
  <c r="G56" i="19"/>
  <c r="G59" i="19" s="1"/>
  <c r="G76" i="19"/>
  <c r="G89" i="19"/>
  <c r="G96" i="19" s="1"/>
  <c r="H347" i="1"/>
  <c r="I344" i="1" s="1"/>
  <c r="H298" i="1"/>
  <c r="I295" i="1" s="1"/>
  <c r="I296" i="1" s="1"/>
  <c r="G249" i="1"/>
  <c r="E17" i="7"/>
  <c r="E46" i="8" s="1"/>
  <c r="E45" i="8" s="1"/>
  <c r="H301" i="1"/>
  <c r="H304" i="1" s="1"/>
  <c r="H306" i="1" s="1"/>
  <c r="H302" i="1"/>
  <c r="H305" i="1" s="1"/>
  <c r="I45" i="19"/>
  <c r="I46" i="19" s="1"/>
  <c r="I43" i="19"/>
  <c r="P69" i="1"/>
  <c r="O80" i="1"/>
  <c r="O83" i="1" s="1"/>
  <c r="S113" i="1"/>
  <c r="U36" i="1"/>
  <c r="U40" i="1" s="1"/>
  <c r="V31" i="1"/>
  <c r="I31" i="19"/>
  <c r="G253" i="1"/>
  <c r="G256" i="1" s="1"/>
  <c r="G252" i="1"/>
  <c r="G255" i="1" s="1"/>
  <c r="G257" i="1" s="1"/>
  <c r="H246" i="1"/>
  <c r="H122" i="1"/>
  <c r="H123" i="1" s="1"/>
  <c r="H125" i="1" s="1"/>
  <c r="V90" i="1"/>
  <c r="U108" i="1"/>
  <c r="U93" i="1"/>
  <c r="T45" i="1"/>
  <c r="S50" i="1"/>
  <c r="N316" i="1"/>
  <c r="N102" i="1"/>
  <c r="N192" i="1"/>
  <c r="N211" i="1" s="1"/>
  <c r="M103" i="1"/>
  <c r="M328" i="1"/>
  <c r="H351" i="1"/>
  <c r="H354" i="1" s="1"/>
  <c r="H350" i="1"/>
  <c r="H353" i="1" s="1"/>
  <c r="H355" i="1" s="1"/>
  <c r="S34" i="1"/>
  <c r="T29" i="1"/>
  <c r="S28" i="1"/>
  <c r="G127" i="1"/>
  <c r="G130" i="1" s="1"/>
  <c r="G128" i="1"/>
  <c r="G131" i="1" s="1"/>
  <c r="I323" i="1"/>
  <c r="I274" i="1"/>
  <c r="I95" i="1"/>
  <c r="I141" i="1"/>
  <c r="R38" i="1"/>
  <c r="R41" i="1" s="1"/>
  <c r="R53" i="1" s="1"/>
  <c r="S79" i="1" s="1"/>
  <c r="S62" i="1"/>
  <c r="V59" i="1"/>
  <c r="T43" i="19" l="1"/>
  <c r="T45" i="19"/>
  <c r="T46" i="19" s="1"/>
  <c r="T107" i="19"/>
  <c r="T105" i="19"/>
  <c r="T106" i="19"/>
  <c r="U81" i="19"/>
  <c r="U76" i="19"/>
  <c r="U84" i="19"/>
  <c r="U83" i="19"/>
  <c r="U78" i="19"/>
  <c r="U75" i="19"/>
  <c r="U82" i="19"/>
  <c r="U85" i="19"/>
  <c r="U80" i="19"/>
  <c r="U79" i="19"/>
  <c r="U40" i="19"/>
  <c r="U41" i="19"/>
  <c r="U42" i="19" s="1"/>
  <c r="U19" i="19"/>
  <c r="S30" i="19"/>
  <c r="U99" i="19"/>
  <c r="U91" i="19"/>
  <c r="U90" i="19"/>
  <c r="U97" i="19"/>
  <c r="U93" i="19"/>
  <c r="U92" i="19"/>
  <c r="U104" i="19"/>
  <c r="U95" i="19"/>
  <c r="U98" i="19"/>
  <c r="U96" i="19"/>
  <c r="U94" i="19"/>
  <c r="U100" i="19"/>
  <c r="T24" i="19"/>
  <c r="T28" i="19"/>
  <c r="T34" i="19"/>
  <c r="T31" i="19"/>
  <c r="T21" i="19"/>
  <c r="T29" i="19" s="1"/>
  <c r="T32" i="19"/>
  <c r="U55" i="19"/>
  <c r="U56" i="19"/>
  <c r="U22" i="19" s="1"/>
  <c r="U70" i="19"/>
  <c r="U57" i="19"/>
  <c r="U60" i="19" s="1"/>
  <c r="U77" i="19" s="1"/>
  <c r="U69" i="19"/>
  <c r="U59" i="19"/>
  <c r="U58" i="19"/>
  <c r="G32" i="19"/>
  <c r="V35" i="1"/>
  <c r="V39" i="1" s="1"/>
  <c r="W30" i="1"/>
  <c r="G69" i="19"/>
  <c r="G70" i="19" s="1"/>
  <c r="G77" i="19"/>
  <c r="G67" i="19"/>
  <c r="G58" i="19"/>
  <c r="H53" i="19" s="1"/>
  <c r="H56" i="19" s="1"/>
  <c r="H22" i="19" s="1"/>
  <c r="G22" i="19"/>
  <c r="G91" i="19"/>
  <c r="G90" i="19"/>
  <c r="I47" i="19"/>
  <c r="I64" i="19" s="1"/>
  <c r="I345" i="1"/>
  <c r="H124" i="1"/>
  <c r="I121" i="1" s="1"/>
  <c r="I122" i="1" s="1"/>
  <c r="I322" i="1"/>
  <c r="I273" i="1"/>
  <c r="I97" i="1"/>
  <c r="F16" i="7"/>
  <c r="G143" i="1"/>
  <c r="G133" i="1"/>
  <c r="G132" i="1"/>
  <c r="N103" i="1"/>
  <c r="N328" i="1"/>
  <c r="V36" i="1"/>
  <c r="V40" i="1" s="1"/>
  <c r="W31" i="1"/>
  <c r="W90" i="1"/>
  <c r="V93" i="1"/>
  <c r="U91" i="1" s="1"/>
  <c r="U111" i="1" s="1"/>
  <c r="V108" i="1"/>
  <c r="O85" i="1"/>
  <c r="O102" i="1" s="1"/>
  <c r="T28" i="1"/>
  <c r="T34" i="1"/>
  <c r="U29" i="1"/>
  <c r="Q69" i="1"/>
  <c r="P80" i="1"/>
  <c r="P83" i="1" s="1"/>
  <c r="S38" i="1"/>
  <c r="S41" i="1" s="1"/>
  <c r="S53" i="1" s="1"/>
  <c r="T79" i="1" s="1"/>
  <c r="H247" i="1"/>
  <c r="H248" i="1" s="1"/>
  <c r="H250" i="1" s="1"/>
  <c r="U45" i="1"/>
  <c r="T50" i="1"/>
  <c r="T113" i="1"/>
  <c r="H127" i="1"/>
  <c r="H130" i="1" s="1"/>
  <c r="H128" i="1"/>
  <c r="H131" i="1" s="1"/>
  <c r="T91" i="1"/>
  <c r="T111" i="1" s="1"/>
  <c r="W59" i="1"/>
  <c r="T62" i="1"/>
  <c r="T30" i="19" l="1"/>
  <c r="U43" i="19"/>
  <c r="U45" i="19"/>
  <c r="U46" i="19" s="1"/>
  <c r="U24" i="19"/>
  <c r="U31" i="19"/>
  <c r="U32" i="19"/>
  <c r="U28" i="19"/>
  <c r="U34" i="19"/>
  <c r="U21" i="19"/>
  <c r="U29" i="19" s="1"/>
  <c r="U105" i="19"/>
  <c r="U106" i="19"/>
  <c r="U107" i="19"/>
  <c r="H26" i="1"/>
  <c r="I26" i="1" s="1"/>
  <c r="H32" i="19"/>
  <c r="X30" i="1"/>
  <c r="W35" i="1"/>
  <c r="W39" i="1" s="1"/>
  <c r="G78" i="19"/>
  <c r="G82" i="19" s="1"/>
  <c r="G92" i="19" s="1"/>
  <c r="H55" i="19"/>
  <c r="H57" i="19" s="1"/>
  <c r="H59" i="19" s="1"/>
  <c r="H249" i="1"/>
  <c r="F17" i="7"/>
  <c r="F46" i="8" s="1"/>
  <c r="F45" i="8" s="1"/>
  <c r="G134" i="1"/>
  <c r="U113" i="1"/>
  <c r="H252" i="1"/>
  <c r="H255" i="1" s="1"/>
  <c r="H257" i="1" s="1"/>
  <c r="H253" i="1"/>
  <c r="H256" i="1" s="1"/>
  <c r="D174" i="1" s="1"/>
  <c r="O316" i="1"/>
  <c r="O336" i="1" s="1"/>
  <c r="O192" i="1"/>
  <c r="T38" i="1"/>
  <c r="T41" i="1" s="1"/>
  <c r="T53" i="1" s="1"/>
  <c r="U79" i="1" s="1"/>
  <c r="I275" i="1"/>
  <c r="J92" i="1"/>
  <c r="J93" i="1" s="1"/>
  <c r="I324" i="1"/>
  <c r="P85" i="1"/>
  <c r="W93" i="1"/>
  <c r="W108" i="1"/>
  <c r="X90" i="1"/>
  <c r="H133" i="1"/>
  <c r="H134" i="1" s="1"/>
  <c r="H132" i="1"/>
  <c r="G16" i="7"/>
  <c r="G17" i="7" s="1"/>
  <c r="G46" i="8" s="1"/>
  <c r="G45" i="8" s="1"/>
  <c r="H143" i="1"/>
  <c r="V45" i="1"/>
  <c r="U50" i="1"/>
  <c r="R69" i="1"/>
  <c r="Q80" i="1"/>
  <c r="Q83" i="1" s="1"/>
  <c r="U28" i="1"/>
  <c r="U34" i="1"/>
  <c r="V29" i="1"/>
  <c r="X31" i="1"/>
  <c r="W36" i="1"/>
  <c r="W40" i="1" s="1"/>
  <c r="U62" i="1"/>
  <c r="X59" i="1"/>
  <c r="U30" i="19" l="1"/>
  <c r="J271" i="1"/>
  <c r="I91" i="1"/>
  <c r="I113" i="1"/>
  <c r="J320" i="1"/>
  <c r="H58" i="19"/>
  <c r="I53" i="19" s="1"/>
  <c r="I56" i="19" s="1"/>
  <c r="Y30" i="1"/>
  <c r="X35" i="1"/>
  <c r="X39" i="1" s="1"/>
  <c r="G80" i="19"/>
  <c r="G83" i="19"/>
  <c r="G84" i="19" s="1"/>
  <c r="G85" i="19" s="1"/>
  <c r="G93" i="19" s="1"/>
  <c r="G79" i="19"/>
  <c r="H74" i="19" s="1"/>
  <c r="H75" i="19" s="1"/>
  <c r="H65" i="19"/>
  <c r="H60" i="19"/>
  <c r="E260" i="1"/>
  <c r="D172" i="1" s="1"/>
  <c r="E23" i="1" s="1"/>
  <c r="E261" i="1"/>
  <c r="D173" i="1" s="1"/>
  <c r="E24" i="1" s="1"/>
  <c r="E259" i="1"/>
  <c r="D171" i="1" s="1"/>
  <c r="E22" i="1" s="1"/>
  <c r="Q85" i="1"/>
  <c r="O210" i="1"/>
  <c r="O211" i="1" s="1"/>
  <c r="E212" i="1" s="1"/>
  <c r="F169" i="1" s="1"/>
  <c r="G20" i="1" s="1"/>
  <c r="W45" i="1"/>
  <c r="V50" i="1"/>
  <c r="X93" i="1"/>
  <c r="Y90" i="1"/>
  <c r="X108" i="1"/>
  <c r="Y31" i="1"/>
  <c r="X36" i="1"/>
  <c r="X40" i="1" s="1"/>
  <c r="S69" i="1"/>
  <c r="R80" i="1"/>
  <c r="R83" i="1" s="1"/>
  <c r="V113" i="1"/>
  <c r="J319" i="1"/>
  <c r="J270" i="1"/>
  <c r="J96" i="1"/>
  <c r="V91" i="1"/>
  <c r="V111" i="1" s="1"/>
  <c r="U38" i="1"/>
  <c r="U41" i="1" s="1"/>
  <c r="U53" i="1" s="1"/>
  <c r="V79" i="1" s="1"/>
  <c r="P46" i="19"/>
  <c r="O103" i="1"/>
  <c r="P42" i="19"/>
  <c r="P43" i="19" s="1"/>
  <c r="P45" i="19"/>
  <c r="O328" i="1"/>
  <c r="V34" i="1"/>
  <c r="V28" i="1"/>
  <c r="W29" i="1"/>
  <c r="P102" i="1"/>
  <c r="P103" i="1" s="1"/>
  <c r="Y59" i="1"/>
  <c r="V62" i="1"/>
  <c r="H13" i="7" l="1"/>
  <c r="H14" i="7" s="1"/>
  <c r="I286" i="1"/>
  <c r="I289" i="1" s="1"/>
  <c r="I297" i="1" s="1"/>
  <c r="I335" i="1"/>
  <c r="I338" i="1" s="1"/>
  <c r="I346" i="1" s="1"/>
  <c r="W91" i="1"/>
  <c r="W111" i="1" s="1"/>
  <c r="I55" i="19"/>
  <c r="I57" i="19" s="1"/>
  <c r="I58" i="19" s="1"/>
  <c r="J53" i="19" s="1"/>
  <c r="G97" i="19"/>
  <c r="G94" i="19"/>
  <c r="H89" i="19" s="1"/>
  <c r="G95" i="19"/>
  <c r="H69" i="19"/>
  <c r="H70" i="19" s="1"/>
  <c r="I22" i="19"/>
  <c r="I32" i="19"/>
  <c r="Y35" i="1"/>
  <c r="Y39" i="1" s="1"/>
  <c r="Z30" i="1"/>
  <c r="H81" i="19"/>
  <c r="H76" i="19"/>
  <c r="H54" i="19"/>
  <c r="H77" i="19"/>
  <c r="H66" i="19"/>
  <c r="I62" i="19" s="1"/>
  <c r="I63" i="19" s="1"/>
  <c r="H67" i="19"/>
  <c r="T69" i="1"/>
  <c r="S80" i="1"/>
  <c r="S83" i="1" s="1"/>
  <c r="V38" i="1"/>
  <c r="V41" i="1" s="1"/>
  <c r="V53" i="1" s="1"/>
  <c r="W79" i="1" s="1"/>
  <c r="X45" i="1"/>
  <c r="W50" i="1"/>
  <c r="Z31" i="1"/>
  <c r="Y36" i="1"/>
  <c r="Y40" i="1" s="1"/>
  <c r="Y108" i="1"/>
  <c r="Z90" i="1"/>
  <c r="Y93" i="1"/>
  <c r="W28" i="1"/>
  <c r="W34" i="1"/>
  <c r="X29" i="1"/>
  <c r="J274" i="1"/>
  <c r="J323" i="1"/>
  <c r="J141" i="1"/>
  <c r="R85" i="1"/>
  <c r="W113" i="1"/>
  <c r="Q102" i="1"/>
  <c r="Q103" i="1" s="1"/>
  <c r="W62" i="1"/>
  <c r="Z59" i="1"/>
  <c r="I348" i="1" l="1"/>
  <c r="I347" i="1"/>
  <c r="J344" i="1" s="1"/>
  <c r="J345" i="1" s="1"/>
  <c r="I299" i="1"/>
  <c r="I298" i="1"/>
  <c r="J295" i="1" s="1"/>
  <c r="J296" i="1" s="1"/>
  <c r="X91" i="1"/>
  <c r="X111" i="1" s="1"/>
  <c r="I60" i="19"/>
  <c r="I77" i="19" s="1"/>
  <c r="H78" i="19"/>
  <c r="H79" i="19" s="1"/>
  <c r="I74" i="19" s="1"/>
  <c r="I75" i="19" s="1"/>
  <c r="I65" i="19"/>
  <c r="I67" i="19" s="1"/>
  <c r="J55" i="19"/>
  <c r="I59" i="19"/>
  <c r="H90" i="19"/>
  <c r="H91" i="19"/>
  <c r="H96" i="19"/>
  <c r="G98" i="19"/>
  <c r="G99" i="19" s="1"/>
  <c r="G100" i="19" s="1"/>
  <c r="G104" i="19" s="1"/>
  <c r="G21" i="19" s="1"/>
  <c r="AA30" i="1"/>
  <c r="Z35" i="1"/>
  <c r="Z39" i="1" s="1"/>
  <c r="S85" i="1"/>
  <c r="Y45" i="1"/>
  <c r="X50" i="1"/>
  <c r="U69" i="1"/>
  <c r="T80" i="1"/>
  <c r="T83" i="1" s="1"/>
  <c r="R102" i="1"/>
  <c r="R103" i="1" s="1"/>
  <c r="Z93" i="1"/>
  <c r="Z108" i="1"/>
  <c r="AA90" i="1"/>
  <c r="W38" i="1"/>
  <c r="W41" i="1" s="1"/>
  <c r="W53" i="1" s="1"/>
  <c r="X79" i="1" s="1"/>
  <c r="X28" i="1"/>
  <c r="X34" i="1"/>
  <c r="Y29" i="1"/>
  <c r="X113" i="1"/>
  <c r="Z36" i="1"/>
  <c r="Z40" i="1" s="1"/>
  <c r="AA31" i="1"/>
  <c r="X62" i="1"/>
  <c r="AA59" i="1"/>
  <c r="I54" i="19" l="1"/>
  <c r="H82" i="19"/>
  <c r="H83" i="19" s="1"/>
  <c r="H84" i="19" s="1"/>
  <c r="H85" i="19" s="1"/>
  <c r="I301" i="1"/>
  <c r="I304" i="1" s="1"/>
  <c r="I306" i="1" s="1"/>
  <c r="I302" i="1"/>
  <c r="I305" i="1" s="1"/>
  <c r="Y91" i="1"/>
  <c r="Y111" i="1" s="1"/>
  <c r="H80" i="19"/>
  <c r="I350" i="1"/>
  <c r="I353" i="1" s="1"/>
  <c r="I355" i="1" s="1"/>
  <c r="I351" i="1"/>
  <c r="I354" i="1" s="1"/>
  <c r="I66" i="19"/>
  <c r="J62" i="19" s="1"/>
  <c r="J63" i="19" s="1"/>
  <c r="I81" i="19"/>
  <c r="I69" i="19"/>
  <c r="I70" i="19" s="1"/>
  <c r="I78" i="19" s="1"/>
  <c r="I82" i="19" s="1"/>
  <c r="I76" i="19"/>
  <c r="G29" i="19"/>
  <c r="G24" i="19"/>
  <c r="G105" i="19"/>
  <c r="G28" i="19" s="1"/>
  <c r="G34" i="19" s="1"/>
  <c r="AB30" i="1"/>
  <c r="AA35" i="1"/>
  <c r="AA39" i="1" s="1"/>
  <c r="AB31" i="1"/>
  <c r="AA36" i="1"/>
  <c r="AA40" i="1" s="1"/>
  <c r="Y34" i="1"/>
  <c r="Z29" i="1"/>
  <c r="Y28" i="1"/>
  <c r="S102" i="1"/>
  <c r="S103" i="1" s="1"/>
  <c r="AA93" i="1"/>
  <c r="AA108" i="1"/>
  <c r="AB90" i="1"/>
  <c r="Z45" i="1"/>
  <c r="Y50" i="1"/>
  <c r="X38" i="1"/>
  <c r="X41" i="1" s="1"/>
  <c r="X53" i="1" s="1"/>
  <c r="Y79" i="1" s="1"/>
  <c r="T85" i="1"/>
  <c r="Y113" i="1"/>
  <c r="V69" i="1"/>
  <c r="U80" i="1"/>
  <c r="U83" i="1" s="1"/>
  <c r="AB59" i="1"/>
  <c r="Y62" i="1"/>
  <c r="H92" i="19" l="1"/>
  <c r="H93" i="19" s="1"/>
  <c r="H97" i="19" s="1"/>
  <c r="Z91" i="1"/>
  <c r="Z111" i="1" s="1"/>
  <c r="G106" i="19"/>
  <c r="G107" i="19" s="1"/>
  <c r="G30" i="19"/>
  <c r="AC30" i="1"/>
  <c r="AB35" i="1"/>
  <c r="AB39" i="1" s="1"/>
  <c r="I83" i="19"/>
  <c r="I84" i="19" s="1"/>
  <c r="I85" i="19" s="1"/>
  <c r="I79" i="19"/>
  <c r="J74" i="19" s="1"/>
  <c r="I80" i="19"/>
  <c r="W69" i="1"/>
  <c r="V80" i="1"/>
  <c r="V83" i="1" s="1"/>
  <c r="AB93" i="1"/>
  <c r="AA91" i="1" s="1"/>
  <c r="AA111" i="1" s="1"/>
  <c r="AC90" i="1"/>
  <c r="AB108" i="1"/>
  <c r="T102" i="1"/>
  <c r="T103" i="1" s="1"/>
  <c r="U85" i="1"/>
  <c r="AA45" i="1"/>
  <c r="Z50" i="1"/>
  <c r="Z113" i="1"/>
  <c r="Z34" i="1"/>
  <c r="Z28" i="1"/>
  <c r="AA29" i="1"/>
  <c r="AB36" i="1"/>
  <c r="AB40" i="1" s="1"/>
  <c r="AC31" i="1"/>
  <c r="Y38" i="1"/>
  <c r="Y41" i="1" s="1"/>
  <c r="Y53" i="1" s="1"/>
  <c r="Z79" i="1" s="1"/>
  <c r="Z62" i="1"/>
  <c r="AC59" i="1"/>
  <c r="H95" i="19" l="1"/>
  <c r="H98" i="19"/>
  <c r="H99" i="19" s="1"/>
  <c r="H100" i="19" s="1"/>
  <c r="H104" i="19" s="1"/>
  <c r="H21" i="19" s="1"/>
  <c r="H94" i="19"/>
  <c r="I89" i="19" s="1"/>
  <c r="AD30" i="1"/>
  <c r="AC35" i="1"/>
  <c r="AC39" i="1" s="1"/>
  <c r="J81" i="19"/>
  <c r="J75" i="19"/>
  <c r="AA28" i="1"/>
  <c r="AB29" i="1"/>
  <c r="AA34" i="1"/>
  <c r="AC108" i="1"/>
  <c r="AC93" i="1"/>
  <c r="AD90" i="1"/>
  <c r="U102" i="1"/>
  <c r="U103" i="1" s="1"/>
  <c r="AA113" i="1"/>
  <c r="AC36" i="1"/>
  <c r="AC40" i="1" s="1"/>
  <c r="AD31" i="1"/>
  <c r="Z38" i="1"/>
  <c r="Z41" i="1" s="1"/>
  <c r="Z53" i="1" s="1"/>
  <c r="AA79" i="1" s="1"/>
  <c r="V85" i="1"/>
  <c r="AB45" i="1"/>
  <c r="AA50" i="1"/>
  <c r="X69" i="1"/>
  <c r="W80" i="1"/>
  <c r="W83" i="1" s="1"/>
  <c r="AD59" i="1"/>
  <c r="AA62" i="1"/>
  <c r="H29" i="19" l="1"/>
  <c r="H24" i="19"/>
  <c r="H105" i="19"/>
  <c r="H28" i="19" s="1"/>
  <c r="H34" i="19" s="1"/>
  <c r="I90" i="19"/>
  <c r="I91" i="19"/>
  <c r="I96" i="19"/>
  <c r="I92" i="19"/>
  <c r="AD35" i="1"/>
  <c r="AD39" i="1" s="1"/>
  <c r="AE30" i="1"/>
  <c r="AC45" i="1"/>
  <c r="AB50" i="1"/>
  <c r="AD36" i="1"/>
  <c r="AD40" i="1" s="1"/>
  <c r="AE31" i="1"/>
  <c r="AB113" i="1"/>
  <c r="W85" i="1"/>
  <c r="AA38" i="1"/>
  <c r="AA41" i="1" s="1"/>
  <c r="AA53" i="1" s="1"/>
  <c r="AB79" i="1" s="1"/>
  <c r="Y69" i="1"/>
  <c r="X80" i="1"/>
  <c r="X83" i="1" s="1"/>
  <c r="V102" i="1"/>
  <c r="V103" i="1" s="1"/>
  <c r="AB28" i="1"/>
  <c r="AC29" i="1"/>
  <c r="AB34" i="1"/>
  <c r="AB91" i="1"/>
  <c r="AB111" i="1" s="1"/>
  <c r="AD108" i="1"/>
  <c r="AD93" i="1"/>
  <c r="AE90" i="1"/>
  <c r="AB62" i="1"/>
  <c r="AE59" i="1"/>
  <c r="H106" i="19" l="1"/>
  <c r="H107" i="19" s="1"/>
  <c r="I93" i="19"/>
  <c r="I97" i="19" s="1"/>
  <c r="I98" i="19" s="1"/>
  <c r="I99" i="19" s="1"/>
  <c r="I100" i="19" s="1"/>
  <c r="I104" i="19" s="1"/>
  <c r="I105" i="19" s="1"/>
  <c r="I28" i="19" s="1"/>
  <c r="H30" i="19"/>
  <c r="AE35" i="1"/>
  <c r="AE39" i="1" s="1"/>
  <c r="AF30" i="1"/>
  <c r="AB38" i="1"/>
  <c r="AB41" i="1" s="1"/>
  <c r="AB53" i="1" s="1"/>
  <c r="AC79" i="1" s="1"/>
  <c r="Z69" i="1"/>
  <c r="Y80" i="1"/>
  <c r="Y83" i="1" s="1"/>
  <c r="AC34" i="1"/>
  <c r="AC28" i="1"/>
  <c r="AD29" i="1"/>
  <c r="AF31" i="1"/>
  <c r="AE36" i="1"/>
  <c r="AE40" i="1" s="1"/>
  <c r="AE108" i="1"/>
  <c r="AF90" i="1"/>
  <c r="AE93" i="1"/>
  <c r="AC113" i="1"/>
  <c r="X85" i="1"/>
  <c r="W102" i="1"/>
  <c r="W103" i="1" s="1"/>
  <c r="AC91" i="1"/>
  <c r="AC111" i="1" s="1"/>
  <c r="AD45" i="1"/>
  <c r="AC50" i="1"/>
  <c r="AF59" i="1"/>
  <c r="AC62" i="1"/>
  <c r="I21" i="19" l="1"/>
  <c r="I29" i="19" s="1"/>
  <c r="I30" i="19" s="1"/>
  <c r="I94" i="19"/>
  <c r="I95" i="19"/>
  <c r="AG30" i="1"/>
  <c r="AF35" i="1"/>
  <c r="AF39" i="1" s="1"/>
  <c r="I106" i="19"/>
  <c r="I107" i="19" s="1"/>
  <c r="I34" i="19"/>
  <c r="AC38" i="1"/>
  <c r="AC41" i="1" s="1"/>
  <c r="AC53" i="1" s="1"/>
  <c r="AD79" i="1" s="1"/>
  <c r="Y85" i="1"/>
  <c r="X102" i="1"/>
  <c r="X103" i="1" s="1"/>
  <c r="AD113" i="1"/>
  <c r="AG31" i="1"/>
  <c r="AF36" i="1"/>
  <c r="AF40" i="1" s="1"/>
  <c r="AA69" i="1"/>
  <c r="Z80" i="1"/>
  <c r="Z83" i="1" s="1"/>
  <c r="AE45" i="1"/>
  <c r="AD50" i="1"/>
  <c r="AD91" i="1"/>
  <c r="AD111" i="1" s="1"/>
  <c r="AF93" i="1"/>
  <c r="AG90" i="1"/>
  <c r="AF108" i="1"/>
  <c r="AD28" i="1"/>
  <c r="AD34" i="1"/>
  <c r="AE29" i="1"/>
  <c r="AG59" i="1"/>
  <c r="AD62" i="1"/>
  <c r="I24" i="19" l="1"/>
  <c r="AH30" i="1"/>
  <c r="AG35" i="1"/>
  <c r="AG39" i="1" s="1"/>
  <c r="AE113" i="1"/>
  <c r="AB69" i="1"/>
  <c r="AA80" i="1"/>
  <c r="AA83" i="1" s="1"/>
  <c r="AE34" i="1"/>
  <c r="AE28" i="1"/>
  <c r="AF29" i="1"/>
  <c r="AF45" i="1"/>
  <c r="AE50" i="1"/>
  <c r="AD38" i="1"/>
  <c r="AD41" i="1" s="1"/>
  <c r="AD53" i="1" s="1"/>
  <c r="AE79" i="1" s="1"/>
  <c r="AH31" i="1"/>
  <c r="AI31" i="1" s="1"/>
  <c r="AG36" i="1"/>
  <c r="AG40" i="1" s="1"/>
  <c r="AG108" i="1"/>
  <c r="AH90" i="1"/>
  <c r="AI90" i="1" s="1"/>
  <c r="AG93" i="1"/>
  <c r="Z85" i="1"/>
  <c r="AE91" i="1"/>
  <c r="AE111" i="1" s="1"/>
  <c r="Y102" i="1"/>
  <c r="Y103" i="1" s="1"/>
  <c r="AE62" i="1"/>
  <c r="AH59" i="1"/>
  <c r="AI59" i="1" s="1"/>
  <c r="AI93" i="1" l="1"/>
  <c r="AJ90" i="1"/>
  <c r="AI108" i="1"/>
  <c r="AJ31" i="1"/>
  <c r="AJ36" i="1" s="1"/>
  <c r="AJ40" i="1" s="1"/>
  <c r="AI36" i="1"/>
  <c r="AI40" i="1" s="1"/>
  <c r="AI30" i="1"/>
  <c r="AH35" i="1"/>
  <c r="AH39" i="1" s="1"/>
  <c r="AJ59" i="1"/>
  <c r="AA85" i="1"/>
  <c r="AE38" i="1"/>
  <c r="AE41" i="1" s="1"/>
  <c r="AE53" i="1" s="1"/>
  <c r="AF79" i="1" s="1"/>
  <c r="Z102" i="1"/>
  <c r="Z103" i="1" s="1"/>
  <c r="AF34" i="1"/>
  <c r="AG29" i="1"/>
  <c r="AF28" i="1"/>
  <c r="AH108" i="1"/>
  <c r="AH93" i="1"/>
  <c r="AG45" i="1"/>
  <c r="AF50" i="1"/>
  <c r="AC69" i="1"/>
  <c r="AB80" i="1"/>
  <c r="AB83" i="1" s="1"/>
  <c r="AF113" i="1"/>
  <c r="AH36" i="1"/>
  <c r="AH40" i="1" s="1"/>
  <c r="AF91" i="1"/>
  <c r="AF111" i="1" s="1"/>
  <c r="AF62" i="1"/>
  <c r="AG91" i="1" l="1"/>
  <c r="AG111" i="1" s="1"/>
  <c r="AI91" i="1"/>
  <c r="AI111" i="1" s="1"/>
  <c r="AI35" i="1"/>
  <c r="AI39" i="1" s="1"/>
  <c r="AJ30" i="1"/>
  <c r="AJ35" i="1" s="1"/>
  <c r="AJ39" i="1" s="1"/>
  <c r="AJ93" i="1"/>
  <c r="AH113" i="1" s="1"/>
  <c r="AJ108" i="1"/>
  <c r="AH45" i="1"/>
  <c r="AI45" i="1" s="1"/>
  <c r="AG50" i="1"/>
  <c r="AG34" i="1"/>
  <c r="AH29" i="1"/>
  <c r="AI29" i="1" s="1"/>
  <c r="AG28" i="1"/>
  <c r="AB85" i="1"/>
  <c r="AD69" i="1"/>
  <c r="AC80" i="1"/>
  <c r="AC83" i="1" s="1"/>
  <c r="AG113" i="1"/>
  <c r="AF38" i="1"/>
  <c r="AF41" i="1" s="1"/>
  <c r="AF53" i="1" s="1"/>
  <c r="AG79" i="1" s="1"/>
  <c r="AA102" i="1"/>
  <c r="AA103" i="1" s="1"/>
  <c r="AG62" i="1"/>
  <c r="AJ91" i="1" l="1"/>
  <c r="AJ111" i="1" s="1"/>
  <c r="AH91" i="1"/>
  <c r="AH111" i="1" s="1"/>
  <c r="AJ29" i="1"/>
  <c r="AI28" i="1"/>
  <c r="AI34" i="1"/>
  <c r="AJ45" i="1"/>
  <c r="AJ50" i="1" s="1"/>
  <c r="AI50" i="1"/>
  <c r="AB102" i="1"/>
  <c r="AB103" i="1" s="1"/>
  <c r="AH28" i="1"/>
  <c r="AH34" i="1"/>
  <c r="AC85" i="1"/>
  <c r="AE69" i="1"/>
  <c r="AD80" i="1"/>
  <c r="AD83" i="1" s="1"/>
  <c r="AG38" i="1"/>
  <c r="AG41" i="1" s="1"/>
  <c r="AG53" i="1" s="1"/>
  <c r="AH79" i="1" s="1"/>
  <c r="AH50" i="1"/>
  <c r="AH62" i="1"/>
  <c r="AI62" i="1" s="1"/>
  <c r="AI38" i="1" l="1"/>
  <c r="AI41" i="1" s="1"/>
  <c r="AI53" i="1" s="1"/>
  <c r="AJ79" i="1" s="1"/>
  <c r="AJ28" i="1"/>
  <c r="AJ34" i="1"/>
  <c r="AJ38" i="1" s="1"/>
  <c r="AJ41" i="1" s="1"/>
  <c r="AJ62" i="1"/>
  <c r="AH38" i="1"/>
  <c r="AH41" i="1" s="1"/>
  <c r="AH53" i="1" s="1"/>
  <c r="AI79" i="1" s="1"/>
  <c r="AF69" i="1"/>
  <c r="AE80" i="1"/>
  <c r="AE83" i="1" s="1"/>
  <c r="AC102" i="1"/>
  <c r="AC103" i="1" s="1"/>
  <c r="AD85" i="1"/>
  <c r="AJ53" i="1" l="1"/>
  <c r="AE85" i="1"/>
  <c r="AG69" i="1"/>
  <c r="AF80" i="1"/>
  <c r="AF83" i="1" s="1"/>
  <c r="AD102" i="1"/>
  <c r="AD103" i="1" s="1"/>
  <c r="AH69" i="1" l="1"/>
  <c r="AI69" i="1" s="1"/>
  <c r="AG80" i="1"/>
  <c r="AG83" i="1" s="1"/>
  <c r="AE102" i="1"/>
  <c r="AE103" i="1" s="1"/>
  <c r="AF85" i="1"/>
  <c r="AJ69" i="1" l="1"/>
  <c r="AJ80" i="1" s="1"/>
  <c r="AJ83" i="1" s="1"/>
  <c r="AI80" i="1"/>
  <c r="AI83" i="1" s="1"/>
  <c r="AG85" i="1"/>
  <c r="AH80" i="1"/>
  <c r="AH83" i="1" s="1"/>
  <c r="AF102" i="1"/>
  <c r="AF103" i="1" s="1"/>
  <c r="AI85" i="1" l="1"/>
  <c r="AJ85" i="1"/>
  <c r="AG102" i="1"/>
  <c r="AG103" i="1" s="1"/>
  <c r="AH85" i="1"/>
  <c r="AI102" i="1" l="1"/>
  <c r="AI103" i="1" s="1"/>
  <c r="AJ102" i="1"/>
  <c r="AJ112" i="1" s="1"/>
  <c r="AH102" i="1"/>
  <c r="AH103" i="1" s="1"/>
  <c r="AJ103" i="1" l="1"/>
  <c r="E66" i="22" l="1"/>
  <c r="E50" i="22" l="1"/>
  <c r="E53" i="22"/>
  <c r="E51" i="22"/>
  <c r="E52" i="22"/>
  <c r="E49" i="22" l="1"/>
  <c r="E70" i="22" s="1"/>
  <c r="D70" i="22"/>
  <c r="D71" i="22" l="1"/>
  <c r="D73" i="22"/>
  <c r="E71" i="22"/>
  <c r="E73" i="22"/>
  <c r="J94" i="1" l="1"/>
  <c r="J95" i="1" l="1"/>
  <c r="J321" i="1"/>
  <c r="J99" i="1"/>
  <c r="J104" i="1"/>
  <c r="I9" i="7"/>
  <c r="I11" i="7" s="1"/>
  <c r="J272" i="1"/>
  <c r="J98" i="1"/>
  <c r="J330" i="1" l="1"/>
  <c r="J281" i="1"/>
  <c r="J97" i="1"/>
  <c r="J273" i="1"/>
  <c r="J322" i="1"/>
  <c r="J275" i="1" l="1"/>
  <c r="J288" i="1" s="1"/>
  <c r="J289" i="1" s="1"/>
  <c r="J324" i="1"/>
  <c r="K92" i="1"/>
  <c r="K93" i="1" s="1"/>
  <c r="J113" i="1" l="1"/>
  <c r="J91" i="1"/>
  <c r="K320" i="1"/>
  <c r="K91" i="1"/>
  <c r="K96" i="1"/>
  <c r="K319" i="1"/>
  <c r="E291" i="1"/>
  <c r="E170" i="1" s="1"/>
  <c r="F21" i="1" s="1"/>
  <c r="J297" i="1"/>
  <c r="K111" i="1" l="1"/>
  <c r="L94" i="1"/>
  <c r="K94" i="1"/>
  <c r="K95" i="1" s="1"/>
  <c r="E51" i="8"/>
  <c r="I111" i="1"/>
  <c r="I115" i="1" s="1"/>
  <c r="J111" i="1"/>
  <c r="J115" i="1" s="1"/>
  <c r="I13" i="7"/>
  <c r="I14" i="7" s="1"/>
  <c r="J335" i="1"/>
  <c r="J338" i="1" s="1"/>
  <c r="J299" i="1"/>
  <c r="J298" i="1"/>
  <c r="K323" i="1"/>
  <c r="K141" i="1"/>
  <c r="J346" i="1" l="1"/>
  <c r="J347" i="1" s="1"/>
  <c r="K344" i="1" s="1"/>
  <c r="K98" i="1"/>
  <c r="K104" i="1"/>
  <c r="J9" i="7"/>
  <c r="J11" i="7" s="1"/>
  <c r="J14" i="7" s="1"/>
  <c r="K321" i="1"/>
  <c r="K99" i="1"/>
  <c r="L104" i="1"/>
  <c r="L321" i="1"/>
  <c r="L98" i="1"/>
  <c r="L99" i="1"/>
  <c r="J116" i="1"/>
  <c r="K39" i="19"/>
  <c r="I123" i="1"/>
  <c r="I124" i="1" s="1"/>
  <c r="J121" i="1" s="1"/>
  <c r="I116" i="1"/>
  <c r="J39" i="19"/>
  <c r="K97" i="1"/>
  <c r="K322" i="1"/>
  <c r="J301" i="1"/>
  <c r="J304" i="1" s="1"/>
  <c r="J306" i="1" s="1"/>
  <c r="J302" i="1"/>
  <c r="J305" i="1" s="1"/>
  <c r="E311" i="1" s="1"/>
  <c r="E174" i="1" s="1"/>
  <c r="I117" i="1" l="1"/>
  <c r="J117" i="1"/>
  <c r="L330" i="1"/>
  <c r="K115" i="1"/>
  <c r="K330" i="1"/>
  <c r="K338" i="1" s="1"/>
  <c r="J122" i="1"/>
  <c r="J123" i="1" s="1"/>
  <c r="J125" i="1" s="1"/>
  <c r="I125" i="1"/>
  <c r="J348" i="1"/>
  <c r="J19" i="19"/>
  <c r="K19" i="19" s="1"/>
  <c r="J40" i="19"/>
  <c r="J41" i="19"/>
  <c r="J42" i="19" s="1"/>
  <c r="K40" i="19"/>
  <c r="K41" i="19"/>
  <c r="K42" i="19" s="1"/>
  <c r="K345" i="1"/>
  <c r="E308" i="1"/>
  <c r="E171" i="1" s="1"/>
  <c r="F22" i="1" s="1"/>
  <c r="E310" i="1"/>
  <c r="E173" i="1" s="1"/>
  <c r="F24" i="1" s="1"/>
  <c r="E309" i="1"/>
  <c r="E172" i="1" s="1"/>
  <c r="F23" i="1" s="1"/>
  <c r="L92" i="1"/>
  <c r="K324" i="1"/>
  <c r="K346" i="1" l="1"/>
  <c r="K347" i="1" s="1"/>
  <c r="L344" i="1" s="1"/>
  <c r="L345" i="1" s="1"/>
  <c r="J124" i="1"/>
  <c r="K121" i="1" s="1"/>
  <c r="K122" i="1" s="1"/>
  <c r="K123" i="1" s="1"/>
  <c r="K125" i="1" s="1"/>
  <c r="J45" i="19"/>
  <c r="J46" i="19" s="1"/>
  <c r="J43" i="19"/>
  <c r="L39" i="19"/>
  <c r="K116" i="1"/>
  <c r="K31" i="19"/>
  <c r="J128" i="1"/>
  <c r="J131" i="1" s="1"/>
  <c r="J127" i="1"/>
  <c r="J130" i="1" s="1"/>
  <c r="K45" i="19"/>
  <c r="K46" i="19" s="1"/>
  <c r="K43" i="19"/>
  <c r="J31" i="19"/>
  <c r="I127" i="1"/>
  <c r="I130" i="1" s="1"/>
  <c r="I128" i="1"/>
  <c r="I131" i="1" s="1"/>
  <c r="J350" i="1"/>
  <c r="J353" i="1" s="1"/>
  <c r="J355" i="1" s="1"/>
  <c r="J351" i="1"/>
  <c r="J354" i="1" s="1"/>
  <c r="L96" i="1"/>
  <c r="L319" i="1"/>
  <c r="D137" i="1" l="1"/>
  <c r="K348" i="1"/>
  <c r="K351" i="1" s="1"/>
  <c r="K354" i="1" s="1"/>
  <c r="K127" i="1"/>
  <c r="K130" i="1" s="1"/>
  <c r="K128" i="1"/>
  <c r="K131" i="1" s="1"/>
  <c r="K47" i="19"/>
  <c r="K124" i="1"/>
  <c r="L121" i="1" s="1"/>
  <c r="I143" i="1"/>
  <c r="I133" i="1"/>
  <c r="H16" i="7"/>
  <c r="I132" i="1"/>
  <c r="B22" i="7"/>
  <c r="D136" i="1"/>
  <c r="F34" i="8" s="1"/>
  <c r="L40" i="19"/>
  <c r="L41" i="19"/>
  <c r="L42" i="19" s="1"/>
  <c r="L19" i="19"/>
  <c r="J47" i="19"/>
  <c r="J132" i="1"/>
  <c r="I16" i="7"/>
  <c r="I17" i="7" s="1"/>
  <c r="I46" i="8" s="1"/>
  <c r="I45" i="8" s="1"/>
  <c r="J133" i="1"/>
  <c r="J143" i="1"/>
  <c r="K117" i="1"/>
  <c r="L95" i="1"/>
  <c r="L323" i="1"/>
  <c r="L141" i="1"/>
  <c r="K350" i="1" l="1"/>
  <c r="K353" i="1" s="1"/>
  <c r="K355" i="1" s="1"/>
  <c r="J64" i="19"/>
  <c r="J56" i="19"/>
  <c r="J32" i="19" s="1"/>
  <c r="J57" i="19"/>
  <c r="J76" i="19"/>
  <c r="L43" i="19"/>
  <c r="L45" i="19"/>
  <c r="L46" i="19" s="1"/>
  <c r="L122" i="1"/>
  <c r="H17" i="7"/>
  <c r="H46" i="8" s="1"/>
  <c r="H45" i="8" s="1"/>
  <c r="E50" i="8" s="1"/>
  <c r="E52" i="8" s="1"/>
  <c r="E53" i="8" s="1"/>
  <c r="B23" i="7"/>
  <c r="K64" i="19"/>
  <c r="I134" i="1"/>
  <c r="J134" i="1"/>
  <c r="C24" i="1" s="1"/>
  <c r="L31" i="19"/>
  <c r="K132" i="1"/>
  <c r="J16" i="7"/>
  <c r="J17" i="7" s="1"/>
  <c r="K143" i="1"/>
  <c r="K133" i="1"/>
  <c r="K134" i="1" s="1"/>
  <c r="L97" i="1"/>
  <c r="L322" i="1"/>
  <c r="L47" i="19" l="1"/>
  <c r="L64" i="19" s="1"/>
  <c r="J58" i="19"/>
  <c r="K53" i="19" s="1"/>
  <c r="J59" i="19"/>
  <c r="J22" i="19"/>
  <c r="J60" i="19"/>
  <c r="J65" i="19"/>
  <c r="L324" i="1"/>
  <c r="M92" i="1"/>
  <c r="M93" i="1" s="1"/>
  <c r="L91" i="1" l="1"/>
  <c r="M320" i="1"/>
  <c r="L113" i="1"/>
  <c r="L335" i="1" s="1"/>
  <c r="L338" i="1" s="1"/>
  <c r="M91" i="1"/>
  <c r="J89" i="19"/>
  <c r="J69" i="19"/>
  <c r="J70" i="19" s="1"/>
  <c r="J67" i="19"/>
  <c r="J66" i="19"/>
  <c r="K62" i="19" s="1"/>
  <c r="K63" i="19" s="1"/>
  <c r="J54" i="19"/>
  <c r="J77" i="19"/>
  <c r="K55" i="19"/>
  <c r="K57" i="19" s="1"/>
  <c r="K56" i="19"/>
  <c r="M319" i="1"/>
  <c r="M96" i="1"/>
  <c r="M111" i="1" l="1"/>
  <c r="N94" i="1"/>
  <c r="M94" i="1"/>
  <c r="M95" i="1" s="1"/>
  <c r="O94" i="1"/>
  <c r="L346" i="1"/>
  <c r="L347" i="1" s="1"/>
  <c r="M344" i="1" s="1"/>
  <c r="L111" i="1"/>
  <c r="L115" i="1" s="1"/>
  <c r="K59" i="19"/>
  <c r="K58" i="19"/>
  <c r="L53" i="19" s="1"/>
  <c r="J78" i="19"/>
  <c r="J82" i="19" s="1"/>
  <c r="J92" i="19" s="1"/>
  <c r="K65" i="19"/>
  <c r="K60" i="19"/>
  <c r="K22" i="19"/>
  <c r="K32" i="19"/>
  <c r="J91" i="19"/>
  <c r="J90" i="19"/>
  <c r="J96" i="19"/>
  <c r="M141" i="1"/>
  <c r="M323" i="1"/>
  <c r="L116" i="1" l="1"/>
  <c r="M39" i="19"/>
  <c r="L123" i="1"/>
  <c r="L124" i="1" s="1"/>
  <c r="M121" i="1" s="1"/>
  <c r="M345" i="1"/>
  <c r="L348" i="1"/>
  <c r="O321" i="1"/>
  <c r="O98" i="1"/>
  <c r="O104" i="1"/>
  <c r="O330" i="1" s="1"/>
  <c r="O99" i="1"/>
  <c r="M104" i="1"/>
  <c r="M321" i="1"/>
  <c r="M99" i="1"/>
  <c r="M98" i="1"/>
  <c r="N321" i="1"/>
  <c r="N98" i="1"/>
  <c r="N104" i="1"/>
  <c r="N99" i="1"/>
  <c r="J79" i="19"/>
  <c r="K74" i="19" s="1"/>
  <c r="K75" i="19" s="1"/>
  <c r="K54" i="19"/>
  <c r="K77" i="19"/>
  <c r="J83" i="19"/>
  <c r="J84" i="19" s="1"/>
  <c r="J85" i="19" s="1"/>
  <c r="J93" i="19" s="1"/>
  <c r="L55" i="19"/>
  <c r="L57" i="19" s="1"/>
  <c r="L56" i="19"/>
  <c r="K66" i="19"/>
  <c r="L62" i="19" s="1"/>
  <c r="K67" i="19"/>
  <c r="K69" i="19"/>
  <c r="K70" i="19" s="1"/>
  <c r="J80" i="19"/>
  <c r="M322" i="1"/>
  <c r="M97" i="1"/>
  <c r="L350" i="1" l="1"/>
  <c r="L353" i="1" s="1"/>
  <c r="L355" i="1" s="1"/>
  <c r="L351" i="1"/>
  <c r="L354" i="1" s="1"/>
  <c r="M330" i="1"/>
  <c r="M338" i="1" s="1"/>
  <c r="M346" i="1" s="1"/>
  <c r="M348" i="1" s="1"/>
  <c r="M115" i="1"/>
  <c r="L125" i="1"/>
  <c r="M122" i="1"/>
  <c r="M41" i="19"/>
  <c r="M42" i="19" s="1"/>
  <c r="M40" i="19"/>
  <c r="M19" i="19"/>
  <c r="N115" i="1"/>
  <c r="N330" i="1"/>
  <c r="N338" i="1" s="1"/>
  <c r="L117" i="1"/>
  <c r="L59" i="19"/>
  <c r="K81" i="19"/>
  <c r="K76" i="19"/>
  <c r="K78" i="19"/>
  <c r="L63" i="19"/>
  <c r="L32" i="19"/>
  <c r="L22" i="19"/>
  <c r="J97" i="19"/>
  <c r="J95" i="19"/>
  <c r="L58" i="19"/>
  <c r="M53" i="19" s="1"/>
  <c r="J94" i="19"/>
  <c r="K89" i="19" s="1"/>
  <c r="L65" i="19"/>
  <c r="L60" i="19"/>
  <c r="N92" i="1"/>
  <c r="M324" i="1"/>
  <c r="M123" i="1" l="1"/>
  <c r="M124" i="1" s="1"/>
  <c r="N121" i="1" s="1"/>
  <c r="N122" i="1" s="1"/>
  <c r="N123" i="1" s="1"/>
  <c r="N125" i="1" s="1"/>
  <c r="N127" i="1" s="1"/>
  <c r="N130" i="1" s="1"/>
  <c r="N133" i="1" s="1"/>
  <c r="M31" i="19"/>
  <c r="L128" i="1"/>
  <c r="L131" i="1" s="1"/>
  <c r="L127" i="1"/>
  <c r="L130" i="1" s="1"/>
  <c r="O39" i="19"/>
  <c r="N116" i="1"/>
  <c r="N39" i="19"/>
  <c r="M116" i="1"/>
  <c r="M351" i="1"/>
  <c r="M354" i="1" s="1"/>
  <c r="M350" i="1"/>
  <c r="M353" i="1" s="1"/>
  <c r="M355" i="1" s="1"/>
  <c r="M43" i="19"/>
  <c r="M45" i="19"/>
  <c r="M46" i="19" s="1"/>
  <c r="M347" i="1"/>
  <c r="N344" i="1" s="1"/>
  <c r="K80" i="19"/>
  <c r="K79" i="19"/>
  <c r="L74" i="19" s="1"/>
  <c r="L76" i="19" s="1"/>
  <c r="K82" i="19"/>
  <c r="K83" i="19" s="1"/>
  <c r="K84" i="19" s="1"/>
  <c r="K85" i="19" s="1"/>
  <c r="L66" i="19"/>
  <c r="M62" i="19" s="1"/>
  <c r="M63" i="19" s="1"/>
  <c r="J98" i="19"/>
  <c r="J99" i="19" s="1"/>
  <c r="J100" i="19" s="1"/>
  <c r="J104" i="19" s="1"/>
  <c r="J21" i="19" s="1"/>
  <c r="K90" i="19"/>
  <c r="K91" i="19"/>
  <c r="K96" i="19"/>
  <c r="L67" i="19"/>
  <c r="L69" i="19"/>
  <c r="L70" i="19" s="1"/>
  <c r="M55" i="19"/>
  <c r="L77" i="19"/>
  <c r="L54" i="19"/>
  <c r="N96" i="1"/>
  <c r="N319" i="1"/>
  <c r="M125" i="1" l="1"/>
  <c r="M127" i="1" s="1"/>
  <c r="M130" i="1" s="1"/>
  <c r="N143" i="1"/>
  <c r="N128" i="1"/>
  <c r="N131" i="1" s="1"/>
  <c r="N132" i="1" s="1"/>
  <c r="N124" i="1"/>
  <c r="O121" i="1" s="1"/>
  <c r="O122" i="1" s="1"/>
  <c r="M117" i="1"/>
  <c r="N117" i="1"/>
  <c r="N345" i="1"/>
  <c r="N346" i="1" s="1"/>
  <c r="N348" i="1" s="1"/>
  <c r="N41" i="19"/>
  <c r="N42" i="19" s="1"/>
  <c r="N40" i="19"/>
  <c r="N19" i="19"/>
  <c r="O19" i="19" s="1"/>
  <c r="M47" i="19"/>
  <c r="M57" i="19" s="1"/>
  <c r="M60" i="19" s="1"/>
  <c r="O41" i="19"/>
  <c r="O42" i="19" s="1"/>
  <c r="O40" i="19"/>
  <c r="L132" i="1"/>
  <c r="L133" i="1"/>
  <c r="L134" i="1" s="1"/>
  <c r="L143" i="1"/>
  <c r="K92" i="19"/>
  <c r="K93" i="19" s="1"/>
  <c r="L75" i="19"/>
  <c r="L78" i="19" s="1"/>
  <c r="L82" i="19" s="1"/>
  <c r="L81" i="19"/>
  <c r="J29" i="19"/>
  <c r="J24" i="19"/>
  <c r="J105" i="19"/>
  <c r="J28" i="19" s="1"/>
  <c r="J34" i="19" s="1"/>
  <c r="N323" i="1"/>
  <c r="N95" i="1"/>
  <c r="N141" i="1"/>
  <c r="M128" i="1" l="1"/>
  <c r="M131" i="1" s="1"/>
  <c r="M132" i="1" s="1"/>
  <c r="M65" i="19"/>
  <c r="M69" i="19" s="1"/>
  <c r="M70" i="19" s="1"/>
  <c r="O31" i="19"/>
  <c r="N43" i="19"/>
  <c r="N45" i="19"/>
  <c r="N46" i="19" s="1"/>
  <c r="N347" i="1"/>
  <c r="O344" i="1" s="1"/>
  <c r="O345" i="1" s="1"/>
  <c r="N350" i="1"/>
  <c r="N353" i="1" s="1"/>
  <c r="N355" i="1" s="1"/>
  <c r="N351" i="1"/>
  <c r="N354" i="1" s="1"/>
  <c r="N31" i="19"/>
  <c r="M143" i="1"/>
  <c r="M133" i="1"/>
  <c r="M134" i="1" s="1"/>
  <c r="O43" i="19"/>
  <c r="O45" i="19"/>
  <c r="O46" i="19" s="1"/>
  <c r="M64" i="19"/>
  <c r="M56" i="19"/>
  <c r="K95" i="19"/>
  <c r="K97" i="19"/>
  <c r="K98" i="19" s="1"/>
  <c r="K94" i="19"/>
  <c r="L89" i="19" s="1"/>
  <c r="L91" i="19" s="1"/>
  <c r="J106" i="19"/>
  <c r="J107" i="19" s="1"/>
  <c r="L79" i="19"/>
  <c r="M74" i="19" s="1"/>
  <c r="L80" i="19"/>
  <c r="M54" i="19"/>
  <c r="M77" i="19"/>
  <c r="J30" i="19"/>
  <c r="L83" i="19"/>
  <c r="N322" i="1"/>
  <c r="N97" i="1"/>
  <c r="M66" i="19" l="1"/>
  <c r="N62" i="19" s="1"/>
  <c r="N63" i="19" s="1"/>
  <c r="M67" i="19"/>
  <c r="O47" i="19"/>
  <c r="O64" i="19" s="1"/>
  <c r="N47" i="19"/>
  <c r="N64" i="19" s="1"/>
  <c r="M58" i="19"/>
  <c r="N53" i="19" s="1"/>
  <c r="M22" i="19"/>
  <c r="M32" i="19"/>
  <c r="M59" i="19"/>
  <c r="N134" i="1"/>
  <c r="L92" i="19"/>
  <c r="L96" i="19"/>
  <c r="L90" i="19"/>
  <c r="K99" i="19"/>
  <c r="K100" i="19" s="1"/>
  <c r="K104" i="19" s="1"/>
  <c r="M76" i="19"/>
  <c r="M81" i="19"/>
  <c r="M75" i="19"/>
  <c r="M78" i="19" s="1"/>
  <c r="M82" i="19" s="1"/>
  <c r="M83" i="19" s="1"/>
  <c r="M84" i="19" s="1"/>
  <c r="M85" i="19" s="1"/>
  <c r="L84" i="19"/>
  <c r="L85" i="19" s="1"/>
  <c r="O92" i="1"/>
  <c r="N324" i="1"/>
  <c r="N55" i="19" l="1"/>
  <c r="N56" i="19"/>
  <c r="L93" i="19"/>
  <c r="L95" i="19" s="1"/>
  <c r="M80" i="19"/>
  <c r="K105" i="19"/>
  <c r="K21" i="19"/>
  <c r="M79" i="19"/>
  <c r="N74" i="19" s="1"/>
  <c r="O319" i="1"/>
  <c r="O96" i="1"/>
  <c r="N22" i="19" l="1"/>
  <c r="N32" i="19"/>
  <c r="N57" i="19"/>
  <c r="N58" i="19" s="1"/>
  <c r="O53" i="19" s="1"/>
  <c r="L94" i="19"/>
  <c r="M89" i="19" s="1"/>
  <c r="M96" i="19" s="1"/>
  <c r="L97" i="19"/>
  <c r="L98" i="19" s="1"/>
  <c r="K29" i="19"/>
  <c r="K24" i="19"/>
  <c r="N75" i="19"/>
  <c r="N76" i="19"/>
  <c r="N81" i="19"/>
  <c r="K106" i="19"/>
  <c r="K107" i="19" s="1"/>
  <c r="K28" i="19"/>
  <c r="O323" i="1"/>
  <c r="O95" i="1"/>
  <c r="O141" i="1"/>
  <c r="O56" i="19" l="1"/>
  <c r="O55" i="19"/>
  <c r="N65" i="19"/>
  <c r="N60" i="19"/>
  <c r="N59" i="19"/>
  <c r="M92" i="19"/>
  <c r="M90" i="19"/>
  <c r="M91" i="19"/>
  <c r="K30" i="19"/>
  <c r="K34" i="19"/>
  <c r="L99" i="19"/>
  <c r="L100" i="19" s="1"/>
  <c r="L104" i="19" s="1"/>
  <c r="O322" i="1"/>
  <c r="O97" i="1"/>
  <c r="N77" i="19" l="1"/>
  <c r="N54" i="19"/>
  <c r="N69" i="19"/>
  <c r="N70" i="19" s="1"/>
  <c r="N67" i="19"/>
  <c r="N66" i="19"/>
  <c r="O62" i="19" s="1"/>
  <c r="O57" i="19"/>
  <c r="O58" i="19" s="1"/>
  <c r="P53" i="19" s="1"/>
  <c r="P55" i="19" s="1"/>
  <c r="O32" i="19"/>
  <c r="O22" i="19"/>
  <c r="M93" i="19"/>
  <c r="M97" i="19" s="1"/>
  <c r="M98" i="19" s="1"/>
  <c r="M99" i="19" s="1"/>
  <c r="M100" i="19" s="1"/>
  <c r="M104" i="19" s="1"/>
  <c r="M105" i="19" s="1"/>
  <c r="M28" i="19" s="1"/>
  <c r="M34" i="19" s="1"/>
  <c r="L105" i="19"/>
  <c r="L21" i="19"/>
  <c r="P92" i="1"/>
  <c r="O324" i="1"/>
  <c r="O337" i="1" s="1"/>
  <c r="O65" i="19" l="1"/>
  <c r="O60" i="19"/>
  <c r="O63" i="19"/>
  <c r="O59" i="19"/>
  <c r="N78" i="19"/>
  <c r="N82" i="19" s="1"/>
  <c r="N83" i="19" s="1"/>
  <c r="N84" i="19" s="1"/>
  <c r="N85" i="19" s="1"/>
  <c r="M95" i="19"/>
  <c r="M106" i="19"/>
  <c r="M107" i="19" s="1"/>
  <c r="M21" i="19"/>
  <c r="M29" i="19" s="1"/>
  <c r="M30" i="19" s="1"/>
  <c r="M94" i="19"/>
  <c r="N89" i="19" s="1"/>
  <c r="N91" i="19" s="1"/>
  <c r="P93" i="1"/>
  <c r="L24" i="19"/>
  <c r="L29" i="19"/>
  <c r="L106" i="19"/>
  <c r="L107" i="19" s="1"/>
  <c r="L28" i="19"/>
  <c r="O66" i="19" l="1"/>
  <c r="P62" i="19" s="1"/>
  <c r="P63" i="19" s="1"/>
  <c r="N79" i="19"/>
  <c r="O74" i="19" s="1"/>
  <c r="N80" i="19"/>
  <c r="O77" i="19"/>
  <c r="O54" i="19"/>
  <c r="O67" i="19"/>
  <c r="O69" i="19"/>
  <c r="O70" i="19" s="1"/>
  <c r="M24" i="19"/>
  <c r="N90" i="19"/>
  <c r="N96" i="19"/>
  <c r="N92" i="19"/>
  <c r="O113" i="1"/>
  <c r="O335" i="1" s="1"/>
  <c r="O338" i="1" s="1"/>
  <c r="O91" i="1"/>
  <c r="P91" i="1"/>
  <c r="P96" i="1"/>
  <c r="P141" i="1" s="1"/>
  <c r="L34" i="19"/>
  <c r="L30" i="19"/>
  <c r="O76" i="19" l="1"/>
  <c r="O75" i="19"/>
  <c r="O78" i="19" s="1"/>
  <c r="O82" i="19" s="1"/>
  <c r="O83" i="19" s="1"/>
  <c r="O84" i="19" s="1"/>
  <c r="O85" i="19" s="1"/>
  <c r="O81" i="19"/>
  <c r="N93" i="19"/>
  <c r="N95" i="19" s="1"/>
  <c r="P111" i="1"/>
  <c r="V94" i="1"/>
  <c r="AF94" i="1"/>
  <c r="P94" i="1"/>
  <c r="Y94" i="1"/>
  <c r="AI94" i="1"/>
  <c r="R94" i="1"/>
  <c r="AB94" i="1"/>
  <c r="U94" i="1"/>
  <c r="AE94" i="1"/>
  <c r="X94" i="1"/>
  <c r="AH94" i="1"/>
  <c r="W94" i="1"/>
  <c r="Q94" i="1"/>
  <c r="AA94" i="1"/>
  <c r="T94" i="1"/>
  <c r="AD94" i="1"/>
  <c r="AG94" i="1"/>
  <c r="Z94" i="1"/>
  <c r="AJ94" i="1"/>
  <c r="S94" i="1"/>
  <c r="AC94" i="1"/>
  <c r="O111" i="1"/>
  <c r="O115" i="1" s="1"/>
  <c r="E340" i="1"/>
  <c r="F170" i="1" s="1"/>
  <c r="G21" i="1" s="1"/>
  <c r="O346" i="1"/>
  <c r="O347" i="1" s="1"/>
  <c r="O80" i="19" l="1"/>
  <c r="O79" i="19"/>
  <c r="P74" i="19" s="1"/>
  <c r="N97" i="19"/>
  <c r="N94" i="19"/>
  <c r="O89" i="19" s="1"/>
  <c r="O96" i="19" s="1"/>
  <c r="O348" i="1"/>
  <c r="O350" i="1" s="1"/>
  <c r="O353" i="1" s="1"/>
  <c r="O355" i="1" s="1"/>
  <c r="P39" i="19"/>
  <c r="O116" i="1"/>
  <c r="O123" i="1"/>
  <c r="Z112" i="1"/>
  <c r="Z104" i="1"/>
  <c r="Z98" i="1"/>
  <c r="Z99" i="1"/>
  <c r="AA99" i="1"/>
  <c r="AA104" i="1"/>
  <c r="AA112" i="1"/>
  <c r="AA98" i="1"/>
  <c r="X104" i="1"/>
  <c r="X99" i="1"/>
  <c r="X98" i="1"/>
  <c r="X112" i="1"/>
  <c r="R112" i="1"/>
  <c r="R98" i="1"/>
  <c r="R104" i="1"/>
  <c r="R99" i="1"/>
  <c r="AF112" i="1"/>
  <c r="AF104" i="1"/>
  <c r="AF98" i="1"/>
  <c r="AF99" i="1"/>
  <c r="AC99" i="1"/>
  <c r="AC112" i="1"/>
  <c r="AC104" i="1"/>
  <c r="AC98" i="1"/>
  <c r="AG104" i="1"/>
  <c r="AG112" i="1"/>
  <c r="AG99" i="1"/>
  <c r="AG98" i="1"/>
  <c r="Q98" i="1"/>
  <c r="Q104" i="1"/>
  <c r="Q112" i="1"/>
  <c r="Q99" i="1"/>
  <c r="AE98" i="1"/>
  <c r="AE99" i="1"/>
  <c r="AE112" i="1"/>
  <c r="AE104" i="1"/>
  <c r="AI112" i="1"/>
  <c r="AI98" i="1"/>
  <c r="AI99" i="1"/>
  <c r="AI104" i="1"/>
  <c r="V112" i="1"/>
  <c r="V99" i="1"/>
  <c r="V98" i="1"/>
  <c r="V104" i="1"/>
  <c r="S98" i="1"/>
  <c r="S99" i="1"/>
  <c r="S104" i="1"/>
  <c r="S112" i="1"/>
  <c r="AD98" i="1"/>
  <c r="AD112" i="1"/>
  <c r="AD104" i="1"/>
  <c r="AD99" i="1"/>
  <c r="W112" i="1"/>
  <c r="W104" i="1"/>
  <c r="W99" i="1"/>
  <c r="W98" i="1"/>
  <c r="U104" i="1"/>
  <c r="U99" i="1"/>
  <c r="U98" i="1"/>
  <c r="U112" i="1"/>
  <c r="Y112" i="1"/>
  <c r="Y104" i="1"/>
  <c r="Y99" i="1"/>
  <c r="Y98" i="1"/>
  <c r="AJ98" i="1"/>
  <c r="AJ104" i="1"/>
  <c r="AJ99" i="1"/>
  <c r="T98" i="1"/>
  <c r="T99" i="1"/>
  <c r="T104" i="1"/>
  <c r="T112" i="1"/>
  <c r="AH112" i="1"/>
  <c r="AH99" i="1"/>
  <c r="AH98" i="1"/>
  <c r="AH104" i="1"/>
  <c r="AB104" i="1"/>
  <c r="AB99" i="1"/>
  <c r="AB98" i="1"/>
  <c r="AB112" i="1"/>
  <c r="P112" i="1"/>
  <c r="P98" i="1"/>
  <c r="P104" i="1"/>
  <c r="P99" i="1"/>
  <c r="P95" i="1"/>
  <c r="P97" i="1" s="1"/>
  <c r="Q92" i="1" s="1"/>
  <c r="Q96" i="1" s="1"/>
  <c r="Q141" i="1" s="1"/>
  <c r="P75" i="19" l="1"/>
  <c r="P81" i="19"/>
  <c r="O90" i="19"/>
  <c r="O91" i="19"/>
  <c r="O92" i="19"/>
  <c r="N98" i="19"/>
  <c r="N99" i="19" s="1"/>
  <c r="N100" i="19" s="1"/>
  <c r="N104" i="19" s="1"/>
  <c r="N21" i="19" s="1"/>
  <c r="AH115" i="1"/>
  <c r="AH116" i="1" s="1"/>
  <c r="X115" i="1"/>
  <c r="X116" i="1" s="1"/>
  <c r="W115" i="1"/>
  <c r="W116" i="1" s="1"/>
  <c r="AA115" i="1"/>
  <c r="AA116" i="1" s="1"/>
  <c r="P115" i="1"/>
  <c r="P116" i="1" s="1"/>
  <c r="P117" i="1" s="1"/>
  <c r="AC115" i="1"/>
  <c r="AC116" i="1" s="1"/>
  <c r="O351" i="1"/>
  <c r="O354" i="1" s="1"/>
  <c r="E360" i="1" s="1"/>
  <c r="F174" i="1" s="1"/>
  <c r="T115" i="1"/>
  <c r="T116" i="1" s="1"/>
  <c r="Y115" i="1"/>
  <c r="Y116" i="1" s="1"/>
  <c r="U115" i="1"/>
  <c r="U116" i="1" s="1"/>
  <c r="AF115" i="1"/>
  <c r="AF116" i="1" s="1"/>
  <c r="Z115" i="1"/>
  <c r="Z116" i="1" s="1"/>
  <c r="Q115" i="1"/>
  <c r="AB115" i="1"/>
  <c r="AB116" i="1" s="1"/>
  <c r="V115" i="1"/>
  <c r="AI115" i="1"/>
  <c r="AI116" i="1" s="1"/>
  <c r="AE115" i="1"/>
  <c r="AE116" i="1" s="1"/>
  <c r="Q95" i="1"/>
  <c r="Q97" i="1" s="1"/>
  <c r="R92" i="1" s="1"/>
  <c r="R96" i="1" s="1"/>
  <c r="AG115" i="1"/>
  <c r="AG116" i="1" s="1"/>
  <c r="O125" i="1"/>
  <c r="O124" i="1"/>
  <c r="P121" i="1" s="1"/>
  <c r="AD115" i="1"/>
  <c r="AD116" i="1" s="1"/>
  <c r="S115" i="1"/>
  <c r="E359" i="1"/>
  <c r="F173" i="1" s="1"/>
  <c r="G24" i="1" s="1"/>
  <c r="E357" i="1"/>
  <c r="F171" i="1" s="1"/>
  <c r="G22" i="1" s="1"/>
  <c r="E358" i="1"/>
  <c r="F172" i="1" s="1"/>
  <c r="G23" i="1" s="1"/>
  <c r="R115" i="1"/>
  <c r="O117" i="1"/>
  <c r="P40" i="19"/>
  <c r="P41" i="19"/>
  <c r="P19" i="19"/>
  <c r="O93" i="19" l="1"/>
  <c r="O94" i="19" s="1"/>
  <c r="N24" i="19"/>
  <c r="N29" i="19"/>
  <c r="N105" i="19"/>
  <c r="N28" i="19" s="1"/>
  <c r="N34" i="19" s="1"/>
  <c r="P47" i="19"/>
  <c r="L10" i="19" s="1"/>
  <c r="O127" i="1"/>
  <c r="O130" i="1" s="1"/>
  <c r="O128" i="1"/>
  <c r="O131" i="1" s="1"/>
  <c r="V116" i="1"/>
  <c r="P31" i="19"/>
  <c r="D31" i="19" s="1"/>
  <c r="R141" i="1"/>
  <c r="R95" i="1"/>
  <c r="R97" i="1" s="1"/>
  <c r="S92" i="1" s="1"/>
  <c r="S96" i="1" s="1"/>
  <c r="R116" i="1"/>
  <c r="S116" i="1"/>
  <c r="P122" i="1"/>
  <c r="P123" i="1" s="1"/>
  <c r="P125" i="1" s="1"/>
  <c r="Q116" i="1"/>
  <c r="F49" i="19" l="1"/>
  <c r="D10" i="19"/>
  <c r="D9" i="19" s="1"/>
  <c r="O97" i="19"/>
  <c r="O98" i="19" s="1"/>
  <c r="O99" i="19" s="1"/>
  <c r="O100" i="19" s="1"/>
  <c r="O104" i="19" s="1"/>
  <c r="O21" i="19" s="1"/>
  <c r="O24" i="19" s="1"/>
  <c r="O95" i="19"/>
  <c r="N106" i="19"/>
  <c r="N107" i="19" s="1"/>
  <c r="N30" i="19"/>
  <c r="F48" i="19"/>
  <c r="P64" i="19"/>
  <c r="P57" i="19"/>
  <c r="P60" i="19" s="1"/>
  <c r="P76" i="19"/>
  <c r="P56" i="19"/>
  <c r="P32" i="19" s="1"/>
  <c r="D32" i="19" s="1"/>
  <c r="S95" i="1"/>
  <c r="S97" i="1" s="1"/>
  <c r="T92" i="1" s="1"/>
  <c r="T96" i="1" s="1"/>
  <c r="S141" i="1"/>
  <c r="AI117" i="1"/>
  <c r="W117" i="1"/>
  <c r="S117" i="1"/>
  <c r="AD117" i="1"/>
  <c r="Z117" i="1"/>
  <c r="AH117" i="1"/>
  <c r="V117" i="1"/>
  <c r="AA117" i="1"/>
  <c r="T117" i="1"/>
  <c r="AC117" i="1"/>
  <c r="R117" i="1"/>
  <c r="Y117" i="1"/>
  <c r="X117" i="1"/>
  <c r="Q117" i="1"/>
  <c r="U117" i="1"/>
  <c r="AE117" i="1"/>
  <c r="AB117" i="1"/>
  <c r="AG117" i="1"/>
  <c r="AF117" i="1"/>
  <c r="P124" i="1"/>
  <c r="Q121" i="1" s="1"/>
  <c r="P127" i="1"/>
  <c r="P130" i="1" s="1"/>
  <c r="P128" i="1"/>
  <c r="P131" i="1" s="1"/>
  <c r="O143" i="1"/>
  <c r="O132" i="1"/>
  <c r="O133" i="1"/>
  <c r="O134" i="1" s="1"/>
  <c r="D8" i="19" l="1"/>
  <c r="P65" i="19"/>
  <c r="P66" i="19" s="1"/>
  <c r="O105" i="19"/>
  <c r="O28" i="19" s="1"/>
  <c r="O34" i="19" s="1"/>
  <c r="O29" i="19"/>
  <c r="P58" i="19"/>
  <c r="P59" i="19"/>
  <c r="E59" i="19" s="1"/>
  <c r="P22" i="19"/>
  <c r="D22" i="19" s="1"/>
  <c r="P133" i="1"/>
  <c r="P134" i="1" s="1"/>
  <c r="P143" i="1"/>
  <c r="P132" i="1"/>
  <c r="P77" i="19"/>
  <c r="P54" i="19"/>
  <c r="F54" i="19" s="1"/>
  <c r="Q122" i="1"/>
  <c r="Q123" i="1" s="1"/>
  <c r="Q125" i="1" s="1"/>
  <c r="T95" i="1"/>
  <c r="T97" i="1" s="1"/>
  <c r="U92" i="1" s="1"/>
  <c r="U96" i="1" s="1"/>
  <c r="T141" i="1"/>
  <c r="P69" i="19" l="1"/>
  <c r="P70" i="19" s="1"/>
  <c r="P78" i="19" s="1"/>
  <c r="P82" i="19" s="1"/>
  <c r="P89" i="19"/>
  <c r="P90" i="19" s="1"/>
  <c r="P67" i="19"/>
  <c r="E67" i="19" s="1"/>
  <c r="O106" i="19"/>
  <c r="O107" i="19" s="1"/>
  <c r="O30" i="19"/>
  <c r="Q127" i="1"/>
  <c r="Q130" i="1" s="1"/>
  <c r="Q128" i="1"/>
  <c r="Q131" i="1" s="1"/>
  <c r="U141" i="1"/>
  <c r="U95" i="1"/>
  <c r="U97" i="1" s="1"/>
  <c r="V92" i="1" s="1"/>
  <c r="V96" i="1" s="1"/>
  <c r="Q124" i="1"/>
  <c r="R121" i="1" s="1"/>
  <c r="R122" i="1" s="1"/>
  <c r="R123" i="1" s="1"/>
  <c r="P91" i="19" l="1"/>
  <c r="P96" i="19"/>
  <c r="R124" i="1"/>
  <c r="S121" i="1" s="1"/>
  <c r="R125" i="1"/>
  <c r="P80" i="19"/>
  <c r="E80" i="19" s="1"/>
  <c r="V95" i="1"/>
  <c r="V97" i="1" s="1"/>
  <c r="W92" i="1" s="1"/>
  <c r="W96" i="1" s="1"/>
  <c r="V141" i="1"/>
  <c r="P83" i="19"/>
  <c r="P84" i="19" s="1"/>
  <c r="P85" i="19" s="1"/>
  <c r="P92" i="19"/>
  <c r="P79" i="19"/>
  <c r="Q132" i="1"/>
  <c r="Q133" i="1"/>
  <c r="Q134" i="1" s="1"/>
  <c r="Q143" i="1"/>
  <c r="P93" i="19" l="1"/>
  <c r="P97" i="19" s="1"/>
  <c r="P98" i="19" s="1"/>
  <c r="P99" i="19" s="1"/>
  <c r="P100" i="19" s="1"/>
  <c r="P104" i="19" s="1"/>
  <c r="R128" i="1"/>
  <c r="R131" i="1" s="1"/>
  <c r="R127" i="1"/>
  <c r="R130" i="1" s="1"/>
  <c r="S122" i="1"/>
  <c r="S123" i="1" s="1"/>
  <c r="S125" i="1" s="1"/>
  <c r="W95" i="1"/>
  <c r="W97" i="1" s="1"/>
  <c r="X92" i="1" s="1"/>
  <c r="X96" i="1" s="1"/>
  <c r="W141" i="1"/>
  <c r="P95" i="19" l="1"/>
  <c r="E95" i="19" s="1"/>
  <c r="P94" i="19"/>
  <c r="S124" i="1"/>
  <c r="T121" i="1" s="1"/>
  <c r="T122" i="1" s="1"/>
  <c r="T123" i="1" s="1"/>
  <c r="T125" i="1" s="1"/>
  <c r="P105" i="19"/>
  <c r="P28" i="19" s="1"/>
  <c r="P21" i="19"/>
  <c r="S128" i="1"/>
  <c r="S131" i="1" s="1"/>
  <c r="S127" i="1"/>
  <c r="S130" i="1" s="1"/>
  <c r="X95" i="1"/>
  <c r="X97" i="1" s="1"/>
  <c r="Y92" i="1" s="1"/>
  <c r="Y96" i="1" s="1"/>
  <c r="Y95" i="1" s="1"/>
  <c r="Y97" i="1" s="1"/>
  <c r="Z92" i="1" s="1"/>
  <c r="X141" i="1"/>
  <c r="R143" i="1"/>
  <c r="R132" i="1"/>
  <c r="R133" i="1"/>
  <c r="R134" i="1" s="1"/>
  <c r="P106" i="19" l="1"/>
  <c r="P107" i="19" s="1"/>
  <c r="T128" i="1"/>
  <c r="T131" i="1" s="1"/>
  <c r="T127" i="1"/>
  <c r="T130" i="1" s="1"/>
  <c r="Y141" i="1"/>
  <c r="S143" i="1"/>
  <c r="S133" i="1"/>
  <c r="S134" i="1" s="1"/>
  <c r="S132" i="1"/>
  <c r="D21" i="19"/>
  <c r="P24" i="19"/>
  <c r="D24" i="19" s="1"/>
  <c r="P29" i="19"/>
  <c r="P30" i="19" s="1"/>
  <c r="T124" i="1"/>
  <c r="U121" i="1" s="1"/>
  <c r="P34" i="19"/>
  <c r="D34" i="19" s="1"/>
  <c r="D28" i="19"/>
  <c r="Z96" i="1"/>
  <c r="D35" i="19" l="1"/>
  <c r="D33" i="19"/>
  <c r="D25" i="19"/>
  <c r="D23" i="19"/>
  <c r="U122" i="1"/>
  <c r="U123" i="1" s="1"/>
  <c r="U125" i="1" s="1"/>
  <c r="T143" i="1"/>
  <c r="T133" i="1"/>
  <c r="T134" i="1" s="1"/>
  <c r="T132" i="1"/>
  <c r="Z95" i="1"/>
  <c r="Z97" i="1" s="1"/>
  <c r="AA92" i="1" s="1"/>
  <c r="Z141" i="1"/>
  <c r="U124" i="1" l="1"/>
  <c r="V121" i="1" s="1"/>
  <c r="V122" i="1" s="1"/>
  <c r="V123" i="1" s="1"/>
  <c r="V125" i="1" s="1"/>
  <c r="U128" i="1"/>
  <c r="U131" i="1" s="1"/>
  <c r="U127" i="1"/>
  <c r="U130" i="1" s="1"/>
  <c r="L9" i="19"/>
  <c r="L8" i="19" s="1"/>
  <c r="AA96" i="1"/>
  <c r="U143" i="1" l="1"/>
  <c r="U133" i="1"/>
  <c r="U134" i="1" s="1"/>
  <c r="U132" i="1"/>
  <c r="V124" i="1"/>
  <c r="W121" i="1" s="1"/>
  <c r="W122" i="1" s="1"/>
  <c r="W123" i="1" s="1"/>
  <c r="V127" i="1"/>
  <c r="V130" i="1" s="1"/>
  <c r="V128" i="1"/>
  <c r="V131" i="1" s="1"/>
  <c r="AA95" i="1"/>
  <c r="AA97" i="1" s="1"/>
  <c r="AB92" i="1" s="1"/>
  <c r="AA141" i="1"/>
  <c r="W124" i="1" l="1"/>
  <c r="X121" i="1" s="1"/>
  <c r="W125" i="1"/>
  <c r="V133" i="1"/>
  <c r="V134" i="1" s="1"/>
  <c r="V143" i="1"/>
  <c r="V132" i="1"/>
  <c r="AB96" i="1"/>
  <c r="W128" i="1" l="1"/>
  <c r="W131" i="1" s="1"/>
  <c r="W127" i="1"/>
  <c r="W130" i="1" s="1"/>
  <c r="X122" i="1"/>
  <c r="AB95" i="1"/>
  <c r="AB97" i="1" s="1"/>
  <c r="AC92" i="1" s="1"/>
  <c r="AB141" i="1"/>
  <c r="X123" i="1" l="1"/>
  <c r="X125" i="1" s="1"/>
  <c r="W132" i="1"/>
  <c r="W133" i="1"/>
  <c r="W134" i="1" s="1"/>
  <c r="W143" i="1"/>
  <c r="AC96" i="1"/>
  <c r="X128" i="1" l="1"/>
  <c r="X131" i="1" s="1"/>
  <c r="X127" i="1"/>
  <c r="X130" i="1" s="1"/>
  <c r="X124" i="1"/>
  <c r="Y121" i="1" s="1"/>
  <c r="AC95" i="1"/>
  <c r="AC97" i="1" s="1"/>
  <c r="AD92" i="1" s="1"/>
  <c r="AC141" i="1"/>
  <c r="Y122" i="1" l="1"/>
  <c r="Y123" i="1" s="1"/>
  <c r="X143" i="1"/>
  <c r="X133" i="1"/>
  <c r="X134" i="1" s="1"/>
  <c r="X132" i="1"/>
  <c r="AD96" i="1"/>
  <c r="Y124" i="1" l="1"/>
  <c r="Z121" i="1" s="1"/>
  <c r="Y125" i="1"/>
  <c r="AD95" i="1"/>
  <c r="AD97" i="1" s="1"/>
  <c r="AE92" i="1" s="1"/>
  <c r="AD141" i="1"/>
  <c r="Y127" i="1" l="1"/>
  <c r="Y130" i="1" s="1"/>
  <c r="Y128" i="1"/>
  <c r="Y131" i="1" s="1"/>
  <c r="Z122" i="1"/>
  <c r="AE96" i="1"/>
  <c r="Z123" i="1" l="1"/>
  <c r="Z125" i="1" s="1"/>
  <c r="Y143" i="1"/>
  <c r="Y132" i="1"/>
  <c r="Y133" i="1"/>
  <c r="Y134" i="1" s="1"/>
  <c r="AE95" i="1"/>
  <c r="AE97" i="1" s="1"/>
  <c r="AF92" i="1" s="1"/>
  <c r="AE141" i="1"/>
  <c r="Z128" i="1" l="1"/>
  <c r="Z131" i="1" s="1"/>
  <c r="Z127" i="1"/>
  <c r="Z130" i="1" s="1"/>
  <c r="Z124" i="1"/>
  <c r="AA121" i="1" s="1"/>
  <c r="AF96" i="1"/>
  <c r="AA122" i="1" l="1"/>
  <c r="AA123" i="1" s="1"/>
  <c r="AA125" i="1" s="1"/>
  <c r="Z133" i="1"/>
  <c r="Z134" i="1" s="1"/>
  <c r="Z132" i="1"/>
  <c r="Z143" i="1"/>
  <c r="AF95" i="1"/>
  <c r="AF97" i="1" s="1"/>
  <c r="AG92" i="1" s="1"/>
  <c r="AF141" i="1"/>
  <c r="AA124" i="1" l="1"/>
  <c r="AB121" i="1" s="1"/>
  <c r="AB122" i="1" s="1"/>
  <c r="AB123" i="1" s="1"/>
  <c r="AA127" i="1"/>
  <c r="AA130" i="1" s="1"/>
  <c r="AA128" i="1"/>
  <c r="AA131" i="1" s="1"/>
  <c r="AG96" i="1"/>
  <c r="AA133" i="1" l="1"/>
  <c r="AA134" i="1" s="1"/>
  <c r="AA143" i="1"/>
  <c r="AA132" i="1"/>
  <c r="AB124" i="1"/>
  <c r="AC121" i="1" s="1"/>
  <c r="AB125" i="1"/>
  <c r="AG95" i="1"/>
  <c r="AG97" i="1" s="1"/>
  <c r="AH92" i="1" s="1"/>
  <c r="AG141" i="1"/>
  <c r="AC122" i="1" l="1"/>
  <c r="AC123" i="1" s="1"/>
  <c r="AC125" i="1" s="1"/>
  <c r="AB127" i="1"/>
  <c r="AB130" i="1" s="1"/>
  <c r="AB128" i="1"/>
  <c r="AB131" i="1" s="1"/>
  <c r="AH96" i="1"/>
  <c r="AB132" i="1" l="1"/>
  <c r="AB143" i="1"/>
  <c r="AB133" i="1"/>
  <c r="AB134" i="1" s="1"/>
  <c r="AC124" i="1"/>
  <c r="AD121" i="1" s="1"/>
  <c r="AC127" i="1"/>
  <c r="AC130" i="1" s="1"/>
  <c r="AC128" i="1"/>
  <c r="AC131" i="1" s="1"/>
  <c r="AH95" i="1"/>
  <c r="AH97" i="1" s="1"/>
  <c r="AI92" i="1" s="1"/>
  <c r="AH141" i="1"/>
  <c r="AD122" i="1" l="1"/>
  <c r="AD123" i="1" s="1"/>
  <c r="AD125" i="1" s="1"/>
  <c r="AC133" i="1"/>
  <c r="AC134" i="1" s="1"/>
  <c r="AC143" i="1"/>
  <c r="AC132" i="1"/>
  <c r="AI96" i="1"/>
  <c r="AD124" i="1" l="1"/>
  <c r="AE121" i="1" s="1"/>
  <c r="AD128" i="1"/>
  <c r="AD131" i="1" s="1"/>
  <c r="AD127" i="1"/>
  <c r="AD130" i="1" s="1"/>
  <c r="AI95" i="1"/>
  <c r="AI97" i="1" s="1"/>
  <c r="AJ92" i="1" s="1"/>
  <c r="AI141" i="1"/>
  <c r="AD133" i="1" l="1"/>
  <c r="AD134" i="1" s="1"/>
  <c r="AD143" i="1"/>
  <c r="AD132" i="1"/>
  <c r="AE122" i="1"/>
  <c r="AE123" i="1" s="1"/>
  <c r="AE125" i="1" s="1"/>
  <c r="AJ96" i="1"/>
  <c r="AE128" i="1" l="1"/>
  <c r="AE131" i="1" s="1"/>
  <c r="AE127" i="1"/>
  <c r="AE130" i="1" s="1"/>
  <c r="AE124" i="1"/>
  <c r="AF121" i="1" s="1"/>
  <c r="AJ95" i="1"/>
  <c r="AJ97" i="1" s="1"/>
  <c r="AJ114" i="1" s="1"/>
  <c r="AJ115" i="1" s="1"/>
  <c r="AJ141" i="1"/>
  <c r="AF122" i="1" l="1"/>
  <c r="AF123" i="1" s="1"/>
  <c r="AE133" i="1"/>
  <c r="AE134" i="1" s="1"/>
  <c r="AE143" i="1"/>
  <c r="AE132" i="1"/>
  <c r="AJ116" i="1"/>
  <c r="AJ117" i="1" s="1"/>
  <c r="D117" i="1"/>
  <c r="C20" i="1" s="1"/>
  <c r="AF124" i="1" l="1"/>
  <c r="AG121" i="1" s="1"/>
  <c r="AG122" i="1" s="1"/>
  <c r="AG123" i="1" s="1"/>
  <c r="AF125" i="1"/>
  <c r="AF127" i="1" l="1"/>
  <c r="AF130" i="1" s="1"/>
  <c r="AF128" i="1"/>
  <c r="AF131" i="1" s="1"/>
  <c r="AG124" i="1"/>
  <c r="AH121" i="1" s="1"/>
  <c r="AH122" i="1" s="1"/>
  <c r="AH123" i="1" s="1"/>
  <c r="AG125" i="1"/>
  <c r="AG127" i="1" l="1"/>
  <c r="AG130" i="1" s="1"/>
  <c r="AG128" i="1"/>
  <c r="AG131" i="1" s="1"/>
  <c r="AH124" i="1"/>
  <c r="AI121" i="1" s="1"/>
  <c r="AI122" i="1" s="1"/>
  <c r="AI123" i="1" s="1"/>
  <c r="AH125" i="1"/>
  <c r="AF132" i="1"/>
  <c r="AF133" i="1"/>
  <c r="AF134" i="1" s="1"/>
  <c r="AF143" i="1"/>
  <c r="AH128" i="1" l="1"/>
  <c r="AH131" i="1" s="1"/>
  <c r="AH127" i="1"/>
  <c r="AH130" i="1" s="1"/>
  <c r="AI124" i="1"/>
  <c r="AJ121" i="1" s="1"/>
  <c r="AI125" i="1"/>
  <c r="AG132" i="1"/>
  <c r="AG143" i="1"/>
  <c r="AG133" i="1"/>
  <c r="AG134" i="1" s="1"/>
  <c r="AJ122" i="1" l="1"/>
  <c r="AJ123" i="1" s="1"/>
  <c r="AJ125" i="1" s="1"/>
  <c r="AH133" i="1"/>
  <c r="AH134" i="1" s="1"/>
  <c r="AH143" i="1"/>
  <c r="AH132" i="1"/>
  <c r="AI127" i="1"/>
  <c r="AI130" i="1" s="1"/>
  <c r="AI128" i="1"/>
  <c r="AI131" i="1" s="1"/>
  <c r="AJ124" i="1" l="1"/>
  <c r="AJ127" i="1"/>
  <c r="AJ130" i="1" s="1"/>
  <c r="AJ128" i="1"/>
  <c r="AJ131" i="1" s="1"/>
  <c r="D131" i="1" s="1"/>
  <c r="AI132" i="1"/>
  <c r="AI133" i="1"/>
  <c r="AI134" i="1" s="1"/>
  <c r="AI143" i="1"/>
  <c r="AJ143" i="1" l="1"/>
  <c r="D144" i="1" s="1"/>
  <c r="I51" i="8" s="1"/>
  <c r="AJ132" i="1"/>
  <c r="AJ133" i="1"/>
  <c r="AJ134" i="1" s="1"/>
  <c r="D130" i="1"/>
  <c r="D134" i="1"/>
  <c r="B21" i="7" l="1"/>
  <c r="I50" i="8"/>
  <c r="C21" i="1"/>
  <c r="I9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Brian</author>
    <author>Alan Stevenson</author>
  </authors>
  <commentList>
    <comment ref="E38" authorId="0" shapeId="0" xr:uid="{2DC058A8-E2F4-4FF5-AE5F-328E040CFE24}">
      <text>
        <r>
          <rPr>
            <b/>
            <sz val="9"/>
            <color indexed="81"/>
            <rFont val="Tahoma"/>
            <family val="2"/>
          </rPr>
          <t>Brian:</t>
        </r>
        <r>
          <rPr>
            <sz val="9"/>
            <color indexed="81"/>
            <rFont val="Tahoma"/>
            <family val="2"/>
          </rPr>
          <t xml:space="preserve">
This is a minimum vacancy rate and homes will stop being filled once they get at this number</t>
        </r>
      </text>
    </comment>
    <comment ref="C51" authorId="1" shapeId="0" xr:uid="{E311EB13-1E10-45E3-8FDE-27F21F1E0D93}">
      <text>
        <r>
          <rPr>
            <b/>
            <sz val="9"/>
            <color indexed="81"/>
            <rFont val="Tahoma"/>
            <family val="2"/>
          </rPr>
          <t>INSTRUCTIONS:</t>
        </r>
        <r>
          <rPr>
            <sz val="9"/>
            <color indexed="81"/>
            <rFont val="Tahoma"/>
            <family val="2"/>
          </rPr>
          <t xml:space="preserve">
Enter this as a negative amount.</t>
        </r>
      </text>
    </comment>
    <comment ref="D159" authorId="1" shapeId="0" xr:uid="{5EBD8AD3-AAF1-4DFA-9E4D-722B92D78EDD}">
      <text>
        <r>
          <rPr>
            <b/>
            <sz val="9"/>
            <color indexed="81"/>
            <rFont val="Tahoma"/>
            <family val="2"/>
          </rPr>
          <t>Alan Stevenson:</t>
        </r>
        <r>
          <rPr>
            <sz val="9"/>
            <color indexed="81"/>
            <rFont val="Tahoma"/>
            <family val="2"/>
          </rPr>
          <t xml:space="preserve">
Needs to be determined as accurately as easily possible to show the most recent month's income.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tc={4A5875FD-6FE4-41FD-AAD3-38CC87E06ECE}</author>
    <author>tc={8D5A141D-9A3A-44F8-800C-FF25B58CEFF3}</author>
  </authors>
  <commentList>
    <comment ref="C27" authorId="0" shapeId="0" xr:uid="{4A5875FD-6FE4-41FD-AAD3-38CC87E06ECE}">
      <text>
        <t>[Threaded comment]
Your version of Excel allows you to read this threaded comment; however, any edits to it will get removed if the file is opened in a newer version of Excel. Learn more: https://go.microsoft.com/fwlink/?linkid=870924
Comment:
    Alan Stevenson:
For historicals, this is the total summed up vacancy (i.e. we do not break out vacancy between the three bvg categories)</t>
      </text>
    </comment>
    <comment ref="C39" authorId="1" shapeId="0" xr:uid="{8D5A141D-9A3A-44F8-800C-FF25B58CEFF3}">
      <text>
        <t>[Threaded comment]
Your version of Excel allows you to read this threaded comment; however, any edits to it will get removed if the file is opened in a newer version of Excel. Learn more: https://go.microsoft.com/fwlink/?linkid=870924
Comment:
    like Vacancy, this is a total number for the historicals column (since the historical categoties are not going to match the bvg categories)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Alan Stevenson</author>
  </authors>
  <commentList>
    <comment ref="I9" authorId="0" shapeId="0" xr:uid="{9DA143A7-A5EA-4BCB-AD16-4BA507BBFF49}">
      <text>
        <r>
          <rPr>
            <b/>
            <sz val="9"/>
            <color indexed="81"/>
            <rFont val="Tahoma"/>
            <family val="2"/>
          </rPr>
          <t>Alan Stevenson:</t>
        </r>
        <r>
          <rPr>
            <sz val="9"/>
            <color indexed="81"/>
            <rFont val="Tahoma"/>
            <family val="2"/>
          </rPr>
          <t xml:space="preserve">
if available as part of an offering package.</t>
        </r>
      </text>
    </comment>
    <comment ref="I29" authorId="0" shapeId="0" xr:uid="{DA513931-2003-463D-A4FB-721D5CF17826}">
      <text>
        <r>
          <rPr>
            <b/>
            <sz val="9"/>
            <color indexed="81"/>
            <rFont val="Tahoma"/>
            <family val="2"/>
          </rPr>
          <t>Alan Stevenson:</t>
        </r>
        <r>
          <rPr>
            <sz val="9"/>
            <color indexed="81"/>
            <rFont val="Tahoma"/>
            <family val="2"/>
          </rPr>
          <t xml:space="preserve">
if available as part of an offering package.</t>
        </r>
      </text>
    </comment>
  </commentList>
</comments>
</file>

<file path=xl/sharedStrings.xml><?xml version="1.0" encoding="utf-8"?>
<sst xmlns="http://schemas.openxmlformats.org/spreadsheetml/2006/main" count="1087" uniqueCount="729">
  <si>
    <t>Price</t>
  </si>
  <si>
    <t># of spaces
MH/RV/other</t>
  </si>
  <si>
    <t>Price/space</t>
  </si>
  <si>
    <t>Additional Cash needs</t>
  </si>
  <si>
    <t>Vacancy</t>
  </si>
  <si>
    <t>Park owned homes</t>
  </si>
  <si>
    <t>Entry Cap rate</t>
  </si>
  <si>
    <t>Target IRR</t>
  </si>
  <si>
    <t>Key Attributes</t>
  </si>
  <si>
    <t>Below market rents</t>
  </si>
  <si>
    <t>Paved driveways</t>
  </si>
  <si>
    <t>Management efficiencies</t>
  </si>
  <si>
    <t>Infill upside</t>
  </si>
  <si>
    <t>Robust local home values</t>
  </si>
  <si>
    <t>City water</t>
  </si>
  <si>
    <t>What makes this property an attractive investment?</t>
  </si>
  <si>
    <t>Uses of additional cash</t>
  </si>
  <si>
    <t>Summary explanation of changes of value</t>
  </si>
  <si>
    <t>Value at year 5</t>
  </si>
  <si>
    <t>Value/space</t>
  </si>
  <si>
    <t>Refi Cap rate</t>
  </si>
  <si>
    <t>5 YR ROI (cash only)</t>
  </si>
  <si>
    <r>
      <t xml:space="preserve">INVESTMENT STRUCTURE </t>
    </r>
    <r>
      <rPr>
        <b/>
        <sz val="10"/>
        <color theme="0"/>
        <rFont val="Arial"/>
        <family val="2"/>
      </rPr>
      <t>(projected returns)</t>
    </r>
  </si>
  <si>
    <t>Cash Infusion Required</t>
  </si>
  <si>
    <r>
      <t>Investment Amount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</t>
    </r>
    <r>
      <rPr>
        <b/>
        <i/>
        <sz val="11"/>
        <color rgb="FFC00000"/>
        <rFont val="Calibri"/>
        <family val="2"/>
        <scheme val="minor"/>
      </rPr>
      <t>enter amt</t>
    </r>
    <r>
      <rPr>
        <b/>
        <sz val="11"/>
        <color rgb="FFC00000"/>
        <rFont val="Calibri"/>
        <family val="2"/>
        <scheme val="minor"/>
      </rPr>
      <t>)</t>
    </r>
  </si>
  <si>
    <t>Number of Units/of 10,000 total</t>
  </si>
  <si>
    <t>% of ownership</t>
  </si>
  <si>
    <t>Projected Cash Return</t>
  </si>
  <si>
    <t>Year 1</t>
  </si>
  <si>
    <t>Year 2</t>
  </si>
  <si>
    <t>Year 3</t>
  </si>
  <si>
    <t>Year 4</t>
  </si>
  <si>
    <t xml:space="preserve">        Year 5</t>
  </si>
  <si>
    <t>Projected Depreciation</t>
  </si>
  <si>
    <t>Projected total cash returned through year 5</t>
  </si>
  <si>
    <t>Investor IRR (30 Year Hold)</t>
  </si>
  <si>
    <t>Projected value of equity remaining at year 5</t>
  </si>
  <si>
    <t>Investor IRR with Tax Shield (30 Year Hold)</t>
  </si>
  <si>
    <t>Total of cash returned plus retained equity</t>
  </si>
  <si>
    <t>Equity multiple on cash plus retained equity</t>
  </si>
  <si>
    <t xml:space="preserve"> Eli Weiner    530.400.2354</t>
  </si>
  <si>
    <t xml:space="preserve">For information contact: </t>
  </si>
  <si>
    <t>eli@boavidacommunities.com</t>
  </si>
  <si>
    <t>Purchase Price</t>
  </si>
  <si>
    <t>Projections</t>
  </si>
  <si>
    <t>Year 5</t>
  </si>
  <si>
    <t>Year 6</t>
  </si>
  <si>
    <t>Acquisition Cost</t>
  </si>
  <si>
    <t>Total</t>
  </si>
  <si>
    <t>Gross Income</t>
  </si>
  <si>
    <t>Operating Expense</t>
  </si>
  <si>
    <t>Additional Capital / Closing</t>
  </si>
  <si>
    <t>Net Income</t>
  </si>
  <si>
    <t>Total Acquisition Cost</t>
  </si>
  <si>
    <t>Gross Profit</t>
  </si>
  <si>
    <t>All In Entrance Cap Rate</t>
  </si>
  <si>
    <t>Debt Service</t>
  </si>
  <si>
    <t>Equity</t>
  </si>
  <si>
    <t xml:space="preserve">Debt </t>
  </si>
  <si>
    <t>Net Cash Flow after Debt Service</t>
  </si>
  <si>
    <t>Cash from Sale of POH</t>
  </si>
  <si>
    <t>Return of Capital from Refinance</t>
  </si>
  <si>
    <t>Cash Available for Distribution</t>
  </si>
  <si>
    <t>Total Equity Investment</t>
  </si>
  <si>
    <t>Cash Flow to Investor</t>
  </si>
  <si>
    <t>Number of Spaces</t>
  </si>
  <si>
    <t>ROE</t>
  </si>
  <si>
    <t>Price/Space</t>
  </si>
  <si>
    <t>Returns</t>
  </si>
  <si>
    <t>Investor Target IRR</t>
  </si>
  <si>
    <t>Cash on Cash (5 Years)</t>
  </si>
  <si>
    <t>Distributions (5 Years)</t>
  </si>
  <si>
    <t>Firelands Manor - 5810 US Hwy 20 East, Wakeman, OH 44889</t>
  </si>
  <si>
    <t>Cell T1 is used for the AutoSave Function</t>
  </si>
  <si>
    <t>Acquisition Summary</t>
  </si>
  <si>
    <t>Per Space</t>
  </si>
  <si>
    <t>Inputs / Assumptions</t>
  </si>
  <si>
    <t>Inflation</t>
  </si>
  <si>
    <t>Historical Expense Inputs To Fill</t>
  </si>
  <si>
    <t>Trailing 12</t>
  </si>
  <si>
    <r>
      <t xml:space="preserve">Addl Capital / Closing Costs </t>
    </r>
    <r>
      <rPr>
        <b/>
        <sz val="10"/>
        <rFont val="Arial"/>
        <family val="2"/>
      </rPr>
      <t>(see Notes)</t>
    </r>
  </si>
  <si>
    <t>Management Fee</t>
  </si>
  <si>
    <t>Recourse Loan</t>
  </si>
  <si>
    <t>No</t>
  </si>
  <si>
    <t>Total Investment</t>
  </si>
  <si>
    <t>Management Fee Limit</t>
  </si>
  <si>
    <t>Acquisition Fee</t>
  </si>
  <si>
    <t>2018 Annualized</t>
  </si>
  <si>
    <t>Going In Cap Rate</t>
  </si>
  <si>
    <t>Vacant Spaces Filled/Year</t>
  </si>
  <si>
    <t>Asset Management Fee</t>
  </si>
  <si>
    <t>Brkr Projection</t>
  </si>
  <si>
    <t>Projected Year 1 Cap Rate</t>
  </si>
  <si>
    <t>Maintenance / Capital Reserve</t>
  </si>
  <si>
    <t>/space/yr</t>
  </si>
  <si>
    <t>Refinance Fee</t>
  </si>
  <si>
    <t>Refinance Cap Rate Assumption</t>
  </si>
  <si>
    <t>Disposition Fee</t>
  </si>
  <si>
    <t>Space Rent to Acq $ Per Pad Ratio</t>
  </si>
  <si>
    <t>Occupied</t>
  </si>
  <si>
    <t>Vacant</t>
  </si>
  <si>
    <t>Vacancy Rate</t>
  </si>
  <si>
    <t xml:space="preserve">MH </t>
  </si>
  <si>
    <t>RV</t>
  </si>
  <si>
    <t>Other</t>
  </si>
  <si>
    <t>Park Owned Homes (POH)</t>
  </si>
  <si>
    <t>--&gt; POH to be sold</t>
  </si>
  <si>
    <t>Return Metrics Summary</t>
  </si>
  <si>
    <t>3 Year</t>
  </si>
  <si>
    <t>5 Year</t>
  </si>
  <si>
    <t>10 Year</t>
  </si>
  <si>
    <t>Investor BVG Split</t>
  </si>
  <si>
    <t>Park Owned Home NOI Summary</t>
  </si>
  <si>
    <t>Gross IRR - Unl.</t>
  </si>
  <si>
    <t>Investor %</t>
  </si>
  <si>
    <t>$ Total</t>
  </si>
  <si>
    <t>$ / Home</t>
  </si>
  <si>
    <t>Gross IRR - Lev.</t>
  </si>
  <si>
    <t>BVG %</t>
  </si>
  <si>
    <t>Income</t>
  </si>
  <si>
    <t>Investor IRR</t>
  </si>
  <si>
    <t>Investor Pref. Return (Yr 1)</t>
  </si>
  <si>
    <t>Expense</t>
  </si>
  <si>
    <t>Investor EM</t>
  </si>
  <si>
    <t>Investor Pref. Return (After Yr 1)</t>
  </si>
  <si>
    <t>NOI</t>
  </si>
  <si>
    <t>Investor Equity</t>
  </si>
  <si>
    <t>Yr 10 Value</t>
  </si>
  <si>
    <t>Year 10 $/Pad</t>
  </si>
  <si>
    <t>GL Acct</t>
  </si>
  <si>
    <t>Yr 1 Total</t>
  </si>
  <si>
    <t>Monthly Operating Summary</t>
  </si>
  <si>
    <t>Base Year</t>
  </si>
  <si>
    <t>BVG Budget</t>
  </si>
  <si>
    <t>Rental Rate by Category</t>
  </si>
  <si>
    <t>Gross Rental Income by Category</t>
  </si>
  <si>
    <t>Spaces</t>
  </si>
  <si>
    <t>Total Vac. Spaces</t>
  </si>
  <si>
    <t>Net Rental Income</t>
  </si>
  <si>
    <t>Other Income</t>
  </si>
  <si>
    <t>Annualized</t>
  </si>
  <si>
    <t>Utilities</t>
  </si>
  <si>
    <t>Gas / Propane</t>
  </si>
  <si>
    <t>Trash</t>
  </si>
  <si>
    <t>Sewer</t>
  </si>
  <si>
    <t>Water</t>
  </si>
  <si>
    <t>Other, misc.</t>
  </si>
  <si>
    <t>Total Other Income</t>
  </si>
  <si>
    <t>Free Rent/Utilities to Manager</t>
  </si>
  <si>
    <t>Total Income (Monthly)</t>
  </si>
  <si>
    <t>Historical Exp.</t>
  </si>
  <si>
    <t>Yr 1 $/Pad</t>
  </si>
  <si>
    <t>Monthly Expenses</t>
  </si>
  <si>
    <t>Salary Expense</t>
  </si>
  <si>
    <t>Payroll Taxes</t>
  </si>
  <si>
    <t>Workers Comp</t>
  </si>
  <si>
    <t>Electric</t>
  </si>
  <si>
    <t>Gas/Propane</t>
  </si>
  <si>
    <t>Sewer-septic</t>
  </si>
  <si>
    <t xml:space="preserve">Water </t>
  </si>
  <si>
    <t>Phone/Cable/Internet</t>
  </si>
  <si>
    <t>Auto expense &amp; travel</t>
  </si>
  <si>
    <t>Outside Services -plumbing, electrical, etc</t>
  </si>
  <si>
    <t>Landscape, pool, &amp; sweeping maintenance &amp; supplies</t>
  </si>
  <si>
    <r>
      <t>Property Taxes (</t>
    </r>
    <r>
      <rPr>
        <i/>
        <sz val="10"/>
        <rFont val="Arial"/>
        <family val="2"/>
      </rPr>
      <t>Add Description of Assumptions</t>
    </r>
    <r>
      <rPr>
        <sz val="10"/>
        <rFont val="Arial"/>
        <family val="2"/>
      </rPr>
      <t>)</t>
    </r>
  </si>
  <si>
    <t xml:space="preserve">Insurance </t>
  </si>
  <si>
    <t>Billing Software</t>
  </si>
  <si>
    <t>Legal Expenses</t>
  </si>
  <si>
    <t>LLC/LP Tax</t>
  </si>
  <si>
    <t>Advertising</t>
  </si>
  <si>
    <t>Tax Return Preparation/accounting</t>
  </si>
  <si>
    <t>Licenses and Permits</t>
  </si>
  <si>
    <t>Banking and Merchant fees (est)</t>
  </si>
  <si>
    <t>Office Supplies, Postage, Pager, Printing, dues, subscr, Misc.</t>
  </si>
  <si>
    <t>Total Operating Expense (Monthly)</t>
  </si>
  <si>
    <t>Net Operating Income (Monthly)</t>
  </si>
  <si>
    <t>Net Operating Income (Annual)</t>
  </si>
  <si>
    <t xml:space="preserve">Return On Cost </t>
  </si>
  <si>
    <t>Initial</t>
  </si>
  <si>
    <t>Refi</t>
  </si>
  <si>
    <t>LTV</t>
  </si>
  <si>
    <t>Debt service</t>
  </si>
  <si>
    <t>Additional debt/Refinance</t>
  </si>
  <si>
    <t>Amort.</t>
  </si>
  <si>
    <t>Payment</t>
  </si>
  <si>
    <t>Rate</t>
  </si>
  <si>
    <t>Principal</t>
  </si>
  <si>
    <t>Interest</t>
  </si>
  <si>
    <t>1st Refi at Year</t>
  </si>
  <si>
    <t>2nd Refi at Year</t>
  </si>
  <si>
    <t>Ending balance</t>
  </si>
  <si>
    <t>Years of IO</t>
  </si>
  <si>
    <t>DSCR</t>
  </si>
  <si>
    <t>This line isn't needed but was helpful when looking at POH Income</t>
  </si>
  <si>
    <t>DSCR w/POH Income</t>
  </si>
  <si>
    <t>Refinance Valuation</t>
  </si>
  <si>
    <t>REFI CAP RATE</t>
  </si>
  <si>
    <t>AVG PRICE EA</t>
  </si>
  <si>
    <t>Rental Income from POH</t>
  </si>
  <si>
    <t>New income from POH</t>
  </si>
  <si>
    <t>POH Seller Carry Note</t>
  </si>
  <si>
    <t>Return of Capital (other)</t>
  </si>
  <si>
    <t>Sale Proceeds at Exit</t>
  </si>
  <si>
    <t>Pretax Income Available for Distribution</t>
  </si>
  <si>
    <t>Leveraged Return On Initial Equity</t>
  </si>
  <si>
    <r>
      <t xml:space="preserve">Gross IRR </t>
    </r>
    <r>
      <rPr>
        <sz val="10"/>
        <rFont val="Arial"/>
        <family val="2"/>
      </rPr>
      <t>(par return)</t>
    </r>
  </si>
  <si>
    <t>Distributions</t>
  </si>
  <si>
    <t>Investor Preferred Return</t>
  </si>
  <si>
    <t>Beginning balance</t>
  </si>
  <si>
    <t>Preferred return</t>
  </si>
  <si>
    <t>Available</t>
  </si>
  <si>
    <t>Split</t>
  </si>
  <si>
    <t>Investor</t>
  </si>
  <si>
    <t>BVG</t>
  </si>
  <si>
    <t>Total Project Cash Flow</t>
  </si>
  <si>
    <t>Investor Pretax Leveraged Return On Initial Equity</t>
  </si>
  <si>
    <t>Total Investor Cash (5 Years)</t>
  </si>
  <si>
    <t>Total BVG Cash (5 Years)</t>
  </si>
  <si>
    <t>Investor Return Inclusive of Depreciation</t>
  </si>
  <si>
    <t>Estimated Annual Depreciation (100% investors until refi)</t>
  </si>
  <si>
    <t>Estimated Amount of Taxable Income</t>
  </si>
  <si>
    <t>Depreciation Tax Shield</t>
  </si>
  <si>
    <t>Investor Cash Flow with Tax Shield</t>
  </si>
  <si>
    <t>Investor IRR with Depreciation Tax Shield</t>
  </si>
  <si>
    <t>BVG INTERNAL METRICS BELOW (automatically hidden in Investor version)</t>
  </si>
  <si>
    <t xml:space="preserve">In Place NOI </t>
  </si>
  <si>
    <t>Cost of Sale</t>
  </si>
  <si>
    <t>Monthly</t>
  </si>
  <si>
    <t>Less Free Rent To Manager</t>
  </si>
  <si>
    <t>=Total Income</t>
  </si>
  <si>
    <t>Less Year 1 Operating Expenses</t>
  </si>
  <si>
    <t>=In Place Net Operating Income</t>
  </si>
  <si>
    <t>Internal Return Metrics</t>
  </si>
  <si>
    <t>Gross IRR - Unleveraged</t>
  </si>
  <si>
    <t>Gross IRR - Leveraged</t>
  </si>
  <si>
    <t>Investor Equity Multiple</t>
  </si>
  <si>
    <t>Investor Cash</t>
  </si>
  <si>
    <t>BVG Cash</t>
  </si>
  <si>
    <t>Unlevered IRR Calcs (3, 5, 10 Year Hold)</t>
  </si>
  <si>
    <t>Below The Line Items</t>
  </si>
  <si>
    <t>Yr 3 Sale Proceeds</t>
  </si>
  <si>
    <t>Yr 3 Unlevered CF</t>
  </si>
  <si>
    <t>Yr 3 Unlevered IRR</t>
  </si>
  <si>
    <t>Yr 5 Sale Proceeds</t>
  </si>
  <si>
    <t>Yr 5 Unlevered CF</t>
  </si>
  <si>
    <t>Yr 5 Unlevered IRR</t>
  </si>
  <si>
    <t>Yr 10 Sale Proceeds</t>
  </si>
  <si>
    <t>Yr 10 Unlevered CF</t>
  </si>
  <si>
    <t>Yr 10 Unlevered IRR</t>
  </si>
  <si>
    <t>3 year hold waterfall</t>
  </si>
  <si>
    <t>Repay Outstanding Loan</t>
  </si>
  <si>
    <t>Leveraged Gross IRR (3 year hold)</t>
  </si>
  <si>
    <t>Available After Pref / Return Of Capital</t>
  </si>
  <si>
    <t>Investor IRR (3 Year Hold)</t>
  </si>
  <si>
    <t>Investor Multiple</t>
  </si>
  <si>
    <t>investor cash</t>
  </si>
  <si>
    <t>5 year hold waterfall</t>
  </si>
  <si>
    <t>Leveraged Gross IRR (5 year hold)</t>
  </si>
  <si>
    <t>Investor IRR (5 Year Hold)</t>
  </si>
  <si>
    <t>bvg cash</t>
  </si>
  <si>
    <t>10 year hold waterfall</t>
  </si>
  <si>
    <t>Year 7</t>
  </si>
  <si>
    <t>Year 8</t>
  </si>
  <si>
    <t>Year 9</t>
  </si>
  <si>
    <t>Year 10</t>
  </si>
  <si>
    <t>Leveraged Gross IRR (10 year hold)</t>
  </si>
  <si>
    <t>Investor IRR (10 Year Hold)</t>
  </si>
  <si>
    <t>BVG Internal "to be hidden section" ends here</t>
  </si>
  <si>
    <t>Additional Cash Needs at Close of Escrow</t>
  </si>
  <si>
    <t>Analysis Assumptions / Notes / Questions</t>
  </si>
  <si>
    <t>Closing Costs</t>
  </si>
  <si>
    <t>Escrow, Title, Other</t>
  </si>
  <si>
    <t>Loan Origination Fees</t>
  </si>
  <si>
    <t>Appraisal, Phase I, Survey</t>
  </si>
  <si>
    <t>Reimbursable Direct Due Diligence Costs</t>
  </si>
  <si>
    <t>Loan Legal</t>
  </si>
  <si>
    <t>Buyer's Broker Fee</t>
  </si>
  <si>
    <t>Other Closing Costs</t>
  </si>
  <si>
    <t>Subtotal Closing Costs</t>
  </si>
  <si>
    <t>Immediate Capital Needs</t>
  </si>
  <si>
    <t>Park Entrance Upgrades</t>
  </si>
  <si>
    <t>Signage Upgrades</t>
  </si>
  <si>
    <t>Landscaping</t>
  </si>
  <si>
    <t>Roads / Asphalt</t>
  </si>
  <si>
    <t>Tree Work</t>
  </si>
  <si>
    <t>Office / Clubhouse</t>
  </si>
  <si>
    <t>Water Meter Installation</t>
  </si>
  <si>
    <t>Manager's Residence</t>
  </si>
  <si>
    <t>Home Removal</t>
  </si>
  <si>
    <t>Lot Preparation</t>
  </si>
  <si>
    <t>New Home Installation</t>
  </si>
  <si>
    <t>Used Home Remodel</t>
  </si>
  <si>
    <t>Operating Capital</t>
  </si>
  <si>
    <t>Utility Deposits</t>
  </si>
  <si>
    <t>Other Capital Needs</t>
  </si>
  <si>
    <t>Subtotal Immediate Capital Needs</t>
  </si>
  <si>
    <t>Total Additional Cash at Close of Escrow</t>
  </si>
  <si>
    <t>Depreciation</t>
  </si>
  <si>
    <t>Category</t>
  </si>
  <si>
    <t>Schedule</t>
  </si>
  <si>
    <t>Value</t>
  </si>
  <si>
    <t>Land Allocation (As Appraised)</t>
  </si>
  <si>
    <t>Buildings Non-Residential</t>
  </si>
  <si>
    <t>39 years</t>
  </si>
  <si>
    <t>Storage / mailboxes</t>
  </si>
  <si>
    <t>Office</t>
  </si>
  <si>
    <t>Laundry</t>
  </si>
  <si>
    <t>Subtotal Non-Residential</t>
  </si>
  <si>
    <t>Buildings Residential</t>
  </si>
  <si>
    <t>27.5 years</t>
  </si>
  <si>
    <t>avg value each</t>
  </si>
  <si>
    <t>POH (qty)</t>
  </si>
  <si>
    <t>Subtotal Residential</t>
  </si>
  <si>
    <t>Infrastructure</t>
  </si>
  <si>
    <t>15 years</t>
  </si>
  <si>
    <t xml:space="preserve">First Year Bonus Depreciation </t>
  </si>
  <si>
    <t>Year 1 NOI</t>
  </si>
  <si>
    <t>Year 1 Taxable income</t>
  </si>
  <si>
    <t>Housing / Economic Summary</t>
  </si>
  <si>
    <t>Historical Population</t>
  </si>
  <si>
    <t>Economy</t>
  </si>
  <si>
    <t>Zillow Home Value Index</t>
  </si>
  <si>
    <t>Apartment Rents</t>
  </si>
  <si>
    <t>1bd</t>
  </si>
  <si>
    <t>2bd</t>
  </si>
  <si>
    <t>3bd</t>
  </si>
  <si>
    <t>Avg. Rents</t>
  </si>
  <si>
    <t xml:space="preserve">Median Home Price </t>
  </si>
  <si>
    <t>Population</t>
  </si>
  <si>
    <t>Median HH Income</t>
  </si>
  <si>
    <t>Major Employers</t>
  </si>
  <si>
    <t>Park Info</t>
  </si>
  <si>
    <t>Year (ish) Built</t>
  </si>
  <si>
    <t>Rent Roll</t>
  </si>
  <si>
    <t>Park Name - Address</t>
  </si>
  <si>
    <t>POH Value</t>
  </si>
  <si>
    <t>Asking Price</t>
  </si>
  <si>
    <t># Pads</t>
  </si>
  <si>
    <t># POH</t>
  </si>
  <si>
    <t># Occupied</t>
  </si>
  <si>
    <t># Occupied POH</t>
  </si>
  <si>
    <t>Space Rent</t>
  </si>
  <si>
    <t>Avg. POH Rent</t>
  </si>
  <si>
    <t>Vacancy Overide</t>
  </si>
  <si>
    <t>Less Vacancy</t>
  </si>
  <si>
    <t>Misc. Income</t>
  </si>
  <si>
    <t>Estimated Gross Income</t>
  </si>
  <si>
    <t>POH Opex %</t>
  </si>
  <si>
    <t>Opex %</t>
  </si>
  <si>
    <t>POH Operating Expenses</t>
  </si>
  <si>
    <t>Operating Expenses</t>
  </si>
  <si>
    <t>POH NOI</t>
  </si>
  <si>
    <t>BVG POH Cap Rate</t>
  </si>
  <si>
    <t>BVG Cap Rate</t>
  </si>
  <si>
    <t>BVG POH Price</t>
  </si>
  <si>
    <t>BVG Stabilized Value</t>
  </si>
  <si>
    <t>POH/Park Blended</t>
  </si>
  <si>
    <t>Stab Vacancy Rate</t>
  </si>
  <si>
    <t>POH LTV</t>
  </si>
  <si>
    <t>POH Loan Interest Rate</t>
  </si>
  <si>
    <t>POH Loan Term (Years)</t>
  </si>
  <si>
    <t>Gross Potential Rent</t>
  </si>
  <si>
    <t>POH Loan Payment</t>
  </si>
  <si>
    <t>Initial Equity (POH+Park)</t>
  </si>
  <si>
    <t>5 Yr Avg. COC%</t>
  </si>
  <si>
    <t>Equity After Refi</t>
  </si>
  <si>
    <t>Cash Flowed Equity</t>
  </si>
  <si>
    <t>% Equity Returned</t>
  </si>
  <si>
    <t>BVG Park + POH Price</t>
  </si>
  <si>
    <t>5 Year Equity Return</t>
  </si>
  <si>
    <t>5 Yr Avg COC %</t>
  </si>
  <si>
    <t>Initial Equity</t>
  </si>
  <si>
    <t>Refi Equity Distribution</t>
  </si>
  <si>
    <t xml:space="preserve">Profit </t>
  </si>
  <si>
    <t>initial loan</t>
  </si>
  <si>
    <t>refi loan</t>
  </si>
  <si>
    <t>refi proceeds distribution</t>
  </si>
  <si>
    <t>plus cash flow equity</t>
  </si>
  <si>
    <t>total equity distributed</t>
  </si>
  <si>
    <t>% equity returned</t>
  </si>
  <si>
    <t>Escrow Funding Summary</t>
  </si>
  <si>
    <t>Funds Due To Escrow To Close</t>
  </si>
  <si>
    <t>Fill in from settlement statement</t>
  </si>
  <si>
    <t>Funds To Transfer to Ownerhip LLC</t>
  </si>
  <si>
    <t>Projected Due Diligence Cost Reimbusement to BVG</t>
  </si>
  <si>
    <t>Refund Earnest Money to BVG</t>
  </si>
  <si>
    <t>Immediate Capital Needs to Reserve</t>
  </si>
  <si>
    <t>Other Items / Adjustments</t>
  </si>
  <si>
    <t>Use if necessary</t>
  </si>
  <si>
    <t>Total To Transfer to Ownership LLC</t>
  </si>
  <si>
    <t>Projected LLC Account Balance Post COE</t>
  </si>
  <si>
    <t>Park Owned Home Summary</t>
  </si>
  <si>
    <t>POH Income</t>
  </si>
  <si>
    <t>NOI w/POH Rent</t>
  </si>
  <si>
    <t>POH to Gross Income Ratio</t>
  </si>
  <si>
    <t>POH to NOI Ratio</t>
  </si>
  <si>
    <t>Cap Rate with POH Income</t>
  </si>
  <si>
    <t>Seller Carry POH Note Amount</t>
  </si>
  <si>
    <t>Down Pmt</t>
  </si>
  <si>
    <t>Term</t>
  </si>
  <si>
    <t>Amortization</t>
  </si>
  <si>
    <t>Pmt</t>
  </si>
  <si>
    <t>Yearly Pmt</t>
  </si>
  <si>
    <t>POH List</t>
  </si>
  <si>
    <t>Rental Rate Summary</t>
  </si>
  <si>
    <t>Historial Inc</t>
  </si>
  <si>
    <t>BVG Yr 1</t>
  </si>
  <si>
    <t>Income Summary</t>
  </si>
  <si>
    <t>Less Free Rent/Utilities to Manager</t>
  </si>
  <si>
    <t>Total Income</t>
  </si>
  <si>
    <t>Expense Summary</t>
  </si>
  <si>
    <t>Salary Exp</t>
  </si>
  <si>
    <t>Property Taxes (Add Description of Assumptions)</t>
  </si>
  <si>
    <t>Total Operating Expenses</t>
  </si>
  <si>
    <t>Ratio</t>
  </si>
  <si>
    <t>Net Operating Income</t>
  </si>
  <si>
    <t>Addititional Park Owned Home NOI</t>
  </si>
  <si>
    <t>Historical Income / Expense Data Entry Form</t>
  </si>
  <si>
    <t>List Data for Proforma (Do Not Change)</t>
  </si>
  <si>
    <t>Deal Name</t>
  </si>
  <si>
    <t>Current Year</t>
  </si>
  <si>
    <t>Three Past Years</t>
  </si>
  <si>
    <t>2022 Annualized</t>
  </si>
  <si>
    <t>Date of Statement</t>
  </si>
  <si>
    <t># of Months for YTD</t>
  </si>
  <si>
    <t>Historical Income Data Entry</t>
  </si>
  <si>
    <t xml:space="preserve">BVG </t>
  </si>
  <si>
    <t>YTD</t>
  </si>
  <si>
    <t xml:space="preserve">Annualized </t>
  </si>
  <si>
    <t>Broker</t>
  </si>
  <si>
    <t>Historical Income Entry</t>
  </si>
  <si>
    <t>Account#</t>
  </si>
  <si>
    <t>Projection</t>
  </si>
  <si>
    <t>BVG Account Name</t>
  </si>
  <si>
    <t>Notes</t>
  </si>
  <si>
    <t>potential rent</t>
  </si>
  <si>
    <t>MH Space Rent Tier 1</t>
  </si>
  <si>
    <t>less vacancy</t>
  </si>
  <si>
    <t>RV Space Rent Permanent</t>
  </si>
  <si>
    <t>fees and charges</t>
  </si>
  <si>
    <t>RV Space Rent Temporary</t>
  </si>
  <si>
    <t>utility reimbursements</t>
  </si>
  <si>
    <t>Vacancy Loss</t>
  </si>
  <si>
    <t>collection incom</t>
  </si>
  <si>
    <t>custodial unit</t>
  </si>
  <si>
    <t>misc operating income</t>
  </si>
  <si>
    <t>loss income</t>
  </si>
  <si>
    <t>Free Rent to Manager</t>
  </si>
  <si>
    <t>Totals for Checksum</t>
  </si>
  <si>
    <t>Historical Expenses Data Entry</t>
  </si>
  <si>
    <t>Historical Expenses Entry</t>
  </si>
  <si>
    <t>advertising and promo</t>
  </si>
  <si>
    <t>Manager/Maint (Fill In Description of Assumptions))</t>
  </si>
  <si>
    <t>eviction</t>
  </si>
  <si>
    <t>management fee</t>
  </si>
  <si>
    <t>office exp</t>
  </si>
  <si>
    <t>Postage</t>
  </si>
  <si>
    <t>phone</t>
  </si>
  <si>
    <t>This can be tricky on YTD statements as is often paid twice per year.</t>
  </si>
  <si>
    <t>custodian</t>
  </si>
  <si>
    <t>electrical repair</t>
  </si>
  <si>
    <t>gas repair</t>
  </si>
  <si>
    <t>general maint</t>
  </si>
  <si>
    <t>lawn</t>
  </si>
  <si>
    <t xml:space="preserve">Maintenance $250 per space </t>
  </si>
  <si>
    <t>maint supply</t>
  </si>
  <si>
    <t>plumbing repairs and supply</t>
  </si>
  <si>
    <t>snow removal</t>
  </si>
  <si>
    <t>gasoline</t>
  </si>
  <si>
    <t>equipment rental</t>
  </si>
  <si>
    <t>Biling Software</t>
  </si>
  <si>
    <t>electric</t>
  </si>
  <si>
    <t>gas</t>
  </si>
  <si>
    <t>water and sewer usage</t>
  </si>
  <si>
    <t>water treatment sys</t>
  </si>
  <si>
    <t>sewer treatment sys</t>
  </si>
  <si>
    <t>refuse collection</t>
  </si>
  <si>
    <t>insurance</t>
  </si>
  <si>
    <t>RE tax</t>
  </si>
  <si>
    <t>Professional Mgmt ($2,000/mo or 5%)</t>
  </si>
  <si>
    <t>commercial act tax</t>
  </si>
  <si>
    <t>licenses and fees</t>
  </si>
  <si>
    <t>Advertising &amp; Promotion</t>
  </si>
  <si>
    <t>Eviction Costs</t>
  </si>
  <si>
    <t>Management Fees</t>
  </si>
  <si>
    <t>Office Expenses</t>
  </si>
  <si>
    <t>Telephone</t>
  </si>
  <si>
    <t>Custodian/Benefits</t>
  </si>
  <si>
    <t>Electrical Repair/Supply</t>
  </si>
  <si>
    <t>Gas Repairs</t>
  </si>
  <si>
    <t>General Maint &amp; Repairs</t>
  </si>
  <si>
    <t>Lawn &amp; Ground Maint</t>
  </si>
  <si>
    <t>Maintenance Parts/Supply</t>
  </si>
  <si>
    <t>Plumbing Repairs &amp; Supply</t>
  </si>
  <si>
    <t>Snow Removal</t>
  </si>
  <si>
    <t>Gasoline</t>
  </si>
  <si>
    <t>Equipment Manit/Rental</t>
  </si>
  <si>
    <t>Gas</t>
  </si>
  <si>
    <t>Water &amp; Sewer Usage</t>
  </si>
  <si>
    <t>Water Treatment System</t>
  </si>
  <si>
    <t>Sewer Treatment System</t>
  </si>
  <si>
    <t>Refuse Collection</t>
  </si>
  <si>
    <t>Insurance</t>
  </si>
  <si>
    <t>Real Estate Taxes</t>
  </si>
  <si>
    <t>Commerical Act Tax</t>
  </si>
  <si>
    <t>Licenses and Fees</t>
  </si>
  <si>
    <t>Historical Income Analysis Summary</t>
  </si>
  <si>
    <t>Broker Projection</t>
  </si>
  <si>
    <t>BVG Projection vs.</t>
  </si>
  <si>
    <t>Income Item</t>
  </si>
  <si>
    <t>Average Historical</t>
  </si>
  <si>
    <t>Gross Rental Income</t>
  </si>
  <si>
    <t xml:space="preserve"> </t>
  </si>
  <si>
    <t>Broker Compared to T12</t>
  </si>
  <si>
    <t xml:space="preserve">    Less Vacancy Loss</t>
  </si>
  <si>
    <t>Broker Compared to YTD Annualized</t>
  </si>
  <si>
    <t>YOY Change</t>
  </si>
  <si>
    <t>Less Free Rent / Utilities To Manager</t>
  </si>
  <si>
    <t>Historical Expense Analysis Summary</t>
  </si>
  <si>
    <t>Expense Item</t>
  </si>
  <si>
    <t>BVG Yr 1 Projection</t>
  </si>
  <si>
    <t>Lookup</t>
  </si>
  <si>
    <t>Manager/Maint Salary Expense</t>
  </si>
  <si>
    <t xml:space="preserve">Phone/Cable </t>
  </si>
  <si>
    <t xml:space="preserve">Property Taxes </t>
  </si>
  <si>
    <t xml:space="preserve">Professional Mgmt </t>
  </si>
  <si>
    <t>Total Expenses</t>
  </si>
  <si>
    <t>Operating Expense / Income Ratio</t>
  </si>
  <si>
    <t>Utility Leakage Analysis</t>
  </si>
  <si>
    <t>Overall Utility Leakage</t>
  </si>
  <si>
    <t>Utility Reimbursement Income</t>
  </si>
  <si>
    <t>Utility Expense</t>
  </si>
  <si>
    <t>Utility Leakage</t>
  </si>
  <si>
    <t>% Utility Reimbursed</t>
  </si>
  <si>
    <t>Electricity Leakage</t>
  </si>
  <si>
    <t>Electricity Reimbursement Income</t>
  </si>
  <si>
    <t>Electricity Expense</t>
  </si>
  <si>
    <t>Electrcity Leakage</t>
  </si>
  <si>
    <t>% Electricity Reimbursed</t>
  </si>
  <si>
    <t>Gas Leakage</t>
  </si>
  <si>
    <t>Gas Reimbursement Income</t>
  </si>
  <si>
    <t>Gas Expense</t>
  </si>
  <si>
    <t>% Gas Reimbursed</t>
  </si>
  <si>
    <t>Trash Leakage</t>
  </si>
  <si>
    <t>Trash Reimbursement Income</t>
  </si>
  <si>
    <t>Trash Expense</t>
  </si>
  <si>
    <t>% Trash Reimbursed</t>
  </si>
  <si>
    <t>Sewer Leakage</t>
  </si>
  <si>
    <t>Sewer Reimbursement Income</t>
  </si>
  <si>
    <t>Sewer Expense</t>
  </si>
  <si>
    <t>% Sewer Reimbursed</t>
  </si>
  <si>
    <t>Water Leakage</t>
  </si>
  <si>
    <t>Water Reimbursement Income</t>
  </si>
  <si>
    <t>Water Expense</t>
  </si>
  <si>
    <t>% Water Reimbursed</t>
  </si>
  <si>
    <t>Combined Sewer/Water Leakage</t>
  </si>
  <si>
    <t>Combined Sewer/Water Reimbursement Income</t>
  </si>
  <si>
    <t>Combined Sewer/Water Expense</t>
  </si>
  <si>
    <t>% Combined Sewer/Water Reimbursed</t>
  </si>
  <si>
    <t>don't delete - needed for chart names</t>
  </si>
  <si>
    <t>Income Account Codes</t>
  </si>
  <si>
    <t>May be included with Mobile Home income under a single line item</t>
  </si>
  <si>
    <r>
      <rPr>
        <sz val="11"/>
        <color rgb="FFFF0000"/>
        <rFont val="Calibri"/>
        <family val="2"/>
        <scheme val="minor"/>
      </rPr>
      <t>Enter as a negative amount.</t>
    </r>
    <r>
      <rPr>
        <sz val="10"/>
        <rFont val="Arial"/>
        <family val="2"/>
      </rPr>
      <t xml:space="preserve"> Usually will not be shown on historical financial statements. Will appear on broker projections</t>
    </r>
  </si>
  <si>
    <t>Income from passing through utility costs to the residents</t>
  </si>
  <si>
    <t>Other income. Would include storage income</t>
  </si>
  <si>
    <t>Enter this as a negative amount</t>
  </si>
  <si>
    <t>The BoaVida Group - Chart of Expense Accounts</t>
  </si>
  <si>
    <t>Acct#</t>
  </si>
  <si>
    <t>Name</t>
  </si>
  <si>
    <t>Description</t>
  </si>
  <si>
    <t>Actual wages paid. May or may not include benefits and payroll taxes</t>
  </si>
  <si>
    <t>Usually will not see these in historical financial statements</t>
  </si>
  <si>
    <t>Usually will not see this in historical financial statements</t>
  </si>
  <si>
    <t>This can be either / both electricity provided to the mobile home or electricity for common area items (like streetlights)</t>
  </si>
  <si>
    <t>This is usually expense for natural gas provided to the homes</t>
  </si>
  <si>
    <t>Expense for trash collection (can also be called rubbish or sanitation)</t>
  </si>
  <si>
    <t>Expense for sewer costs to the mobile home park</t>
  </si>
  <si>
    <t>Expense for water costs to the mobile home park</t>
  </si>
  <si>
    <t>Expenses for phone service and/or internet service for the park or the park office</t>
  </si>
  <si>
    <t>Miscellaneous travel services</t>
  </si>
  <si>
    <t>Repairs &amp; Maintenance / Capex Reserve</t>
  </si>
  <si>
    <t>This is a "reserve" account for future capital expenditures. We usually will not see this on historical financial statements</t>
  </si>
  <si>
    <t>Mainly expenses for repairs where an outside contractor (i.e. not a park employee) is used</t>
  </si>
  <si>
    <t>Mainly expenses for landcaping, etc where an outside contractor (i.e. not a park employee) is used</t>
  </si>
  <si>
    <t>This is a internal expense, and we will usually not see this on historical financial statements.</t>
  </si>
  <si>
    <t>Expenses for outside lawyers. Often will not be included on historical financial statements</t>
  </si>
  <si>
    <t>Expense for the ownership entity. Usually will not be included on historical financial statements.</t>
  </si>
  <si>
    <t>Expense for adverstising for the park. Often will not be included on historial financial statements.</t>
  </si>
  <si>
    <t>This may or may not be found on historical financial statements.</t>
  </si>
  <si>
    <t>This expense is usually related to license fees paid to government agencies and municipalities.</t>
  </si>
  <si>
    <t>These are bank fees and credit card fees. These often will not be included on historical financial statements.</t>
  </si>
  <si>
    <t>This account is kind of a "catch all" for other expenses (usually small)</t>
  </si>
  <si>
    <t>This expense is for 3rd party management and will often be called "Management Fee"</t>
  </si>
  <si>
    <t>LOI and Contract Fields</t>
  </si>
  <si>
    <t>ContractDate</t>
  </si>
  <si>
    <t>ParkName</t>
  </si>
  <si>
    <t>ParkAddress</t>
  </si>
  <si>
    <t>Buyer</t>
  </si>
  <si>
    <t>Seller</t>
  </si>
  <si>
    <t>PurchasePrice</t>
  </si>
  <si>
    <t>PurchasePriceWords</t>
  </si>
  <si>
    <t>Deposit</t>
  </si>
  <si>
    <t>DepositWords</t>
  </si>
  <si>
    <t>DownPayment</t>
  </si>
  <si>
    <t>DownPaymentWords</t>
  </si>
  <si>
    <t>DownPayment%</t>
  </si>
  <si>
    <t>Financing</t>
  </si>
  <si>
    <t>FinancingWords</t>
  </si>
  <si>
    <t>Financing%</t>
  </si>
  <si>
    <t>InspectionPeriod</t>
  </si>
  <si>
    <t>InspectionPeriodWords</t>
  </si>
  <si>
    <t>LoanContingency</t>
  </si>
  <si>
    <t>LoanContingencyWords</t>
  </si>
  <si>
    <t>COE</t>
  </si>
  <si>
    <t>COEWords</t>
  </si>
  <si>
    <t>ExpirationDate</t>
  </si>
  <si>
    <t>TitleCo</t>
  </si>
  <si>
    <t>GoverningState</t>
  </si>
  <si>
    <t>BrokerName</t>
  </si>
  <si>
    <t>Contract Date</t>
  </si>
  <si>
    <t>Park Name</t>
  </si>
  <si>
    <t>Park Address</t>
  </si>
  <si>
    <t>Elias Weiner</t>
  </si>
  <si>
    <t>Owner of Record</t>
  </si>
  <si>
    <t>Purchase Price Words</t>
  </si>
  <si>
    <t xml:space="preserve">One Million  </t>
  </si>
  <si>
    <t>Deposit Words</t>
  </si>
  <si>
    <t>Twenty Thousand</t>
  </si>
  <si>
    <t>Down Payment</t>
  </si>
  <si>
    <t>Down Payment Words</t>
  </si>
  <si>
    <t>Three Hundred Thousand</t>
  </si>
  <si>
    <t>Down Payment %</t>
  </si>
  <si>
    <t>Financing Words</t>
  </si>
  <si>
    <t>Seven Hundred Thousand</t>
  </si>
  <si>
    <t>Financing %</t>
  </si>
  <si>
    <t>Inspection Period</t>
  </si>
  <si>
    <t>Inspection Period Words</t>
  </si>
  <si>
    <t>Forty-Five</t>
  </si>
  <si>
    <t>Loan Contingency</t>
  </si>
  <si>
    <t>Loan Contingency Words</t>
  </si>
  <si>
    <t>Seventy-Five</t>
  </si>
  <si>
    <t>COE Words</t>
  </si>
  <si>
    <t>Ninety</t>
  </si>
  <si>
    <t>Expiration Date</t>
  </si>
  <si>
    <t>Title Company</t>
  </si>
  <si>
    <t>Old Republic Title</t>
  </si>
  <si>
    <t>Governing Law State</t>
  </si>
  <si>
    <t>California</t>
  </si>
  <si>
    <t>Broker Name</t>
  </si>
  <si>
    <t>Enter Broker Name Here</t>
  </si>
  <si>
    <t>PARTNERSHIP LEVEL RETURNS - EQUITY WATERFALL</t>
  </si>
  <si>
    <t>Promote Structure Method</t>
  </si>
  <si>
    <t>IRR</t>
  </si>
  <si>
    <t>Exit Year</t>
  </si>
  <si>
    <t>Return of Capital</t>
  </si>
  <si>
    <t>Pari Passu</t>
  </si>
  <si>
    <t>Refi Year</t>
  </si>
  <si>
    <t>Do not refi in exit year</t>
  </si>
  <si>
    <t>Equity Contributions</t>
  </si>
  <si>
    <t>%</t>
  </si>
  <si>
    <t>Amount</t>
  </si>
  <si>
    <t>Exit Cap Rate</t>
  </si>
  <si>
    <t>matches refi rate on proforma</t>
  </si>
  <si>
    <t>GP</t>
  </si>
  <si>
    <t>Error Check:</t>
  </si>
  <si>
    <t>LP Investors</t>
  </si>
  <si>
    <t>Profit Dist.:</t>
  </si>
  <si>
    <t>Total Equity</t>
  </si>
  <si>
    <t>Net BTCF:</t>
  </si>
  <si>
    <t>Promote Structure Incentive Breakdown</t>
  </si>
  <si>
    <t>Distribution as %</t>
  </si>
  <si>
    <t>GP %</t>
  </si>
  <si>
    <t>LP %</t>
  </si>
  <si>
    <t>Hurdle 1 (Preferred Return)</t>
  </si>
  <si>
    <t>Equity Multiple</t>
  </si>
  <si>
    <t>Pref</t>
  </si>
  <si>
    <t>GP Promote</t>
  </si>
  <si>
    <t>Hurdle 2</t>
  </si>
  <si>
    <t>Hurdle 3</t>
  </si>
  <si>
    <t>Hurdle 4</t>
  </si>
  <si>
    <t>Summary of Investor Level Returns</t>
  </si>
  <si>
    <t>Limited Partner (LP) Returns</t>
  </si>
  <si>
    <t>Total LP Distributions</t>
  </si>
  <si>
    <t>Total LP Contributions</t>
  </si>
  <si>
    <t>Total LP Profit</t>
  </si>
  <si>
    <t>LP IRR</t>
  </si>
  <si>
    <t>LP Equity Multiple</t>
  </si>
  <si>
    <t>GP Returns</t>
  </si>
  <si>
    <t>Total GP Distributions (Co-Inv. &amp; Promote)</t>
  </si>
  <si>
    <t>Total GP Co-Invest Distributions</t>
  </si>
  <si>
    <t>Total GP Promote Distributions</t>
  </si>
  <si>
    <t>Total GP Fees</t>
  </si>
  <si>
    <t>Total GP Contributions</t>
  </si>
  <si>
    <t>Total GP Profit</t>
  </si>
  <si>
    <t>GP IRR</t>
  </si>
  <si>
    <t>GP Equity Multiple</t>
  </si>
  <si>
    <t>Net Cash Flow For Distribution</t>
  </si>
  <si>
    <t>Year Ending</t>
  </si>
  <si>
    <t>Net Levered Before Tax Cash Flow</t>
  </si>
  <si>
    <t>Asset Management Fees</t>
  </si>
  <si>
    <t>Acquisition Fees</t>
  </si>
  <si>
    <t>Disposition Fees</t>
  </si>
  <si>
    <t>CS (Investor Fee)</t>
  </si>
  <si>
    <t># of investors ($200/yr)</t>
  </si>
  <si>
    <t>CS (Solution Deployment Fee)</t>
  </si>
  <si>
    <t>Sales Commission (Expense)</t>
  </si>
  <si>
    <t>Closing Cost (Expense)</t>
  </si>
  <si>
    <t>Adjusted Levered Before Tax Cash Flow</t>
  </si>
  <si>
    <t>Levered IRR</t>
  </si>
  <si>
    <t>Return of Capital &amp; Hurdle 1 (Preferred Return)</t>
  </si>
  <si>
    <t>Return Threshold - Up to:</t>
  </si>
  <si>
    <t>Beginning Balance (LP Capital Account)</t>
  </si>
  <si>
    <t>LP Return of Capital</t>
  </si>
  <si>
    <t>Req'd Return by LP to hit Hurdle 1</t>
  </si>
  <si>
    <t>Contributions from LP</t>
  </si>
  <si>
    <t>Distributions to LP (Hurdle 1)</t>
  </si>
  <si>
    <t>Ending Balance (LP Capital Account)</t>
  </si>
  <si>
    <t>Distribution to LP</t>
  </si>
  <si>
    <t>Beginning Balance (GP Capital Account)</t>
  </si>
  <si>
    <t>Req'd Return by GP (Pref)</t>
  </si>
  <si>
    <t>Contributions from GP</t>
  </si>
  <si>
    <t>Distribution to GP</t>
  </si>
  <si>
    <t>Ending Balance (GP Capital Account)</t>
  </si>
  <si>
    <t>Cash Flow Remaining</t>
  </si>
  <si>
    <t>Req'd Return by LP to hit Hurdle 2</t>
  </si>
  <si>
    <t>Prior Distributions</t>
  </si>
  <si>
    <t>.</t>
  </si>
  <si>
    <t>Req'd Return by LP to hit Hurdle 3</t>
  </si>
  <si>
    <t>Return Threshold - Greater than: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</si>
</sst>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&quot;$&quot;* #,##0_);_(&quot;$&quot;* \(#,##0\);_(&quot;$&quot;* &quot;-&quot;??_);_(@_)"/>
    <numFmt numFmtId="167" formatCode="0.000000%"/>
    <numFmt numFmtId="168" formatCode="0%\ &quot;LTV&quot;"/>
    <numFmt numFmtId="169" formatCode="_-&quot;$&quot;* #,##0_-;\-&quot;$&quot;* #,##0_-;_-&quot;$&quot;* &quot;-&quot;??_-;_-@_-"/>
    <numFmt numFmtId="170" formatCode="0.0&quot;x&quot;"/>
    <numFmt numFmtId="171" formatCode="&quot;Year&quot;\ 0"/>
    <numFmt numFmtId="172" formatCode="0.0"/>
    <numFmt numFmtId="173" formatCode="_(&quot;$&quot;* #,##0_);_(&quot;$&quot;* \(#,##0\);_(&quot;$&quot;* &quot;-&quot;?_);_(@_)"/>
    <numFmt numFmtId="174" formatCode="&quot;Vac. Sp=&quot;0.0"/>
    <numFmt numFmtId="175" formatCode="#,##0.0"/>
    <numFmt numFmtId="176" formatCode="[$-409]mmmm\ d\,\ yyyy;@"/>
    <numFmt numFmtId="177" formatCode="&quot;$&quot;#,##0"/>
    <numFmt numFmtId="178" formatCode="0.00&quot;X&quot;"/>
    <numFmt numFmtId="179" formatCode="&quot;v&quot;0.00"/>
    <numFmt numFmtId="180" formatCode="0.000&quot;MM&quot;"/>
    <numFmt numFmtId="181" formatCode="&quot; Up to &quot;0.0%\ \I\R\R&quot; to LP&quot;"/>
    <numFmt numFmtId="182" formatCode="&quot;&gt;&quot;\ 0.00&quot;X EM to LP&quot;"/>
    <numFmt numFmtId="183" formatCode="&quot;&gt;&quot;\ 0.0%\ \I\R\R&quot; to LP&quot;"/>
    <numFmt numFmtId="184" formatCode="&quot; up to &quot;0.0%\ \I\R\R&quot; to LP&quot;"/>
    <numFmt numFmtId="185" formatCode="0.00&quot;x&quot;"/>
    <numFmt numFmtId="186" formatCode="[$-409]d\-mmm\-yy;@"/>
    <numFmt numFmtId="187" formatCode="&quot;IRR Error Check -&quot;\ 0.0%"/>
    <numFmt numFmtId="188" formatCode="&quot;$&quot;#,##0.00"/>
    <numFmt numFmtId="189" formatCode="#,##0.00\x"/>
    <numFmt numFmtId="190" formatCode="0.000000000000000"/>
    <numFmt numFmtId="191" formatCode="&quot;Cap Rate &quot;0.00%"/>
    <numFmt numFmtId="192" formatCode="&quot;$/Pad $&quot;###,###"/>
    <numFmt numFmtId="193" formatCode="&quot;$/Home $&quot;###,###"/>
    <numFmt numFmtId="194" formatCode="&quot;$/Occ. $&quot;###,###"/>
    <numFmt numFmtId="195" formatCode="&quot;Ratio &quot;0.000%"/>
  </numFmts>
  <fonts count="113" x14ac:knownFonts="1">
    <font>
      <sz val="10"/>
      <name val="Arial"/>
    </font>
    <font>
      <sz val="11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rgb="FF0000FF"/>
      <name val="Arial"/>
      <family val="2"/>
    </font>
    <font>
      <i/>
      <sz val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i/>
      <sz val="8"/>
      <name val="Arial"/>
      <family val="2"/>
    </font>
    <font>
      <b/>
      <i/>
      <sz val="9"/>
      <name val="Arial"/>
      <family val="2"/>
    </font>
    <font>
      <i/>
      <u val="singleAccounting"/>
      <sz val="9"/>
      <name val="Arial"/>
      <family val="2"/>
    </font>
    <font>
      <i/>
      <u/>
      <sz val="9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i/>
      <sz val="10"/>
      <name val="Arial"/>
      <family val="2"/>
    </font>
    <font>
      <sz val="10"/>
      <color theme="4"/>
      <name val="Arial"/>
      <family val="2"/>
    </font>
    <font>
      <b/>
      <i/>
      <sz val="8"/>
      <name val="Arial"/>
      <family val="2"/>
    </font>
    <font>
      <sz val="10"/>
      <color theme="1" tint="0.499984740745262"/>
      <name val="Arial"/>
      <family val="2"/>
    </font>
    <font>
      <sz val="10"/>
      <name val="Calibri"/>
      <family val="2"/>
      <scheme val="minor"/>
    </font>
    <font>
      <sz val="10"/>
      <color rgb="FF000000"/>
      <name val="Times New Roman"/>
      <family val="1"/>
    </font>
    <font>
      <sz val="11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</font>
    <font>
      <b/>
      <sz val="10"/>
      <name val="Calibri"/>
      <family val="2"/>
    </font>
    <font>
      <u val="singleAccounting"/>
      <sz val="10"/>
      <name val="Calibri"/>
      <family val="2"/>
      <scheme val="minor"/>
    </font>
    <font>
      <b/>
      <sz val="10"/>
      <color rgb="FFFFFF00"/>
      <name val="Arial"/>
      <family val="2"/>
    </font>
    <font>
      <b/>
      <i/>
      <sz val="9"/>
      <color theme="0"/>
      <name val="Arial"/>
      <family val="2"/>
    </font>
    <font>
      <b/>
      <sz val="11"/>
      <color rgb="FFFFFF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7030A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color theme="9" tint="-0.249977111117893"/>
      <name val="Arial"/>
      <family val="2"/>
    </font>
    <font>
      <sz val="9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rgb="FF7030A0"/>
      <name val="Calibri"/>
      <family val="2"/>
      <scheme val="minor"/>
    </font>
    <font>
      <b/>
      <i/>
      <sz val="8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i/>
      <sz val="6"/>
      <color theme="0"/>
      <name val="Arial"/>
      <family val="2"/>
    </font>
    <font>
      <sz val="10"/>
      <color theme="3" tint="-0.249977111117893"/>
      <name val="Arial"/>
      <family val="2"/>
    </font>
    <font>
      <b/>
      <sz val="10"/>
      <color rgb="FFFF0000"/>
      <name val="Arial"/>
      <family val="2"/>
    </font>
    <font>
      <sz val="11"/>
      <name val="Arial"/>
      <family val="1"/>
    </font>
    <font>
      <sz val="11"/>
      <color indexed="8"/>
      <name val="Calibri"/>
      <family val="2"/>
      <scheme val="minor"/>
    </font>
    <font>
      <i/>
      <sz val="8"/>
      <color theme="4" tint="-0.249977111117893"/>
      <name val="Arial"/>
      <family val="2"/>
    </font>
    <font>
      <i/>
      <sz val="9"/>
      <color theme="4" tint="-0.249977111117893"/>
      <name val="Arial"/>
      <family val="2"/>
    </font>
    <font>
      <i/>
      <sz val="8"/>
      <color rgb="FFFF0000"/>
      <name val="Arial"/>
      <family val="2"/>
    </font>
    <font>
      <i/>
      <sz val="10"/>
      <color rgb="FF0000FF"/>
      <name val="Arial"/>
      <family val="2"/>
    </font>
    <font>
      <sz val="10"/>
      <color theme="0" tint="-0.14999847407452621"/>
      <name val="Arial"/>
      <family val="2"/>
    </font>
    <font>
      <i/>
      <sz val="10"/>
      <color theme="0" tint="-0.14999847407452621"/>
      <name val="Arial"/>
      <family val="2"/>
    </font>
    <font>
      <b/>
      <sz val="14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12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124579"/>
      <name val="Calibri"/>
      <family val="2"/>
      <scheme val="minor"/>
    </font>
    <font>
      <sz val="10"/>
      <color rgb="FF124579"/>
      <name val="Arial"/>
      <family val="2"/>
    </font>
    <font>
      <b/>
      <sz val="9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9"/>
      <color theme="4" tint="-0.499984740745262"/>
      <name val="Arial"/>
      <family val="2"/>
    </font>
    <font>
      <i/>
      <sz val="9"/>
      <color theme="4" tint="-0.499984740745262"/>
      <name val="Arial"/>
      <family val="2"/>
    </font>
    <font>
      <sz val="9"/>
      <color theme="9" tint="-0.499984740745262"/>
      <name val="Arial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3"/>
      <name val="Arial"/>
      <family val="2"/>
    </font>
    <font>
      <sz val="9"/>
      <color theme="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Arial"/>
      <family val="2"/>
    </font>
    <font>
      <sz val="10"/>
      <color rgb="FF00B0F0"/>
      <name val="Arial"/>
      <family val="2"/>
    </font>
    <font>
      <sz val="8"/>
      <name val="Arial"/>
      <family val="2"/>
    </font>
    <font>
      <u val="singleAccounting"/>
      <sz val="9"/>
      <name val="Arial"/>
      <family val="2"/>
    </font>
    <font>
      <u/>
      <sz val="9"/>
      <name val="Arial"/>
      <family val="2"/>
    </font>
    <font>
      <sz val="8"/>
      <color theme="4" tint="-0.249977111117893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E42"/>
        <bgColor indexed="64"/>
      </patternFill>
    </fill>
    <fill>
      <patternFill patternType="solid">
        <fgColor rgb="FF124579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 style="medium">
        <color auto="1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indexed="64"/>
      </bottom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ck">
        <color theme="0"/>
      </right>
      <top style="thin">
        <color auto="1"/>
      </top>
      <bottom style="double">
        <color auto="1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 style="double">
        <color auto="1"/>
      </bottom>
      <diagonal/>
    </border>
    <border>
      <left style="thick">
        <color theme="0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</borders>
  <cellStyleXfs count="50">
    <xf numFmtId="0" fontId="0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3" fillId="2" borderId="8" applyNumberFormat="0" applyFont="0" applyProtection="0">
      <alignment horizontal="left" vertical="center"/>
    </xf>
    <xf numFmtId="0" fontId="13" fillId="8" borderId="8" applyNumberFormat="0" applyFont="0" applyProtection="0">
      <alignment horizontal="left" vertical="center"/>
    </xf>
    <xf numFmtId="0" fontId="13" fillId="2" borderId="9" applyNumberFormat="0" applyFont="0" applyProtection="0">
      <alignment horizontal="left" vertical="center"/>
    </xf>
    <xf numFmtId="0" fontId="13" fillId="9" borderId="9" applyNumberFormat="0" applyFont="0" applyProtection="0">
      <alignment horizontal="left" vertical="center"/>
    </xf>
    <xf numFmtId="0" fontId="13" fillId="2" borderId="9" applyNumberFormat="0" applyFont="0" applyProtection="0">
      <alignment horizontal="left" vertical="center"/>
    </xf>
    <xf numFmtId="0" fontId="13" fillId="9" borderId="9" applyNumberFormat="0" applyFont="0" applyProtection="0">
      <alignment horizontal="left" vertical="center"/>
    </xf>
    <xf numFmtId="0" fontId="34" fillId="0" borderId="0"/>
    <xf numFmtId="43" fontId="3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0" borderId="0"/>
    <xf numFmtId="0" fontId="73" fillId="0" borderId="0"/>
    <xf numFmtId="0" fontId="74" fillId="0" borderId="0"/>
    <xf numFmtId="44" fontId="73" fillId="0" borderId="0" applyFont="0" applyFill="0" applyBorder="0" applyAlignment="0" applyProtection="0"/>
    <xf numFmtId="0" fontId="11" fillId="19" borderId="0" applyNumberFormat="0" applyBorder="0" applyAlignment="0" applyProtection="0"/>
    <xf numFmtId="0" fontId="54" fillId="20" borderId="0" applyNumberFormat="0" applyBorder="0" applyAlignment="0" applyProtection="0"/>
    <xf numFmtId="0" fontId="10" fillId="0" borderId="0"/>
    <xf numFmtId="0" fontId="9" fillId="26" borderId="0" applyNumberFormat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/>
    <xf numFmtId="0" fontId="102" fillId="0" borderId="0" applyNumberForma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832">
    <xf numFmtId="0" fontId="0" fillId="0" borderId="0" xfId="0"/>
    <xf numFmtId="0" fontId="18" fillId="0" borderId="0" xfId="5" applyFont="1" applyAlignment="1">
      <alignment horizontal="left" indent="1"/>
    </xf>
    <xf numFmtId="0" fontId="20" fillId="5" borderId="0" xfId="5" applyFont="1" applyFill="1" applyAlignment="1">
      <alignment horizontal="left"/>
    </xf>
    <xf numFmtId="0" fontId="13" fillId="0" borderId="0" xfId="5" applyFont="1"/>
    <xf numFmtId="0" fontId="22" fillId="0" borderId="0" xfId="5" applyFont="1"/>
    <xf numFmtId="0" fontId="18" fillId="0" borderId="0" xfId="0" applyFont="1"/>
    <xf numFmtId="0" fontId="13" fillId="0" borderId="0" xfId="0" applyFont="1"/>
    <xf numFmtId="0" fontId="15" fillId="0" borderId="0" xfId="0" applyFont="1"/>
    <xf numFmtId="165" fontId="13" fillId="0" borderId="0" xfId="1" applyNumberFormat="1"/>
    <xf numFmtId="166" fontId="13" fillId="0" borderId="0" xfId="2" applyNumberFormat="1"/>
    <xf numFmtId="0" fontId="23" fillId="0" borderId="0" xfId="0" applyFont="1" applyAlignment="1">
      <alignment horizontal="right"/>
    </xf>
    <xf numFmtId="44" fontId="13" fillId="0" borderId="0" xfId="2"/>
    <xf numFmtId="9" fontId="13" fillId="0" borderId="0" xfId="4"/>
    <xf numFmtId="0" fontId="18" fillId="0" borderId="0" xfId="0" applyFont="1" applyAlignment="1">
      <alignment horizontal="center"/>
    </xf>
    <xf numFmtId="165" fontId="13" fillId="0" borderId="0" xfId="1" applyNumberFormat="1" applyAlignment="1">
      <alignment horizontal="center"/>
    </xf>
    <xf numFmtId="166" fontId="15" fillId="0" borderId="0" xfId="5" applyNumberFormat="1" applyFont="1"/>
    <xf numFmtId="0" fontId="20" fillId="6" borderId="0" xfId="5" applyFont="1" applyFill="1" applyAlignment="1">
      <alignment horizontal="left"/>
    </xf>
    <xf numFmtId="0" fontId="20" fillId="6" borderId="0" xfId="5" applyFont="1" applyFill="1" applyAlignment="1">
      <alignment horizontal="center"/>
    </xf>
    <xf numFmtId="0" fontId="15" fillId="0" borderId="0" xfId="5" applyFont="1"/>
    <xf numFmtId="0" fontId="0" fillId="0" borderId="0" xfId="0" applyAlignment="1">
      <alignment horizontal="left" indent="2"/>
    </xf>
    <xf numFmtId="171" fontId="20" fillId="6" borderId="1" xfId="0" applyNumberFormat="1" applyFont="1" applyFill="1" applyBorder="1" applyAlignment="1">
      <alignment horizontal="center"/>
    </xf>
    <xf numFmtId="166" fontId="18" fillId="7" borderId="0" xfId="2" applyNumberFormat="1" applyFont="1" applyFill="1"/>
    <xf numFmtId="166" fontId="25" fillId="7" borderId="0" xfId="2" applyNumberFormat="1" applyFont="1" applyFill="1" applyAlignment="1">
      <alignment horizontal="center"/>
    </xf>
    <xf numFmtId="10" fontId="13" fillId="0" borderId="0" xfId="4" applyNumberFormat="1" applyAlignment="1">
      <alignment horizontal="center"/>
    </xf>
    <xf numFmtId="166" fontId="23" fillId="0" borderId="0" xfId="0" applyNumberFormat="1" applyFont="1"/>
    <xf numFmtId="0" fontId="13" fillId="0" borderId="0" xfId="10" applyAlignment="1">
      <alignment horizontal="left" indent="1"/>
    </xf>
    <xf numFmtId="0" fontId="20" fillId="5" borderId="0" xfId="5" applyFont="1" applyFill="1" applyAlignment="1">
      <alignment horizontal="center"/>
    </xf>
    <xf numFmtId="9" fontId="0" fillId="0" borderId="0" xfId="15" applyFont="1"/>
    <xf numFmtId="0" fontId="0" fillId="0" borderId="0" xfId="0" applyAlignment="1">
      <alignment horizontal="left" indent="1"/>
    </xf>
    <xf numFmtId="165" fontId="0" fillId="0" borderId="0" xfId="13" applyNumberFormat="1" applyFont="1"/>
    <xf numFmtId="172" fontId="23" fillId="0" borderId="0" xfId="0" applyNumberFormat="1" applyFont="1" applyAlignment="1">
      <alignment horizontal="right"/>
    </xf>
    <xf numFmtId="0" fontId="23" fillId="0" borderId="0" xfId="0" applyFont="1"/>
    <xf numFmtId="165" fontId="0" fillId="10" borderId="1" xfId="13" applyNumberFormat="1" applyFont="1" applyFill="1" applyBorder="1"/>
    <xf numFmtId="164" fontId="15" fillId="0" borderId="0" xfId="0" applyNumberFormat="1" applyFont="1"/>
    <xf numFmtId="164" fontId="18" fillId="0" borderId="0" xfId="7" applyNumberFormat="1" applyFont="1" applyAlignment="1">
      <alignment horizontal="right"/>
    </xf>
    <xf numFmtId="165" fontId="0" fillId="0" borderId="0" xfId="0" applyNumberFormat="1"/>
    <xf numFmtId="0" fontId="20" fillId="5" borderId="0" xfId="10" applyFont="1" applyFill="1" applyAlignment="1">
      <alignment horizontal="centerContinuous"/>
    </xf>
    <xf numFmtId="0" fontId="15" fillId="0" borderId="0" xfId="0" applyFont="1" applyAlignment="1">
      <alignment horizontal="left" indent="1"/>
    </xf>
    <xf numFmtId="0" fontId="20" fillId="5" borderId="0" xfId="10" applyFont="1" applyFill="1" applyAlignment="1">
      <alignment horizontal="left"/>
    </xf>
    <xf numFmtId="0" fontId="20" fillId="5" borderId="0" xfId="10" applyFont="1" applyFill="1" applyAlignment="1">
      <alignment horizontal="center"/>
    </xf>
    <xf numFmtId="0" fontId="13" fillId="0" borderId="0" xfId="10"/>
    <xf numFmtId="0" fontId="15" fillId="0" borderId="0" xfId="10" applyFont="1" applyAlignment="1">
      <alignment horizontal="left"/>
    </xf>
    <xf numFmtId="0" fontId="15" fillId="0" borderId="1" xfId="10" applyFont="1" applyBorder="1" applyAlignment="1">
      <alignment horizontal="center"/>
    </xf>
    <xf numFmtId="169" fontId="13" fillId="0" borderId="0" xfId="10" applyNumberFormat="1"/>
    <xf numFmtId="166" fontId="15" fillId="0" borderId="0" xfId="3" applyNumberFormat="1" applyFont="1" applyAlignment="1">
      <alignment horizontal="right"/>
    </xf>
    <xf numFmtId="0" fontId="15" fillId="0" borderId="0" xfId="10" applyFont="1" applyAlignment="1">
      <alignment horizontal="left" indent="1"/>
    </xf>
    <xf numFmtId="164" fontId="13" fillId="0" borderId="0" xfId="10" applyNumberFormat="1"/>
    <xf numFmtId="170" fontId="13" fillId="0" borderId="0" xfId="10" applyNumberFormat="1"/>
    <xf numFmtId="0" fontId="18" fillId="0" borderId="0" xfId="10" applyFont="1" applyAlignment="1">
      <alignment horizontal="left" indent="2"/>
    </xf>
    <xf numFmtId="10" fontId="18" fillId="0" borderId="0" xfId="10" applyNumberFormat="1" applyFont="1"/>
    <xf numFmtId="0" fontId="15" fillId="0" borderId="0" xfId="5" applyFont="1" applyAlignment="1">
      <alignment horizontal="left" indent="1"/>
    </xf>
    <xf numFmtId="168" fontId="16" fillId="0" borderId="0" xfId="7" applyNumberFormat="1" applyFont="1" applyAlignment="1">
      <alignment horizontal="left"/>
    </xf>
    <xf numFmtId="9" fontId="18" fillId="0" borderId="0" xfId="7" applyFont="1"/>
    <xf numFmtId="164" fontId="18" fillId="0" borderId="0" xfId="7" applyNumberFormat="1" applyFont="1"/>
    <xf numFmtId="169" fontId="15" fillId="0" borderId="0" xfId="5" applyNumberFormat="1" applyFont="1"/>
    <xf numFmtId="166" fontId="16" fillId="0" borderId="0" xfId="0" applyNumberFormat="1" applyFont="1"/>
    <xf numFmtId="0" fontId="16" fillId="0" borderId="0" xfId="0" applyFont="1"/>
    <xf numFmtId="0" fontId="15" fillId="0" borderId="1" xfId="5" applyFont="1" applyBorder="1"/>
    <xf numFmtId="0" fontId="15" fillId="0" borderId="1" xfId="5" applyFont="1" applyBorder="1" applyAlignment="1">
      <alignment horizontal="center"/>
    </xf>
    <xf numFmtId="0" fontId="23" fillId="0" borderId="0" xfId="0" applyFont="1" applyAlignment="1">
      <alignment horizontal="center"/>
    </xf>
    <xf numFmtId="0" fontId="33" fillId="0" borderId="0" xfId="0" applyFont="1"/>
    <xf numFmtId="0" fontId="35" fillId="0" borderId="0" xfId="22" applyFont="1" applyAlignment="1">
      <alignment horizontal="left" vertical="top"/>
    </xf>
    <xf numFmtId="43" fontId="35" fillId="0" borderId="0" xfId="23" applyFont="1" applyAlignment="1">
      <alignment horizontal="left" vertical="top"/>
    </xf>
    <xf numFmtId="49" fontId="35" fillId="0" borderId="0" xfId="23" applyNumberFormat="1" applyFont="1" applyAlignment="1">
      <alignment horizontal="left" vertical="top"/>
    </xf>
    <xf numFmtId="49" fontId="36" fillId="0" borderId="0" xfId="23" applyNumberFormat="1" applyFont="1" applyAlignment="1">
      <alignment horizontal="left" vertical="top"/>
    </xf>
    <xf numFmtId="43" fontId="35" fillId="0" borderId="0" xfId="23" applyFont="1" applyAlignment="1">
      <alignment horizontal="left" vertical="top" wrapText="1"/>
    </xf>
    <xf numFmtId="49" fontId="35" fillId="0" borderId="0" xfId="23" applyNumberFormat="1" applyFont="1" applyAlignment="1">
      <alignment vertical="top" wrapText="1"/>
    </xf>
    <xf numFmtId="43" fontId="35" fillId="0" borderId="0" xfId="23" applyFont="1" applyAlignment="1">
      <alignment vertical="top" wrapText="1"/>
    </xf>
    <xf numFmtId="43" fontId="35" fillId="0" borderId="0" xfId="23" applyFont="1" applyAlignment="1">
      <alignment vertical="center" wrapText="1"/>
    </xf>
    <xf numFmtId="49" fontId="35" fillId="0" borderId="0" xfId="23" applyNumberFormat="1" applyFont="1" applyAlignment="1">
      <alignment horizontal="left" vertical="top" wrapText="1"/>
    </xf>
    <xf numFmtId="49" fontId="35" fillId="0" borderId="0" xfId="23" applyNumberFormat="1" applyFont="1" applyAlignment="1">
      <alignment vertical="center" wrapText="1"/>
    </xf>
    <xf numFmtId="1" fontId="35" fillId="0" borderId="0" xfId="23" applyNumberFormat="1" applyFont="1" applyAlignment="1">
      <alignment vertical="top" wrapText="1"/>
    </xf>
    <xf numFmtId="1" fontId="35" fillId="0" borderId="0" xfId="22" applyNumberFormat="1" applyFont="1" applyAlignment="1">
      <alignment horizontal="left" vertical="top"/>
    </xf>
    <xf numFmtId="165" fontId="35" fillId="0" borderId="0" xfId="23" applyNumberFormat="1" applyFont="1" applyAlignment="1">
      <alignment horizontal="left" vertical="top"/>
    </xf>
    <xf numFmtId="164" fontId="13" fillId="0" borderId="1" xfId="4" applyNumberFormat="1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right"/>
    </xf>
    <xf numFmtId="9" fontId="17" fillId="0" borderId="0" xfId="12" applyFont="1"/>
    <xf numFmtId="9" fontId="18" fillId="0" borderId="0" xfId="0" applyNumberFormat="1" applyFont="1" applyAlignment="1">
      <alignment wrapText="1"/>
    </xf>
    <xf numFmtId="9" fontId="15" fillId="0" borderId="0" xfId="0" applyNumberFormat="1" applyFont="1"/>
    <xf numFmtId="164" fontId="13" fillId="0" borderId="0" xfId="4" applyNumberFormat="1" applyAlignment="1">
      <alignment vertical="center"/>
    </xf>
    <xf numFmtId="0" fontId="0" fillId="12" borderId="0" xfId="0" applyFill="1"/>
    <xf numFmtId="0" fontId="37" fillId="12" borderId="0" xfId="0" applyFont="1" applyFill="1" applyAlignment="1">
      <alignment vertical="center"/>
    </xf>
    <xf numFmtId="0" fontId="20" fillId="12" borderId="0" xfId="0" applyFont="1" applyFill="1" applyAlignment="1">
      <alignment vertical="center"/>
    </xf>
    <xf numFmtId="0" fontId="37" fillId="5" borderId="14" xfId="10" applyFont="1" applyFill="1" applyBorder="1" applyAlignment="1">
      <alignment horizontal="left" indent="1"/>
    </xf>
    <xf numFmtId="0" fontId="20" fillId="5" borderId="15" xfId="10" applyFont="1" applyFill="1" applyBorder="1" applyAlignment="1">
      <alignment horizontal="left"/>
    </xf>
    <xf numFmtId="0" fontId="20" fillId="5" borderId="16" xfId="10" applyFont="1" applyFill="1" applyBorder="1" applyAlignment="1">
      <alignment horizontal="left"/>
    </xf>
    <xf numFmtId="0" fontId="13" fillId="0" borderId="3" xfId="10" applyBorder="1"/>
    <xf numFmtId="169" fontId="33" fillId="0" borderId="0" xfId="10" applyNumberFormat="1" applyFont="1"/>
    <xf numFmtId="165" fontId="33" fillId="0" borderId="0" xfId="1" applyNumberFormat="1" applyFont="1"/>
    <xf numFmtId="43" fontId="33" fillId="0" borderId="0" xfId="10" applyNumberFormat="1" applyFont="1"/>
    <xf numFmtId="0" fontId="33" fillId="0" borderId="0" xfId="10" applyFont="1" applyAlignment="1">
      <alignment horizontal="left" vertical="top" wrapText="1"/>
    </xf>
    <xf numFmtId="0" fontId="33" fillId="0" borderId="17" xfId="10" applyFont="1" applyBorder="1" applyAlignment="1">
      <alignment horizontal="left" vertical="top" wrapText="1"/>
    </xf>
    <xf numFmtId="166" fontId="33" fillId="0" borderId="0" xfId="0" applyNumberFormat="1" applyFont="1"/>
    <xf numFmtId="166" fontId="33" fillId="0" borderId="17" xfId="0" applyNumberFormat="1" applyFont="1" applyBorder="1"/>
    <xf numFmtId="164" fontId="41" fillId="0" borderId="0" xfId="4" applyNumberFormat="1" applyFont="1"/>
    <xf numFmtId="164" fontId="41" fillId="0" borderId="17" xfId="4" applyNumberFormat="1" applyFont="1" applyBorder="1"/>
    <xf numFmtId="0" fontId="33" fillId="0" borderId="17" xfId="0" applyFont="1" applyBorder="1"/>
    <xf numFmtId="166" fontId="33" fillId="0" borderId="0" xfId="2" applyNumberFormat="1" applyFont="1"/>
    <xf numFmtId="166" fontId="33" fillId="0" borderId="17" xfId="2" applyNumberFormat="1" applyFont="1" applyBorder="1"/>
    <xf numFmtId="0" fontId="0" fillId="0" borderId="19" xfId="0" applyBorder="1"/>
    <xf numFmtId="166" fontId="32" fillId="0" borderId="0" xfId="2" applyNumberFormat="1" applyFont="1"/>
    <xf numFmtId="10" fontId="33" fillId="0" borderId="0" xfId="4" applyNumberFormat="1" applyFont="1"/>
    <xf numFmtId="0" fontId="42" fillId="0" borderId="3" xfId="0" applyFont="1" applyBorder="1" applyAlignment="1">
      <alignment horizontal="left" indent="1"/>
    </xf>
    <xf numFmtId="0" fontId="42" fillId="0" borderId="0" xfId="0" applyFont="1" applyAlignment="1">
      <alignment horizontal="right"/>
    </xf>
    <xf numFmtId="0" fontId="42" fillId="0" borderId="17" xfId="0" applyFont="1" applyBorder="1" applyAlignment="1">
      <alignment horizontal="left"/>
    </xf>
    <xf numFmtId="0" fontId="42" fillId="0" borderId="3" xfId="10" applyFont="1" applyBorder="1" applyAlignment="1">
      <alignment horizontal="left" indent="1"/>
    </xf>
    <xf numFmtId="0" fontId="42" fillId="0" borderId="3" xfId="10" applyFont="1" applyBorder="1" applyAlignment="1">
      <alignment horizontal="left" vertical="top" indent="1"/>
    </xf>
    <xf numFmtId="0" fontId="42" fillId="3" borderId="3" xfId="10" applyFont="1" applyFill="1" applyBorder="1" applyAlignment="1">
      <alignment horizontal="left" indent="1"/>
    </xf>
    <xf numFmtId="0" fontId="33" fillId="3" borderId="0" xfId="0" applyFont="1" applyFill="1"/>
    <xf numFmtId="166" fontId="33" fillId="3" borderId="18" xfId="10" applyNumberFormat="1" applyFont="1" applyFill="1" applyBorder="1"/>
    <xf numFmtId="0" fontId="43" fillId="0" borderId="0" xfId="0" applyFont="1" applyAlignment="1">
      <alignment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Continuous" vertical="center" wrapText="1"/>
    </xf>
    <xf numFmtId="0" fontId="15" fillId="0" borderId="5" xfId="0" applyFont="1" applyBorder="1" applyAlignment="1">
      <alignment horizontal="centerContinuous"/>
    </xf>
    <xf numFmtId="166" fontId="33" fillId="0" borderId="0" xfId="0" applyNumberFormat="1" applyFont="1" applyAlignment="1">
      <alignment horizontal="left"/>
    </xf>
    <xf numFmtId="0" fontId="42" fillId="0" borderId="0" xfId="0" applyFont="1" applyAlignment="1">
      <alignment horizontal="right" indent="1"/>
    </xf>
    <xf numFmtId="164" fontId="33" fillId="0" borderId="17" xfId="4" applyNumberFormat="1" applyFont="1" applyBorder="1" applyAlignment="1">
      <alignment horizontal="left"/>
    </xf>
    <xf numFmtId="166" fontId="45" fillId="0" borderId="0" xfId="2" applyNumberFormat="1" applyFont="1"/>
    <xf numFmtId="0" fontId="0" fillId="0" borderId="4" xfId="0" applyBorder="1"/>
    <xf numFmtId="0" fontId="46" fillId="6" borderId="0" xfId="0" applyFont="1" applyFill="1" applyAlignment="1">
      <alignment horizontal="left" indent="1"/>
    </xf>
    <xf numFmtId="9" fontId="47" fillId="6" borderId="0" xfId="0" applyNumberFormat="1" applyFont="1" applyFill="1"/>
    <xf numFmtId="164" fontId="20" fillId="6" borderId="0" xfId="4" applyNumberFormat="1" applyFont="1" applyFill="1"/>
    <xf numFmtId="165" fontId="20" fillId="6" borderId="0" xfId="1" applyNumberFormat="1" applyFont="1" applyFill="1"/>
    <xf numFmtId="0" fontId="48" fillId="6" borderId="0" xfId="0" applyFont="1" applyFill="1" applyAlignment="1">
      <alignment horizontal="left" indent="1"/>
    </xf>
    <xf numFmtId="165" fontId="19" fillId="6" borderId="0" xfId="1" applyNumberFormat="1" applyFont="1" applyFill="1"/>
    <xf numFmtId="0" fontId="15" fillId="0" borderId="12" xfId="0" applyFont="1" applyBorder="1"/>
    <xf numFmtId="0" fontId="0" fillId="0" borderId="12" xfId="0" applyBorder="1" applyAlignment="1">
      <alignment horizontal="left" indent="1"/>
    </xf>
    <xf numFmtId="0" fontId="15" fillId="0" borderId="13" xfId="0" applyFont="1" applyBorder="1"/>
    <xf numFmtId="0" fontId="15" fillId="0" borderId="1" xfId="0" applyFont="1" applyBorder="1"/>
    <xf numFmtId="0" fontId="0" fillId="0" borderId="12" xfId="0" applyBorder="1"/>
    <xf numFmtId="0" fontId="0" fillId="0" borderId="13" xfId="0" applyBorder="1"/>
    <xf numFmtId="167" fontId="0" fillId="0" borderId="0" xfId="4" applyNumberFormat="1" applyFont="1"/>
    <xf numFmtId="166" fontId="0" fillId="0" borderId="2" xfId="2" applyNumberFormat="1" applyFont="1" applyBorder="1"/>
    <xf numFmtId="166" fontId="0" fillId="0" borderId="20" xfId="2" applyNumberFormat="1" applyFont="1" applyBorder="1"/>
    <xf numFmtId="166" fontId="0" fillId="0" borderId="11" xfId="0" applyNumberFormat="1" applyBorder="1"/>
    <xf numFmtId="165" fontId="18" fillId="7" borderId="0" xfId="1" applyNumberFormat="1" applyFont="1" applyFill="1"/>
    <xf numFmtId="165" fontId="13" fillId="7" borderId="0" xfId="1" applyNumberFormat="1" applyFill="1"/>
    <xf numFmtId="165" fontId="25" fillId="7" borderId="0" xfId="1" applyNumberFormat="1" applyFont="1" applyFill="1" applyAlignment="1">
      <alignment horizontal="center"/>
    </xf>
    <xf numFmtId="165" fontId="13" fillId="7" borderId="0" xfId="1" applyNumberFormat="1" applyFill="1" applyAlignment="1">
      <alignment horizontal="center"/>
    </xf>
    <xf numFmtId="165" fontId="18" fillId="7" borderId="1" xfId="1" applyNumberFormat="1" applyFont="1" applyFill="1" applyBorder="1"/>
    <xf numFmtId="165" fontId="24" fillId="7" borderId="0" xfId="1" applyNumberFormat="1" applyFont="1" applyFill="1"/>
    <xf numFmtId="165" fontId="23" fillId="7" borderId="0" xfId="1" applyNumberFormat="1" applyFont="1" applyFill="1"/>
    <xf numFmtId="165" fontId="0" fillId="10" borderId="1" xfId="1" applyNumberFormat="1" applyFont="1" applyFill="1" applyBorder="1"/>
    <xf numFmtId="165" fontId="0" fillId="0" borderId="0" xfId="1" applyNumberFormat="1" applyFont="1"/>
    <xf numFmtId="165" fontId="13" fillId="0" borderId="0" xfId="1" applyNumberFormat="1" applyAlignment="1">
      <alignment horizontal="right" vertical="center"/>
    </xf>
    <xf numFmtId="164" fontId="17" fillId="0" borderId="0" xfId="15" applyNumberFormat="1" applyFont="1"/>
    <xf numFmtId="6" fontId="17" fillId="0" borderId="0" xfId="15" applyNumberFormat="1" applyFont="1"/>
    <xf numFmtId="6" fontId="17" fillId="0" borderId="0" xfId="12" applyNumberFormat="1" applyFont="1"/>
    <xf numFmtId="6" fontId="13" fillId="0" borderId="0" xfId="12" applyNumberFormat="1"/>
    <xf numFmtId="0" fontId="55" fillId="0" borderId="19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2" fillId="0" borderId="0" xfId="28"/>
    <xf numFmtId="0" fontId="58" fillId="0" borderId="0" xfId="28" applyFont="1"/>
    <xf numFmtId="0" fontId="53" fillId="0" borderId="0" xfId="26" applyFont="1" applyFill="1" applyAlignment="1">
      <alignment horizontal="center"/>
    </xf>
    <xf numFmtId="0" fontId="58" fillId="0" borderId="0" xfId="28" applyFont="1" applyAlignment="1">
      <alignment horizontal="center"/>
    </xf>
    <xf numFmtId="0" fontId="12" fillId="0" borderId="0" xfId="28" applyAlignment="1">
      <alignment horizontal="center"/>
    </xf>
    <xf numFmtId="0" fontId="59" fillId="0" borderId="0" xfId="28" applyFont="1" applyAlignment="1">
      <alignment horizontal="right"/>
    </xf>
    <xf numFmtId="14" fontId="58" fillId="0" borderId="0" xfId="28" applyNumberFormat="1" applyFont="1"/>
    <xf numFmtId="0" fontId="59" fillId="0" borderId="0" xfId="28" applyFont="1"/>
    <xf numFmtId="0" fontId="60" fillId="0" borderId="0" xfId="28" applyFont="1" applyAlignment="1">
      <alignment horizontal="right"/>
    </xf>
    <xf numFmtId="0" fontId="60" fillId="0" borderId="0" xfId="28" applyFont="1" applyAlignment="1">
      <alignment horizontal="left"/>
    </xf>
    <xf numFmtId="0" fontId="57" fillId="0" borderId="0" xfId="28" applyFont="1"/>
    <xf numFmtId="0" fontId="57" fillId="0" borderId="0" xfId="28" applyFont="1" applyAlignment="1">
      <alignment horizontal="center"/>
    </xf>
    <xf numFmtId="0" fontId="57" fillId="0" borderId="19" xfId="28" applyFont="1" applyBorder="1" applyAlignment="1">
      <alignment horizontal="center"/>
    </xf>
    <xf numFmtId="0" fontId="57" fillId="0" borderId="19" xfId="28" applyFont="1" applyBorder="1"/>
    <xf numFmtId="6" fontId="12" fillId="0" borderId="11" xfId="28" applyNumberFormat="1" applyBorder="1"/>
    <xf numFmtId="0" fontId="12" fillId="4" borderId="11" xfId="28" applyFill="1" applyBorder="1"/>
    <xf numFmtId="0" fontId="12" fillId="10" borderId="11" xfId="28" applyFill="1" applyBorder="1" applyAlignment="1">
      <alignment horizontal="center"/>
    </xf>
    <xf numFmtId="6" fontId="12" fillId="4" borderId="11" xfId="28" applyNumberFormat="1" applyFill="1" applyBorder="1"/>
    <xf numFmtId="0" fontId="12" fillId="0" borderId="11" xfId="28" applyBorder="1"/>
    <xf numFmtId="0" fontId="61" fillId="0" borderId="0" xfId="28" applyFont="1"/>
    <xf numFmtId="0" fontId="61" fillId="0" borderId="0" xfId="28" applyFont="1" applyAlignment="1">
      <alignment horizontal="center"/>
    </xf>
    <xf numFmtId="6" fontId="61" fillId="0" borderId="0" xfId="28" applyNumberFormat="1" applyFont="1"/>
    <xf numFmtId="0" fontId="53" fillId="0" borderId="0" xfId="26" applyFont="1" applyFill="1"/>
    <xf numFmtId="0" fontId="38" fillId="0" borderId="0" xfId="26" applyFont="1" applyFill="1"/>
    <xf numFmtId="0" fontId="62" fillId="0" borderId="0" xfId="28" applyFont="1"/>
    <xf numFmtId="0" fontId="28" fillId="0" borderId="0" xfId="28" applyFont="1"/>
    <xf numFmtId="0" fontId="52" fillId="0" borderId="0" xfId="28" applyFont="1" applyAlignment="1">
      <alignment horizontal="center"/>
    </xf>
    <xf numFmtId="6" fontId="28" fillId="0" borderId="0" xfId="28" applyNumberFormat="1" applyFont="1" applyAlignment="1">
      <alignment horizontal="right"/>
    </xf>
    <xf numFmtId="6" fontId="28" fillId="0" borderId="0" xfId="26" applyNumberFormat="1" applyFont="1" applyFill="1" applyAlignment="1">
      <alignment horizontal="right"/>
    </xf>
    <xf numFmtId="6" fontId="28" fillId="4" borderId="21" xfId="26" applyNumberFormat="1" applyFont="1" applyFill="1" applyBorder="1" applyAlignment="1">
      <alignment horizontal="right"/>
    </xf>
    <xf numFmtId="0" fontId="63" fillId="0" borderId="0" xfId="28" applyFont="1"/>
    <xf numFmtId="6" fontId="28" fillId="4" borderId="22" xfId="26" applyNumberFormat="1" applyFont="1" applyFill="1" applyBorder="1" applyAlignment="1">
      <alignment horizontal="right"/>
    </xf>
    <xf numFmtId="164" fontId="63" fillId="0" borderId="0" xfId="28" applyNumberFormat="1" applyFont="1"/>
    <xf numFmtId="0" fontId="15" fillId="0" borderId="0" xfId="28" applyFont="1" applyAlignment="1">
      <alignment horizontal="left" indent="1"/>
    </xf>
    <xf numFmtId="6" fontId="63" fillId="0" borderId="0" xfId="28" applyNumberFormat="1" applyFont="1"/>
    <xf numFmtId="0" fontId="64" fillId="0" borderId="0" xfId="28" applyFont="1" applyAlignment="1">
      <alignment horizontal="right" indent="1"/>
    </xf>
    <xf numFmtId="0" fontId="38" fillId="0" borderId="0" xfId="26" applyFont="1" applyFill="1" applyAlignment="1">
      <alignment horizontal="right"/>
    </xf>
    <xf numFmtId="0" fontId="15" fillId="0" borderId="0" xfId="28" applyFont="1" applyAlignment="1">
      <alignment horizontal="left"/>
    </xf>
    <xf numFmtId="0" fontId="28" fillId="0" borderId="0" xfId="26" applyFont="1" applyFill="1"/>
    <xf numFmtId="6" fontId="28" fillId="4" borderId="0" xfId="26" applyNumberFormat="1" applyFont="1" applyFill="1" applyAlignment="1">
      <alignment horizontal="right"/>
    </xf>
    <xf numFmtId="0" fontId="65" fillId="0" borderId="0" xfId="28" applyFont="1"/>
    <xf numFmtId="0" fontId="28" fillId="0" borderId="0" xfId="28" applyFont="1" applyAlignment="1">
      <alignment horizontal="center"/>
    </xf>
    <xf numFmtId="0" fontId="57" fillId="0" borderId="19" xfId="28" applyFont="1" applyBorder="1" applyAlignment="1">
      <alignment wrapText="1"/>
    </xf>
    <xf numFmtId="6" fontId="12" fillId="0" borderId="23" xfId="28" applyNumberFormat="1" applyBorder="1"/>
    <xf numFmtId="6" fontId="12" fillId="4" borderId="23" xfId="28" applyNumberFormat="1" applyFill="1" applyBorder="1"/>
    <xf numFmtId="6" fontId="28" fillId="0" borderId="0" xfId="28" applyNumberFormat="1" applyFont="1"/>
    <xf numFmtId="6" fontId="12" fillId="0" borderId="21" xfId="28" applyNumberFormat="1" applyBorder="1"/>
    <xf numFmtId="6" fontId="12" fillId="4" borderId="21" xfId="28" applyNumberFormat="1" applyFill="1" applyBorder="1"/>
    <xf numFmtId="0" fontId="12" fillId="0" borderId="21" xfId="28" applyBorder="1" applyAlignment="1">
      <alignment horizontal="left" indent="1"/>
    </xf>
    <xf numFmtId="6" fontId="12" fillId="0" borderId="0" xfId="28" applyNumberFormat="1"/>
    <xf numFmtId="6" fontId="12" fillId="0" borderId="22" xfId="28" applyNumberFormat="1" applyBorder="1"/>
    <xf numFmtId="6" fontId="12" fillId="4" borderId="22" xfId="28" applyNumberFormat="1" applyFill="1" applyBorder="1"/>
    <xf numFmtId="0" fontId="15" fillId="0" borderId="21" xfId="28" applyFont="1" applyBorder="1" applyAlignment="1">
      <alignment horizontal="left"/>
    </xf>
    <xf numFmtId="6" fontId="66" fillId="0" borderId="0" xfId="28" applyNumberFormat="1" applyFont="1"/>
    <xf numFmtId="0" fontId="63" fillId="0" borderId="0" xfId="28" applyFont="1" applyAlignment="1">
      <alignment horizontal="right" indent="1"/>
    </xf>
    <xf numFmtId="164" fontId="66" fillId="0" borderId="0" xfId="28" applyNumberFormat="1" applyFont="1"/>
    <xf numFmtId="164" fontId="12" fillId="0" borderId="0" xfId="28" applyNumberFormat="1"/>
    <xf numFmtId="0" fontId="67" fillId="0" borderId="0" xfId="28" applyFont="1" applyAlignment="1">
      <alignment horizontal="right" indent="1"/>
    </xf>
    <xf numFmtId="9" fontId="67" fillId="0" borderId="0" xfId="28" applyNumberFormat="1" applyFont="1"/>
    <xf numFmtId="164" fontId="62" fillId="0" borderId="0" xfId="28" applyNumberFormat="1" applyFont="1"/>
    <xf numFmtId="0" fontId="12" fillId="16" borderId="0" xfId="28" applyFill="1"/>
    <xf numFmtId="0" fontId="56" fillId="0" borderId="0" xfId="28" applyFont="1"/>
    <xf numFmtId="0" fontId="12" fillId="0" borderId="19" xfId="28" applyBorder="1"/>
    <xf numFmtId="0" fontId="12" fillId="16" borderId="0" xfId="28" applyFill="1" applyAlignment="1">
      <alignment horizontal="left" indent="1"/>
    </xf>
    <xf numFmtId="0" fontId="29" fillId="0" borderId="0" xfId="0" applyFont="1" applyAlignment="1">
      <alignment horizontal="center"/>
    </xf>
    <xf numFmtId="165" fontId="23" fillId="0" borderId="0" xfId="1" applyNumberFormat="1" applyFont="1" applyAlignment="1">
      <alignment horizontal="right"/>
    </xf>
    <xf numFmtId="0" fontId="13" fillId="5" borderId="0" xfId="0" applyFont="1" applyFill="1"/>
    <xf numFmtId="44" fontId="13" fillId="5" borderId="0" xfId="2" applyFill="1"/>
    <xf numFmtId="8" fontId="12" fillId="0" borderId="0" xfId="28" applyNumberFormat="1"/>
    <xf numFmtId="9" fontId="12" fillId="0" borderId="0" xfId="28" applyNumberFormat="1"/>
    <xf numFmtId="0" fontId="57" fillId="0" borderId="1" xfId="28" applyFont="1" applyBorder="1"/>
    <xf numFmtId="0" fontId="70" fillId="0" borderId="0" xfId="10" applyFont="1" applyAlignment="1">
      <alignment horizontal="center"/>
    </xf>
    <xf numFmtId="165" fontId="13" fillId="0" borderId="0" xfId="10" applyNumberFormat="1"/>
    <xf numFmtId="166" fontId="24" fillId="0" borderId="0" xfId="10" applyNumberFormat="1" applyFont="1" applyAlignment="1">
      <alignment horizontal="center"/>
    </xf>
    <xf numFmtId="0" fontId="23" fillId="0" borderId="0" xfId="10" applyFont="1" applyAlignment="1">
      <alignment horizontal="right"/>
    </xf>
    <xf numFmtId="2" fontId="23" fillId="0" borderId="0" xfId="10" applyNumberFormat="1" applyFont="1" applyAlignment="1">
      <alignment horizontal="right"/>
    </xf>
    <xf numFmtId="165" fontId="17" fillId="0" borderId="0" xfId="1" applyNumberFormat="1" applyFont="1"/>
    <xf numFmtId="166" fontId="0" fillId="0" borderId="0" xfId="2" applyNumberFormat="1" applyFont="1"/>
    <xf numFmtId="173" fontId="0" fillId="0" borderId="20" xfId="0" applyNumberFormat="1" applyBorder="1"/>
    <xf numFmtId="0" fontId="0" fillId="0" borderId="1" xfId="0" applyBorder="1" applyAlignment="1">
      <alignment horizontal="right"/>
    </xf>
    <xf numFmtId="0" fontId="0" fillId="0" borderId="11" xfId="0" applyBorder="1"/>
    <xf numFmtId="0" fontId="15" fillId="0" borderId="12" xfId="0" applyFont="1" applyBorder="1" applyAlignment="1">
      <alignment horizontal="right"/>
    </xf>
    <xf numFmtId="165" fontId="13" fillId="0" borderId="20" xfId="1" applyNumberFormat="1" applyBorder="1"/>
    <xf numFmtId="166" fontId="72" fillId="0" borderId="7" xfId="0" applyNumberFormat="1" applyFont="1" applyBorder="1"/>
    <xf numFmtId="166" fontId="0" fillId="0" borderId="0" xfId="0" applyNumberFormat="1"/>
    <xf numFmtId="44" fontId="0" fillId="0" borderId="0" xfId="2" applyFont="1"/>
    <xf numFmtId="0" fontId="15" fillId="0" borderId="0" xfId="0" applyFont="1" applyAlignment="1">
      <alignment horizontal="right"/>
    </xf>
    <xf numFmtId="166" fontId="72" fillId="0" borderId="0" xfId="0" applyNumberFormat="1" applyFont="1"/>
    <xf numFmtId="0" fontId="15" fillId="0" borderId="1" xfId="0" applyFont="1" applyBorder="1" applyAlignment="1">
      <alignment horizontal="right"/>
    </xf>
    <xf numFmtId="9" fontId="13" fillId="0" borderId="1" xfId="4" applyBorder="1" applyAlignment="1">
      <alignment horizontal="center"/>
    </xf>
    <xf numFmtId="0" fontId="20" fillId="17" borderId="0" xfId="10" applyFont="1" applyFill="1" applyAlignment="1">
      <alignment horizontal="center"/>
    </xf>
    <xf numFmtId="8" fontId="0" fillId="0" borderId="0" xfId="0" applyNumberFormat="1"/>
    <xf numFmtId="166" fontId="17" fillId="0" borderId="1" xfId="2" applyNumberFormat="1" applyFont="1" applyBorder="1"/>
    <xf numFmtId="166" fontId="17" fillId="0" borderId="0" xfId="2" applyNumberFormat="1" applyFont="1"/>
    <xf numFmtId="10" fontId="17" fillId="0" borderId="0" xfId="4" applyNumberFormat="1" applyFont="1"/>
    <xf numFmtId="0" fontId="20" fillId="18" borderId="0" xfId="0" applyFont="1" applyFill="1"/>
    <xf numFmtId="0" fontId="29" fillId="0" borderId="3" xfId="0" applyFont="1" applyBorder="1" applyAlignment="1">
      <alignment horizontal="center"/>
    </xf>
    <xf numFmtId="0" fontId="12" fillId="0" borderId="17" xfId="28" applyBorder="1"/>
    <xf numFmtId="0" fontId="12" fillId="0" borderId="4" xfId="28" applyBorder="1"/>
    <xf numFmtId="166" fontId="17" fillId="0" borderId="20" xfId="2" applyNumberFormat="1" applyFont="1" applyBorder="1"/>
    <xf numFmtId="166" fontId="0" fillId="0" borderId="0" xfId="2" applyNumberFormat="1" applyFont="1" applyBorder="1"/>
    <xf numFmtId="166" fontId="17" fillId="0" borderId="2" xfId="2" applyNumberFormat="1" applyFont="1" applyBorder="1"/>
    <xf numFmtId="166" fontId="17" fillId="0" borderId="2" xfId="2" applyNumberFormat="1" applyFont="1" applyBorder="1" applyAlignment="1">
      <alignment horizontal="right"/>
    </xf>
    <xf numFmtId="166" fontId="17" fillId="0" borderId="7" xfId="0" applyNumberFormat="1" applyFont="1" applyBorder="1"/>
    <xf numFmtId="165" fontId="13" fillId="0" borderId="0" xfId="1" applyNumberFormat="1" applyFill="1"/>
    <xf numFmtId="164" fontId="17" fillId="0" borderId="2" xfId="12" applyNumberFormat="1" applyFont="1" applyFill="1" applyBorder="1" applyAlignment="1">
      <alignment horizontal="right"/>
    </xf>
    <xf numFmtId="164" fontId="17" fillId="0" borderId="7" xfId="12" applyNumberFormat="1" applyFont="1" applyFill="1" applyBorder="1" applyAlignment="1">
      <alignment horizontal="right"/>
    </xf>
    <xf numFmtId="0" fontId="68" fillId="0" borderId="0" xfId="0" applyFont="1" applyAlignment="1">
      <alignment horizontal="right"/>
    </xf>
    <xf numFmtId="0" fontId="68" fillId="0" borderId="0" xfId="0" applyFont="1"/>
    <xf numFmtId="9" fontId="13" fillId="0" borderId="0" xfId="4" applyFill="1"/>
    <xf numFmtId="164" fontId="18" fillId="0" borderId="0" xfId="4" applyNumberFormat="1" applyFont="1" applyFill="1"/>
    <xf numFmtId="166" fontId="23" fillId="0" borderId="0" xfId="0" applyNumberFormat="1" applyFont="1" applyAlignment="1">
      <alignment horizontal="right"/>
    </xf>
    <xf numFmtId="166" fontId="15" fillId="0" borderId="0" xfId="0" applyNumberFormat="1" applyFont="1"/>
    <xf numFmtId="165" fontId="0" fillId="0" borderId="0" xfId="13" applyNumberFormat="1" applyFont="1" applyFill="1"/>
    <xf numFmtId="165" fontId="23" fillId="7" borderId="0" xfId="1" applyNumberFormat="1" applyFont="1" applyFill="1" applyAlignment="1">
      <alignment horizontal="right"/>
    </xf>
    <xf numFmtId="174" fontId="75" fillId="0" borderId="2" xfId="0" applyNumberFormat="1" applyFont="1" applyBorder="1" applyAlignment="1">
      <alignment horizontal="right"/>
    </xf>
    <xf numFmtId="174" fontId="75" fillId="0" borderId="0" xfId="1" applyNumberFormat="1" applyFont="1" applyFill="1"/>
    <xf numFmtId="0" fontId="18" fillId="0" borderId="0" xfId="0" applyFont="1" applyAlignment="1">
      <alignment horizontal="right"/>
    </xf>
    <xf numFmtId="9" fontId="16" fillId="0" borderId="0" xfId="4" applyFont="1"/>
    <xf numFmtId="44" fontId="16" fillId="0" borderId="0" xfId="2" applyFont="1"/>
    <xf numFmtId="0" fontId="17" fillId="0" borderId="11" xfId="10" applyFont="1" applyBorder="1" applyAlignment="1">
      <alignment horizontal="center"/>
    </xf>
    <xf numFmtId="0" fontId="17" fillId="0" borderId="13" xfId="10" applyFont="1" applyBorder="1" applyAlignment="1">
      <alignment horizontal="center"/>
    </xf>
    <xf numFmtId="10" fontId="17" fillId="0" borderId="11" xfId="4" applyNumberFormat="1" applyFont="1" applyBorder="1" applyAlignment="1">
      <alignment horizontal="center"/>
    </xf>
    <xf numFmtId="10" fontId="17" fillId="0" borderId="11" xfId="12" applyNumberFormat="1" applyFont="1" applyBorder="1" applyAlignment="1">
      <alignment horizontal="center"/>
    </xf>
    <xf numFmtId="9" fontId="17" fillId="0" borderId="11" xfId="4" applyFont="1" applyBorder="1" applyAlignment="1">
      <alignment horizontal="center"/>
    </xf>
    <xf numFmtId="9" fontId="23" fillId="0" borderId="0" xfId="4" applyFont="1" applyFill="1" applyAlignment="1">
      <alignment horizontal="right"/>
    </xf>
    <xf numFmtId="166" fontId="18" fillId="0" borderId="0" xfId="0" applyNumberFormat="1" applyFont="1" applyAlignment="1">
      <alignment horizontal="right"/>
    </xf>
    <xf numFmtId="164" fontId="18" fillId="0" borderId="0" xfId="4" applyNumberFormat="1" applyFont="1" applyAlignment="1">
      <alignment horizontal="right"/>
    </xf>
    <xf numFmtId="166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64" fontId="18" fillId="0" borderId="0" xfId="0" applyNumberFormat="1" applyFont="1" applyAlignment="1">
      <alignment horizontal="right"/>
    </xf>
    <xf numFmtId="3" fontId="13" fillId="0" borderId="0" xfId="2" applyNumberFormat="1"/>
    <xf numFmtId="0" fontId="21" fillId="0" borderId="0" xfId="0" applyFont="1"/>
    <xf numFmtId="166" fontId="17" fillId="0" borderId="2" xfId="0" applyNumberFormat="1" applyFont="1" applyBorder="1"/>
    <xf numFmtId="165" fontId="17" fillId="0" borderId="2" xfId="1" applyNumberFormat="1" applyFont="1" applyBorder="1"/>
    <xf numFmtId="0" fontId="11" fillId="19" borderId="0" xfId="32" applyBorder="1"/>
    <xf numFmtId="0" fontId="57" fillId="19" borderId="0" xfId="32" applyFont="1" applyBorder="1" applyAlignment="1">
      <alignment vertical="center"/>
    </xf>
    <xf numFmtId="0" fontId="11" fillId="19" borderId="2" xfId="32" applyBorder="1"/>
    <xf numFmtId="166" fontId="15" fillId="0" borderId="7" xfId="0" applyNumberFormat="1" applyFont="1" applyBorder="1"/>
    <xf numFmtId="0" fontId="53" fillId="0" borderId="0" xfId="33" applyFont="1" applyFill="1" applyAlignment="1">
      <alignment horizontal="center"/>
    </xf>
    <xf numFmtId="44" fontId="13" fillId="0" borderId="0" xfId="2" applyFill="1"/>
    <xf numFmtId="0" fontId="29" fillId="0" borderId="0" xfId="0" applyFont="1"/>
    <xf numFmtId="8" fontId="17" fillId="0" borderId="0" xfId="0" applyNumberFormat="1" applyFont="1"/>
    <xf numFmtId="0" fontId="18" fillId="21" borderId="0" xfId="0" applyFont="1" applyFill="1"/>
    <xf numFmtId="0" fontId="13" fillId="21" borderId="0" xfId="0" applyFont="1" applyFill="1"/>
    <xf numFmtId="0" fontId="20" fillId="21" borderId="0" xfId="0" applyFont="1" applyFill="1"/>
    <xf numFmtId="10" fontId="75" fillId="0" borderId="0" xfId="1" applyNumberFormat="1" applyFont="1" applyFill="1"/>
    <xf numFmtId="0" fontId="25" fillId="7" borderId="0" xfId="2" applyNumberFormat="1" applyFont="1" applyFill="1" applyAlignment="1">
      <alignment horizontal="center"/>
    </xf>
    <xf numFmtId="0" fontId="29" fillId="7" borderId="0" xfId="0" applyFont="1" applyFill="1" applyAlignment="1">
      <alignment horizontal="center"/>
    </xf>
    <xf numFmtId="165" fontId="75" fillId="0" borderId="0" xfId="1" applyNumberFormat="1" applyFont="1" applyFill="1" applyAlignment="1">
      <alignment horizontal="right"/>
    </xf>
    <xf numFmtId="0" fontId="76" fillId="0" borderId="0" xfId="0" applyFont="1" applyAlignment="1">
      <alignment horizontal="right"/>
    </xf>
    <xf numFmtId="10" fontId="13" fillId="0" borderId="0" xfId="2" applyNumberFormat="1"/>
    <xf numFmtId="10" fontId="18" fillId="0" borderId="0" xfId="0" applyNumberFormat="1" applyFont="1" applyAlignment="1">
      <alignment horizontal="center"/>
    </xf>
    <xf numFmtId="0" fontId="26" fillId="0" borderId="2" xfId="0" applyFont="1" applyBorder="1" applyAlignment="1">
      <alignment horizontal="right"/>
    </xf>
    <xf numFmtId="1" fontId="13" fillId="0" borderId="2" xfId="12" applyNumberFormat="1" applyFill="1" applyBorder="1" applyAlignment="1">
      <alignment horizontal="right"/>
    </xf>
    <xf numFmtId="165" fontId="71" fillId="0" borderId="0" xfId="1" applyNumberFormat="1" applyFont="1" applyFill="1"/>
    <xf numFmtId="165" fontId="23" fillId="0" borderId="0" xfId="1" applyNumberFormat="1" applyFont="1" applyFill="1"/>
    <xf numFmtId="165" fontId="13" fillId="0" borderId="2" xfId="1" applyNumberFormat="1" applyFill="1" applyBorder="1"/>
    <xf numFmtId="0" fontId="26" fillId="0" borderId="2" xfId="0" applyFont="1" applyBorder="1" applyAlignment="1">
      <alignment horizontal="center"/>
    </xf>
    <xf numFmtId="165" fontId="16" fillId="0" borderId="2" xfId="1" applyNumberFormat="1" applyFont="1" applyFill="1" applyBorder="1"/>
    <xf numFmtId="165" fontId="13" fillId="0" borderId="12" xfId="1" applyNumberFormat="1" applyFill="1" applyBorder="1"/>
    <xf numFmtId="165" fontId="13" fillId="0" borderId="13" xfId="1" applyNumberFormat="1" applyFill="1" applyBorder="1"/>
    <xf numFmtId="166" fontId="13" fillId="0" borderId="0" xfId="2" applyNumberFormat="1" applyFill="1"/>
    <xf numFmtId="9" fontId="23" fillId="0" borderId="0" xfId="4" applyFont="1" applyFill="1"/>
    <xf numFmtId="165" fontId="13" fillId="0" borderId="7" xfId="1" applyNumberFormat="1" applyFill="1" applyBorder="1"/>
    <xf numFmtId="0" fontId="17" fillId="0" borderId="0" xfId="0" applyFont="1" applyAlignment="1">
      <alignment horizontal="center"/>
    </xf>
    <xf numFmtId="166" fontId="23" fillId="0" borderId="20" xfId="10" applyNumberFormat="1" applyFont="1" applyBorder="1"/>
    <xf numFmtId="0" fontId="77" fillId="0" borderId="0" xfId="0" applyFont="1" applyAlignment="1">
      <alignment horizontal="right"/>
    </xf>
    <xf numFmtId="0" fontId="21" fillId="0" borderId="0" xfId="10" applyFont="1"/>
    <xf numFmtId="176" fontId="21" fillId="0" borderId="0" xfId="10" applyNumberFormat="1" applyFont="1"/>
    <xf numFmtId="177" fontId="21" fillId="0" borderId="0" xfId="10" applyNumberFormat="1" applyFont="1"/>
    <xf numFmtId="9" fontId="21" fillId="0" borderId="0" xfId="4" applyFont="1"/>
    <xf numFmtId="0" fontId="13" fillId="0" borderId="0" xfId="10" applyAlignment="1">
      <alignment horizontal="right"/>
    </xf>
    <xf numFmtId="5" fontId="0" fillId="0" borderId="0" xfId="2" applyNumberFormat="1" applyFont="1" applyAlignment="1">
      <alignment horizontal="right"/>
    </xf>
    <xf numFmtId="177" fontId="0" fillId="0" borderId="0" xfId="2" applyNumberFormat="1" applyFont="1" applyAlignment="1">
      <alignment horizontal="right"/>
    </xf>
    <xf numFmtId="9" fontId="0" fillId="0" borderId="0" xfId="4" applyFont="1" applyAlignment="1">
      <alignment horizontal="right"/>
    </xf>
    <xf numFmtId="176" fontId="0" fillId="0" borderId="0" xfId="0" applyNumberFormat="1" applyAlignment="1">
      <alignment horizontal="right"/>
    </xf>
    <xf numFmtId="5" fontId="0" fillId="0" borderId="0" xfId="0" applyNumberFormat="1" applyAlignment="1">
      <alignment horizontal="right"/>
    </xf>
    <xf numFmtId="0" fontId="78" fillId="0" borderId="0" xfId="0" applyFont="1" applyAlignment="1">
      <alignment horizontal="right"/>
    </xf>
    <xf numFmtId="5" fontId="78" fillId="0" borderId="0" xfId="2" applyNumberFormat="1" applyFont="1" applyAlignment="1">
      <alignment horizontal="right"/>
    </xf>
    <xf numFmtId="5" fontId="78" fillId="0" borderId="0" xfId="0" applyNumberFormat="1" applyFont="1" applyAlignment="1">
      <alignment horizontal="right"/>
    </xf>
    <xf numFmtId="0" fontId="79" fillId="0" borderId="0" xfId="0" applyFont="1"/>
    <xf numFmtId="0" fontId="80" fillId="0" borderId="0" xfId="0" applyFont="1"/>
    <xf numFmtId="0" fontId="79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9" fillId="26" borderId="0" xfId="35"/>
    <xf numFmtId="164" fontId="9" fillId="26" borderId="0" xfId="35" applyNumberFormat="1" applyAlignment="1">
      <alignment horizontal="center"/>
    </xf>
    <xf numFmtId="0" fontId="13" fillId="0" borderId="0" xfId="2" applyNumberFormat="1"/>
    <xf numFmtId="10" fontId="17" fillId="0" borderId="0" xfId="0" applyNumberFormat="1" applyFont="1"/>
    <xf numFmtId="6" fontId="12" fillId="0" borderId="28" xfId="28" applyNumberFormat="1" applyBorder="1"/>
    <xf numFmtId="0" fontId="93" fillId="0" borderId="19" xfId="28" applyFont="1" applyBorder="1"/>
    <xf numFmtId="0" fontId="42" fillId="0" borderId="10" xfId="0" applyFont="1" applyBorder="1" applyAlignment="1">
      <alignment horizontal="left" indent="1"/>
    </xf>
    <xf numFmtId="189" fontId="33" fillId="0" borderId="19" xfId="0" applyNumberFormat="1" applyFont="1" applyBorder="1" applyAlignment="1">
      <alignment horizontal="right"/>
    </xf>
    <xf numFmtId="0" fontId="42" fillId="10" borderId="3" xfId="0" applyFont="1" applyFill="1" applyBorder="1" applyAlignment="1">
      <alignment horizontal="left" indent="1"/>
    </xf>
    <xf numFmtId="0" fontId="0" fillId="10" borderId="0" xfId="0" applyFill="1"/>
    <xf numFmtId="166" fontId="33" fillId="10" borderId="0" xfId="0" applyNumberFormat="1" applyFont="1" applyFill="1" applyAlignment="1">
      <alignment horizontal="left"/>
    </xf>
    <xf numFmtId="0" fontId="0" fillId="0" borderId="17" xfId="0" applyBorder="1"/>
    <xf numFmtId="0" fontId="7" fillId="22" borderId="0" xfId="36" applyFill="1"/>
    <xf numFmtId="0" fontId="7" fillId="22" borderId="0" xfId="36" applyFill="1" applyAlignment="1">
      <alignment horizontal="center"/>
    </xf>
    <xf numFmtId="0" fontId="81" fillId="25" borderId="0" xfId="36" applyFont="1" applyFill="1"/>
    <xf numFmtId="0" fontId="54" fillId="25" borderId="0" xfId="36" applyFont="1" applyFill="1"/>
    <xf numFmtId="0" fontId="54" fillId="25" borderId="0" xfId="36" applyFont="1" applyFill="1" applyAlignment="1">
      <alignment horizontal="center"/>
    </xf>
    <xf numFmtId="179" fontId="54" fillId="25" borderId="0" xfId="36" applyNumberFormat="1" applyFont="1" applyFill="1" applyAlignment="1">
      <alignment horizontal="right"/>
    </xf>
    <xf numFmtId="0" fontId="82" fillId="11" borderId="0" xfId="36" applyFont="1" applyFill="1"/>
    <xf numFmtId="0" fontId="54" fillId="11" borderId="0" xfId="36" applyFont="1" applyFill="1"/>
    <xf numFmtId="0" fontId="54" fillId="11" borderId="0" xfId="36" applyFont="1" applyFill="1" applyAlignment="1">
      <alignment horizontal="center"/>
    </xf>
    <xf numFmtId="0" fontId="91" fillId="23" borderId="0" xfId="36" applyFont="1" applyFill="1" applyAlignment="1">
      <alignment horizontal="right"/>
    </xf>
    <xf numFmtId="188" fontId="7" fillId="11" borderId="0" xfId="36" applyNumberFormat="1" applyFill="1" applyAlignment="1" applyProtection="1">
      <alignment horizontal="center"/>
      <protection locked="0"/>
    </xf>
    <xf numFmtId="188" fontId="7" fillId="11" borderId="0" xfId="36" applyNumberFormat="1" applyFill="1" applyAlignment="1" applyProtection="1">
      <alignment horizontal="right"/>
      <protection locked="0"/>
    </xf>
    <xf numFmtId="0" fontId="91" fillId="23" borderId="0" xfId="37" applyNumberFormat="1" applyFont="1" applyFill="1" applyAlignment="1">
      <alignment horizontal="center" vertical="center"/>
    </xf>
    <xf numFmtId="44" fontId="15" fillId="11" borderId="0" xfId="38" applyFont="1" applyFill="1" applyAlignment="1">
      <alignment horizontal="right"/>
    </xf>
    <xf numFmtId="0" fontId="28" fillId="0" borderId="0" xfId="36" applyFont="1" applyAlignment="1">
      <alignment horizontal="right"/>
    </xf>
    <xf numFmtId="0" fontId="83" fillId="23" borderId="0" xfId="36" applyFont="1" applyFill="1" applyAlignment="1">
      <alignment horizontal="right"/>
    </xf>
    <xf numFmtId="0" fontId="57" fillId="11" borderId="0" xfId="36" applyFont="1" applyFill="1" applyAlignment="1">
      <alignment horizontal="center"/>
    </xf>
    <xf numFmtId="0" fontId="7" fillId="0" borderId="0" xfId="36" applyAlignment="1">
      <alignment horizontal="center"/>
    </xf>
    <xf numFmtId="9" fontId="28" fillId="11" borderId="0" xfId="36" applyNumberFormat="1" applyFont="1" applyFill="1" applyAlignment="1">
      <alignment horizontal="left"/>
    </xf>
    <xf numFmtId="0" fontId="7" fillId="11" borderId="0" xfId="36" applyFill="1"/>
    <xf numFmtId="0" fontId="7" fillId="11" borderId="0" xfId="36" applyFill="1" applyAlignment="1">
      <alignment horizontal="right"/>
    </xf>
    <xf numFmtId="0" fontId="7" fillId="11" borderId="0" xfId="36" applyFill="1" applyAlignment="1">
      <alignment horizontal="center"/>
    </xf>
    <xf numFmtId="0" fontId="85" fillId="11" borderId="0" xfId="36" applyFont="1" applyFill="1"/>
    <xf numFmtId="0" fontId="57" fillId="11" borderId="0" xfId="36" applyFont="1" applyFill="1" applyAlignment="1">
      <alignment horizontal="right"/>
    </xf>
    <xf numFmtId="10" fontId="28" fillId="11" borderId="0" xfId="36" applyNumberFormat="1" applyFont="1" applyFill="1" applyAlignment="1">
      <alignment horizontal="center"/>
    </xf>
    <xf numFmtId="164" fontId="91" fillId="23" borderId="0" xfId="36" applyNumberFormat="1" applyFont="1" applyFill="1" applyAlignment="1" applyProtection="1">
      <alignment horizontal="right"/>
      <protection locked="0"/>
    </xf>
    <xf numFmtId="3" fontId="28" fillId="11" borderId="0" xfId="36" applyNumberFormat="1" applyFont="1" applyFill="1" applyAlignment="1">
      <alignment horizontal="right"/>
    </xf>
    <xf numFmtId="0" fontId="7" fillId="11" borderId="0" xfId="36" applyFill="1" applyAlignment="1">
      <alignment horizontal="left"/>
    </xf>
    <xf numFmtId="0" fontId="86" fillId="11" borderId="14" xfId="36" applyFont="1" applyFill="1" applyBorder="1" applyAlignment="1">
      <alignment horizontal="right" vertical="center"/>
    </xf>
    <xf numFmtId="0" fontId="87" fillId="11" borderId="16" xfId="36" applyFont="1" applyFill="1" applyBorder="1" applyAlignment="1">
      <alignment horizontal="left" vertical="center"/>
    </xf>
    <xf numFmtId="164" fontId="7" fillId="11" borderId="0" xfId="36" applyNumberFormat="1" applyFill="1" applyAlignment="1">
      <alignment horizontal="right"/>
    </xf>
    <xf numFmtId="3" fontId="84" fillId="11" borderId="0" xfId="36" applyNumberFormat="1" applyFont="1" applyFill="1" applyAlignment="1">
      <alignment horizontal="right"/>
    </xf>
    <xf numFmtId="9" fontId="83" fillId="11" borderId="0" xfId="36" applyNumberFormat="1" applyFont="1" applyFill="1" applyAlignment="1">
      <alignment horizontal="center"/>
    </xf>
    <xf numFmtId="0" fontId="86" fillId="11" borderId="3" xfId="36" applyFont="1" applyFill="1" applyBorder="1" applyAlignment="1">
      <alignment horizontal="right" vertical="center"/>
    </xf>
    <xf numFmtId="180" fontId="86" fillId="11" borderId="17" xfId="36" applyNumberFormat="1" applyFont="1" applyFill="1" applyBorder="1" applyAlignment="1">
      <alignment horizontal="left" vertical="center"/>
    </xf>
    <xf numFmtId="165" fontId="7" fillId="11" borderId="0" xfId="36" applyNumberFormat="1" applyFill="1"/>
    <xf numFmtId="164" fontId="7" fillId="11" borderId="0" xfId="36" applyNumberFormat="1" applyFill="1" applyAlignment="1">
      <alignment horizontal="center"/>
    </xf>
    <xf numFmtId="0" fontId="86" fillId="11" borderId="10" xfId="36" applyFont="1" applyFill="1" applyBorder="1" applyAlignment="1">
      <alignment horizontal="right" vertical="center"/>
    </xf>
    <xf numFmtId="180" fontId="86" fillId="11" borderId="4" xfId="36" applyNumberFormat="1" applyFont="1" applyFill="1" applyBorder="1" applyAlignment="1">
      <alignment horizontal="left" vertical="center"/>
    </xf>
    <xf numFmtId="190" fontId="7" fillId="11" borderId="0" xfId="36" applyNumberFormat="1" applyFill="1" applyAlignment="1">
      <alignment horizontal="center"/>
    </xf>
    <xf numFmtId="6" fontId="28" fillId="11" borderId="0" xfId="36" applyNumberFormat="1" applyFont="1" applyFill="1" applyAlignment="1">
      <alignment horizontal="right"/>
    </xf>
    <xf numFmtId="0" fontId="7" fillId="11" borderId="25" xfId="36" applyFill="1" applyBorder="1" applyAlignment="1">
      <alignment horizontal="center"/>
    </xf>
    <xf numFmtId="0" fontId="85" fillId="11" borderId="1" xfId="36" applyFont="1" applyFill="1" applyBorder="1"/>
    <xf numFmtId="0" fontId="7" fillId="11" borderId="1" xfId="36" applyFill="1" applyBorder="1"/>
    <xf numFmtId="0" fontId="7" fillId="11" borderId="1" xfId="36" applyFill="1" applyBorder="1" applyAlignment="1">
      <alignment horizontal="right"/>
    </xf>
    <xf numFmtId="0" fontId="57" fillId="11" borderId="1" xfId="36" applyFont="1" applyFill="1" applyBorder="1" applyAlignment="1">
      <alignment horizontal="right"/>
    </xf>
    <xf numFmtId="0" fontId="57" fillId="11" borderId="1" xfId="36" applyFont="1" applyFill="1" applyBorder="1" applyAlignment="1">
      <alignment horizontal="left"/>
    </xf>
    <xf numFmtId="0" fontId="57" fillId="11" borderId="27" xfId="36" applyFont="1" applyFill="1" applyBorder="1" applyAlignment="1">
      <alignment horizontal="left"/>
    </xf>
    <xf numFmtId="0" fontId="7" fillId="11" borderId="1" xfId="36" applyFill="1" applyBorder="1" applyAlignment="1">
      <alignment horizontal="center"/>
    </xf>
    <xf numFmtId="0" fontId="88" fillId="11" borderId="0" xfId="36" applyFont="1" applyFill="1" applyAlignment="1">
      <alignment horizontal="center"/>
    </xf>
    <xf numFmtId="0" fontId="88" fillId="11" borderId="0" xfId="36" applyFont="1" applyFill="1" applyAlignment="1">
      <alignment horizontal="right"/>
    </xf>
    <xf numFmtId="181" fontId="28" fillId="11" borderId="0" xfId="36" applyNumberFormat="1" applyFont="1" applyFill="1" applyAlignment="1">
      <alignment horizontal="left"/>
    </xf>
    <xf numFmtId="164" fontId="89" fillId="11" borderId="0" xfId="36" applyNumberFormat="1" applyFont="1" applyFill="1" applyAlignment="1">
      <alignment horizontal="left"/>
    </xf>
    <xf numFmtId="164" fontId="89" fillId="11" borderId="24" xfId="36" applyNumberFormat="1" applyFont="1" applyFill="1" applyBorder="1" applyAlignment="1">
      <alignment horizontal="center"/>
    </xf>
    <xf numFmtId="164" fontId="91" fillId="23" borderId="0" xfId="36" applyNumberFormat="1" applyFont="1" applyFill="1" applyAlignment="1">
      <alignment horizontal="center"/>
    </xf>
    <xf numFmtId="3" fontId="7" fillId="11" borderId="0" xfId="36" applyNumberFormat="1" applyFill="1"/>
    <xf numFmtId="182" fontId="83" fillId="23" borderId="0" xfId="36" applyNumberFormat="1" applyFont="1" applyFill="1" applyAlignment="1">
      <alignment horizontal="right"/>
    </xf>
    <xf numFmtId="183" fontId="91" fillId="23" borderId="0" xfId="36" applyNumberFormat="1" applyFont="1" applyFill="1" applyAlignment="1" applyProtection="1">
      <alignment horizontal="right"/>
      <protection locked="0"/>
    </xf>
    <xf numFmtId="184" fontId="28" fillId="11" borderId="0" xfId="36" applyNumberFormat="1" applyFont="1" applyFill="1" applyAlignment="1">
      <alignment horizontal="left"/>
    </xf>
    <xf numFmtId="164" fontId="7" fillId="11" borderId="24" xfId="36" applyNumberFormat="1" applyFill="1" applyBorder="1" applyAlignment="1">
      <alignment horizontal="center"/>
    </xf>
    <xf numFmtId="164" fontId="28" fillId="11" borderId="0" xfId="36" applyNumberFormat="1" applyFont="1" applyFill="1" applyAlignment="1">
      <alignment horizontal="center"/>
    </xf>
    <xf numFmtId="190" fontId="7" fillId="11" borderId="0" xfId="36" applyNumberFormat="1" applyFill="1"/>
    <xf numFmtId="183" fontId="83" fillId="11" borderId="0" xfId="36" applyNumberFormat="1" applyFont="1" applyFill="1"/>
    <xf numFmtId="9" fontId="28" fillId="11" borderId="0" xfId="36" applyNumberFormat="1" applyFont="1" applyFill="1" applyAlignment="1">
      <alignment horizontal="center"/>
    </xf>
    <xf numFmtId="10" fontId="7" fillId="11" borderId="0" xfId="36" applyNumberFormat="1" applyFill="1" applyAlignment="1">
      <alignment horizontal="center"/>
    </xf>
    <xf numFmtId="183" fontId="83" fillId="11" borderId="1" xfId="36" applyNumberFormat="1" applyFont="1" applyFill="1" applyBorder="1"/>
    <xf numFmtId="184" fontId="28" fillId="11" borderId="1" xfId="36" applyNumberFormat="1" applyFont="1" applyFill="1" applyBorder="1" applyAlignment="1">
      <alignment horizontal="left"/>
    </xf>
    <xf numFmtId="171" fontId="7" fillId="11" borderId="1" xfId="36" applyNumberFormat="1" applyFill="1" applyBorder="1" applyAlignment="1">
      <alignment horizontal="right"/>
    </xf>
    <xf numFmtId="0" fontId="69" fillId="11" borderId="0" xfId="36" applyFont="1" applyFill="1" applyAlignment="1">
      <alignment horizontal="left"/>
    </xf>
    <xf numFmtId="9" fontId="83" fillId="11" borderId="0" xfId="36" applyNumberFormat="1" applyFont="1" applyFill="1" applyAlignment="1">
      <alignment horizontal="right"/>
    </xf>
    <xf numFmtId="9" fontId="28" fillId="11" borderId="0" xfId="36" applyNumberFormat="1" applyFont="1" applyFill="1" applyAlignment="1">
      <alignment horizontal="right"/>
    </xf>
    <xf numFmtId="10" fontId="7" fillId="11" borderId="0" xfId="36" applyNumberFormat="1" applyFill="1" applyAlignment="1">
      <alignment horizontal="right"/>
    </xf>
    <xf numFmtId="0" fontId="7" fillId="11" borderId="0" xfId="36" applyFill="1" applyAlignment="1">
      <alignment horizontal="left" indent="1"/>
    </xf>
    <xf numFmtId="165" fontId="91" fillId="24" borderId="0" xfId="37" applyNumberFormat="1" applyFont="1" applyFill="1" applyAlignment="1">
      <alignment horizontal="center"/>
    </xf>
    <xf numFmtId="10" fontId="91" fillId="24" borderId="0" xfId="39" applyNumberFormat="1" applyFont="1" applyFill="1" applyAlignment="1">
      <alignment horizontal="right"/>
    </xf>
    <xf numFmtId="2" fontId="91" fillId="24" borderId="0" xfId="36" applyNumberFormat="1" applyFont="1" applyFill="1" applyAlignment="1">
      <alignment horizontal="right"/>
    </xf>
    <xf numFmtId="0" fontId="60" fillId="11" borderId="0" xfId="36" applyFont="1" applyFill="1" applyAlignment="1">
      <alignment horizontal="left" indent="1"/>
    </xf>
    <xf numFmtId="0" fontId="60" fillId="11" borderId="0" xfId="36" applyFont="1" applyFill="1"/>
    <xf numFmtId="165" fontId="60" fillId="24" borderId="0" xfId="37" applyNumberFormat="1" applyFont="1" applyFill="1" applyAlignment="1">
      <alignment horizontal="center"/>
    </xf>
    <xf numFmtId="184" fontId="60" fillId="11" borderId="0" xfId="36" applyNumberFormat="1" applyFont="1" applyFill="1" applyAlignment="1">
      <alignment horizontal="left"/>
    </xf>
    <xf numFmtId="3" fontId="60" fillId="11" borderId="0" xfId="36" applyNumberFormat="1" applyFont="1" applyFill="1" applyAlignment="1">
      <alignment horizontal="right"/>
    </xf>
    <xf numFmtId="0" fontId="60" fillId="22" borderId="0" xfId="36" applyFont="1" applyFill="1"/>
    <xf numFmtId="0" fontId="56" fillId="11" borderId="0" xfId="36" applyFont="1" applyFill="1" applyAlignment="1">
      <alignment horizontal="left" indent="1"/>
    </xf>
    <xf numFmtId="0" fontId="56" fillId="11" borderId="0" xfId="36" applyFont="1" applyFill="1"/>
    <xf numFmtId="6" fontId="56" fillId="11" borderId="0" xfId="36" applyNumberFormat="1" applyFont="1" applyFill="1"/>
    <xf numFmtId="0" fontId="28" fillId="22" borderId="0" xfId="36" applyFont="1" applyFill="1"/>
    <xf numFmtId="186" fontId="7" fillId="23" borderId="0" xfId="36" applyNumberFormat="1" applyFill="1" applyAlignment="1" applyProtection="1">
      <alignment horizontal="right"/>
      <protection locked="0"/>
    </xf>
    <xf numFmtId="186" fontId="7" fillId="11" borderId="0" xfId="36" applyNumberFormat="1" applyFill="1" applyAlignment="1">
      <alignment horizontal="right"/>
    </xf>
    <xf numFmtId="0" fontId="28" fillId="11" borderId="0" xfId="36" applyFont="1" applyFill="1"/>
    <xf numFmtId="3" fontId="28" fillId="11" borderId="0" xfId="36" applyNumberFormat="1" applyFont="1" applyFill="1" applyAlignment="1" applyProtection="1">
      <alignment horizontal="right"/>
      <protection locked="0"/>
    </xf>
    <xf numFmtId="10" fontId="91" fillId="23" borderId="0" xfId="36" applyNumberFormat="1" applyFont="1" applyFill="1" applyAlignment="1">
      <alignment horizontal="right"/>
    </xf>
    <xf numFmtId="10" fontId="91" fillId="23" borderId="0" xfId="36" applyNumberFormat="1" applyFont="1" applyFill="1"/>
    <xf numFmtId="0" fontId="28" fillId="11" borderId="0" xfId="37" applyNumberFormat="1" applyFont="1" applyFill="1" applyAlignment="1"/>
    <xf numFmtId="0" fontId="94" fillId="11" borderId="0" xfId="36" applyFont="1" applyFill="1"/>
    <xf numFmtId="178" fontId="7" fillId="11" borderId="0" xfId="36" applyNumberFormat="1" applyFill="1" applyAlignment="1">
      <alignment horizontal="right"/>
    </xf>
    <xf numFmtId="3" fontId="56" fillId="11" borderId="0" xfId="36" applyNumberFormat="1" applyFont="1" applyFill="1" applyAlignment="1">
      <alignment horizontal="right"/>
    </xf>
    <xf numFmtId="0" fontId="59" fillId="11" borderId="1" xfId="36" applyFont="1" applyFill="1" applyBorder="1" applyAlignment="1">
      <alignment horizontal="right"/>
    </xf>
    <xf numFmtId="164" fontId="59" fillId="11" borderId="1" xfId="36" applyNumberFormat="1" applyFont="1" applyFill="1" applyBorder="1" applyAlignment="1">
      <alignment horizontal="left"/>
    </xf>
    <xf numFmtId="3" fontId="7" fillId="11" borderId="0" xfId="36" applyNumberFormat="1" applyFill="1" applyAlignment="1">
      <alignment horizontal="right"/>
    </xf>
    <xf numFmtId="3" fontId="38" fillId="11" borderId="0" xfId="36" applyNumberFormat="1" applyFont="1" applyFill="1" applyAlignment="1">
      <alignment horizontal="right"/>
    </xf>
    <xf numFmtId="4" fontId="7" fillId="11" borderId="0" xfId="36" applyNumberFormat="1" applyFill="1" applyAlignment="1">
      <alignment horizontal="left"/>
    </xf>
    <xf numFmtId="10" fontId="90" fillId="0" borderId="0" xfId="36" applyNumberFormat="1" applyFont="1" applyAlignment="1">
      <alignment horizontal="right"/>
    </xf>
    <xf numFmtId="187" fontId="7" fillId="11" borderId="0" xfId="36" applyNumberFormat="1" applyFill="1" applyAlignment="1">
      <alignment horizontal="left"/>
    </xf>
    <xf numFmtId="0" fontId="54" fillId="11" borderId="0" xfId="36" applyFont="1" applyFill="1" applyAlignment="1">
      <alignment horizontal="right"/>
    </xf>
    <xf numFmtId="8" fontId="17" fillId="3" borderId="0" xfId="0" applyNumberFormat="1" applyFont="1" applyFill="1"/>
    <xf numFmtId="0" fontId="95" fillId="0" borderId="0" xfId="0" applyFont="1"/>
    <xf numFmtId="6" fontId="95" fillId="0" borderId="0" xfId="0" applyNumberFormat="1" applyFont="1"/>
    <xf numFmtId="6" fontId="96" fillId="0" borderId="0" xfId="0" applyNumberFormat="1" applyFont="1"/>
    <xf numFmtId="6" fontId="95" fillId="0" borderId="0" xfId="0" applyNumberFormat="1" applyFont="1" applyAlignment="1">
      <alignment horizontal="right"/>
    </xf>
    <xf numFmtId="6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95" fillId="21" borderId="0" xfId="0" applyFont="1" applyFill="1"/>
    <xf numFmtId="0" fontId="20" fillId="5" borderId="29" xfId="5" applyFont="1" applyFill="1" applyBorder="1" applyAlignment="1">
      <alignment horizontal="center"/>
    </xf>
    <xf numFmtId="0" fontId="16" fillId="0" borderId="31" xfId="0" applyFont="1" applyBorder="1" applyAlignment="1">
      <alignment horizontal="center"/>
    </xf>
    <xf numFmtId="44" fontId="99" fillId="13" borderId="0" xfId="25" applyNumberFormat="1" applyFont="1" applyAlignment="1">
      <alignment horizontal="center"/>
    </xf>
    <xf numFmtId="0" fontId="17" fillId="0" borderId="0" xfId="1" applyNumberFormat="1" applyFont="1" applyAlignment="1">
      <alignment horizontal="center"/>
    </xf>
    <xf numFmtId="0" fontId="100" fillId="0" borderId="30" xfId="0" applyFont="1" applyBorder="1"/>
    <xf numFmtId="0" fontId="101" fillId="0" borderId="31" xfId="0" applyFont="1" applyBorder="1" applyAlignment="1">
      <alignment horizontal="center"/>
    </xf>
    <xf numFmtId="0" fontId="101" fillId="0" borderId="32" xfId="0" applyFont="1" applyBorder="1" applyAlignment="1">
      <alignment horizontal="center"/>
    </xf>
    <xf numFmtId="0" fontId="100" fillId="0" borderId="0" xfId="0" applyFont="1" applyAlignment="1">
      <alignment horizontal="right"/>
    </xf>
    <xf numFmtId="10" fontId="101" fillId="0" borderId="0" xfId="0" applyNumberFormat="1" applyFont="1" applyAlignment="1">
      <alignment horizontal="center"/>
    </xf>
    <xf numFmtId="10" fontId="101" fillId="0" borderId="33" xfId="0" applyNumberFormat="1" applyFont="1" applyBorder="1" applyAlignment="1">
      <alignment horizontal="center"/>
    </xf>
    <xf numFmtId="175" fontId="101" fillId="0" borderId="0" xfId="0" applyNumberFormat="1" applyFont="1" applyAlignment="1">
      <alignment horizontal="center"/>
    </xf>
    <xf numFmtId="175" fontId="101" fillId="0" borderId="34" xfId="0" applyNumberFormat="1" applyFont="1" applyBorder="1" applyAlignment="1">
      <alignment horizontal="center"/>
    </xf>
    <xf numFmtId="6" fontId="101" fillId="0" borderId="0" xfId="0" applyNumberFormat="1" applyFont="1" applyAlignment="1">
      <alignment horizontal="center"/>
    </xf>
    <xf numFmtId="6" fontId="101" fillId="0" borderId="34" xfId="0" applyNumberFormat="1" applyFont="1" applyBorder="1" applyAlignment="1">
      <alignment horizontal="center"/>
    </xf>
    <xf numFmtId="165" fontId="101" fillId="0" borderId="0" xfId="0" applyNumberFormat="1" applyFont="1" applyAlignment="1">
      <alignment horizontal="center"/>
    </xf>
    <xf numFmtId="165" fontId="101" fillId="0" borderId="34" xfId="0" applyNumberFormat="1" applyFont="1" applyBorder="1" applyAlignment="1">
      <alignment horizontal="center"/>
    </xf>
    <xf numFmtId="0" fontId="53" fillId="25" borderId="0" xfId="40" applyFont="1" applyFill="1" applyAlignment="1">
      <alignment horizontal="center"/>
    </xf>
    <xf numFmtId="0" fontId="103" fillId="25" borderId="0" xfId="41" applyFont="1" applyFill="1" applyAlignment="1">
      <alignment horizontal="center"/>
    </xf>
    <xf numFmtId="0" fontId="5" fillId="25" borderId="0" xfId="40" applyFill="1"/>
    <xf numFmtId="0" fontId="5" fillId="0" borderId="0" xfId="40"/>
    <xf numFmtId="0" fontId="38" fillId="0" borderId="0" xfId="40" applyFont="1" applyAlignment="1">
      <alignment horizontal="left"/>
    </xf>
    <xf numFmtId="6" fontId="38" fillId="0" borderId="0" xfId="41" applyNumberFormat="1" applyFont="1" applyFill="1" applyAlignment="1">
      <alignment horizontal="right"/>
    </xf>
    <xf numFmtId="191" fontId="104" fillId="0" borderId="0" xfId="40" applyNumberFormat="1" applyFont="1" applyAlignment="1">
      <alignment horizontal="center"/>
    </xf>
    <xf numFmtId="6" fontId="57" fillId="0" borderId="0" xfId="40" applyNumberFormat="1" applyFont="1"/>
    <xf numFmtId="0" fontId="105" fillId="0" borderId="0" xfId="42" applyFont="1" applyAlignment="1">
      <alignment horizontal="center"/>
    </xf>
    <xf numFmtId="192" fontId="104" fillId="0" borderId="0" xfId="40" applyNumberFormat="1" applyFont="1" applyAlignment="1">
      <alignment horizontal="center"/>
    </xf>
    <xf numFmtId="193" fontId="104" fillId="0" borderId="0" xfId="40" applyNumberFormat="1" applyFont="1" applyAlignment="1">
      <alignment horizontal="center"/>
    </xf>
    <xf numFmtId="194" fontId="104" fillId="0" borderId="0" xfId="40" applyNumberFormat="1" applyFont="1" applyAlignment="1">
      <alignment horizontal="center"/>
    </xf>
    <xf numFmtId="6" fontId="105" fillId="0" borderId="0" xfId="42" applyNumberFormat="1" applyFont="1" applyAlignment="1">
      <alignment horizontal="center"/>
    </xf>
    <xf numFmtId="195" fontId="104" fillId="0" borderId="0" xfId="40" applyNumberFormat="1" applyFont="1" applyAlignment="1" applyProtection="1">
      <alignment horizontal="center"/>
      <protection locked="0"/>
    </xf>
    <xf numFmtId="0" fontId="5" fillId="0" borderId="0" xfId="40" applyAlignment="1">
      <alignment horizontal="left" indent="1"/>
    </xf>
    <xf numFmtId="9" fontId="105" fillId="0" borderId="0" xfId="42" applyNumberFormat="1" applyFont="1" applyAlignment="1">
      <alignment horizontal="center"/>
    </xf>
    <xf numFmtId="0" fontId="106" fillId="0" borderId="0" xfId="40" applyFont="1"/>
    <xf numFmtId="6" fontId="5" fillId="0" borderId="0" xfId="40" applyNumberFormat="1"/>
    <xf numFmtId="6" fontId="5" fillId="0" borderId="1" xfId="40" applyNumberFormat="1" applyBorder="1"/>
    <xf numFmtId="6" fontId="5" fillId="0" borderId="28" xfId="40" applyNumberFormat="1" applyBorder="1"/>
    <xf numFmtId="10" fontId="105" fillId="0" borderId="0" xfId="42" applyNumberFormat="1" applyFont="1" applyAlignment="1">
      <alignment horizontal="center"/>
    </xf>
    <xf numFmtId="8" fontId="57" fillId="0" borderId="0" xfId="40" applyNumberFormat="1" applyFont="1"/>
    <xf numFmtId="0" fontId="105" fillId="0" borderId="0" xfId="43" applyNumberFormat="1" applyFont="1" applyAlignment="1">
      <alignment horizontal="center"/>
    </xf>
    <xf numFmtId="8" fontId="5" fillId="0" borderId="0" xfId="40" applyNumberFormat="1" applyAlignment="1">
      <alignment horizontal="center"/>
    </xf>
    <xf numFmtId="6" fontId="28" fillId="0" borderId="0" xfId="42" applyNumberFormat="1" applyFont="1" applyAlignment="1">
      <alignment horizontal="center"/>
    </xf>
    <xf numFmtId="9" fontId="0" fillId="0" borderId="0" xfId="44" applyFont="1" applyAlignment="1">
      <alignment horizontal="center"/>
    </xf>
    <xf numFmtId="6" fontId="5" fillId="0" borderId="0" xfId="40" applyNumberFormat="1" applyAlignment="1">
      <alignment horizontal="center"/>
    </xf>
    <xf numFmtId="164" fontId="0" fillId="0" borderId="0" xfId="44" applyNumberFormat="1" applyFont="1" applyBorder="1" applyAlignment="1">
      <alignment horizontal="center"/>
    </xf>
    <xf numFmtId="0" fontId="57" fillId="0" borderId="0" xfId="40" applyFont="1"/>
    <xf numFmtId="0" fontId="53" fillId="0" borderId="0" xfId="26" applyFont="1" applyFill="1" applyAlignment="1"/>
    <xf numFmtId="6" fontId="107" fillId="0" borderId="0" xfId="0" applyNumberFormat="1" applyFont="1" applyAlignment="1">
      <alignment horizontal="center"/>
    </xf>
    <xf numFmtId="0" fontId="107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15" fillId="0" borderId="0" xfId="45" applyFont="1"/>
    <xf numFmtId="0" fontId="4" fillId="0" borderId="0" xfId="45"/>
    <xf numFmtId="0" fontId="79" fillId="0" borderId="0" xfId="45" applyFont="1"/>
    <xf numFmtId="0" fontId="16" fillId="0" borderId="0" xfId="45" applyFont="1" applyAlignment="1">
      <alignment horizontal="center"/>
    </xf>
    <xf numFmtId="0" fontId="20" fillId="5" borderId="0" xfId="46" applyFont="1" applyFill="1" applyAlignment="1">
      <alignment horizontal="left"/>
    </xf>
    <xf numFmtId="0" fontId="20" fillId="5" borderId="0" xfId="46" applyFont="1" applyFill="1" applyAlignment="1">
      <alignment horizontal="center"/>
    </xf>
    <xf numFmtId="0" fontId="4" fillId="0" borderId="0" xfId="45" applyAlignment="1">
      <alignment horizontal="center"/>
    </xf>
    <xf numFmtId="0" fontId="4" fillId="0" borderId="0" xfId="46" applyAlignment="1">
      <alignment horizontal="left" indent="1"/>
    </xf>
    <xf numFmtId="6" fontId="17" fillId="0" borderId="0" xfId="47" applyNumberFormat="1" applyFont="1" applyBorder="1" applyAlignment="1">
      <alignment horizontal="right"/>
    </xf>
    <xf numFmtId="6" fontId="4" fillId="0" borderId="0" xfId="45" applyNumberFormat="1" applyAlignment="1">
      <alignment horizontal="center"/>
    </xf>
    <xf numFmtId="0" fontId="4" fillId="0" borderId="0" xfId="45" applyAlignment="1">
      <alignment horizontal="right"/>
    </xf>
    <xf numFmtId="0" fontId="108" fillId="0" borderId="0" xfId="48" applyNumberFormat="1" applyFont="1" applyAlignment="1">
      <alignment horizontal="center"/>
    </xf>
    <xf numFmtId="0" fontId="79" fillId="0" borderId="0" xfId="45" applyFont="1" applyAlignment="1">
      <alignment horizontal="left"/>
    </xf>
    <xf numFmtId="0" fontId="4" fillId="0" borderId="0" xfId="45" applyAlignment="1">
      <alignment horizontal="left" indent="1"/>
    </xf>
    <xf numFmtId="0" fontId="15" fillId="0" borderId="1" xfId="46" applyFont="1" applyBorder="1"/>
    <xf numFmtId="0" fontId="15" fillId="0" borderId="1" xfId="46" applyFont="1" applyBorder="1" applyAlignment="1">
      <alignment horizontal="center"/>
    </xf>
    <xf numFmtId="0" fontId="4" fillId="0" borderId="0" xfId="45" quotePrefix="1"/>
    <xf numFmtId="164" fontId="4" fillId="0" borderId="0" xfId="45" applyNumberFormat="1" applyAlignment="1">
      <alignment horizontal="center"/>
    </xf>
    <xf numFmtId="0" fontId="4" fillId="0" borderId="1" xfId="46" applyBorder="1" applyAlignment="1">
      <alignment horizontal="left" indent="1"/>
    </xf>
    <xf numFmtId="0" fontId="4" fillId="0" borderId="1" xfId="45" applyBorder="1" applyAlignment="1">
      <alignment horizontal="center"/>
    </xf>
    <xf numFmtId="164" fontId="4" fillId="0" borderId="1" xfId="45" applyNumberFormat="1" applyBorder="1" applyAlignment="1">
      <alignment horizontal="center"/>
    </xf>
    <xf numFmtId="0" fontId="15" fillId="0" borderId="0" xfId="46" applyFont="1"/>
    <xf numFmtId="0" fontId="15" fillId="0" borderId="0" xfId="46" applyFont="1" applyAlignment="1">
      <alignment horizontal="center"/>
    </xf>
    <xf numFmtId="0" fontId="109" fillId="0" borderId="0" xfId="45" applyFont="1" applyAlignment="1">
      <alignment horizontal="center"/>
    </xf>
    <xf numFmtId="0" fontId="4" fillId="0" borderId="0" xfId="46" applyAlignment="1">
      <alignment horizontal="left"/>
    </xf>
    <xf numFmtId="0" fontId="17" fillId="0" borderId="0" xfId="45" applyFont="1" applyAlignment="1">
      <alignment horizontal="center"/>
    </xf>
    <xf numFmtId="43" fontId="4" fillId="0" borderId="0" xfId="45" applyNumberFormat="1"/>
    <xf numFmtId="0" fontId="20" fillId="6" borderId="0" xfId="46" applyFont="1" applyFill="1" applyAlignment="1">
      <alignment horizontal="left"/>
    </xf>
    <xf numFmtId="0" fontId="20" fillId="6" borderId="0" xfId="46" applyFont="1" applyFill="1" applyAlignment="1">
      <alignment horizontal="center"/>
    </xf>
    <xf numFmtId="165" fontId="16" fillId="0" borderId="0" xfId="48" applyNumberFormat="1" applyFont="1" applyFill="1"/>
    <xf numFmtId="171" fontId="20" fillId="6" borderId="0" xfId="45" applyNumberFormat="1" applyFont="1" applyFill="1" applyAlignment="1">
      <alignment horizontal="center"/>
    </xf>
    <xf numFmtId="0" fontId="110" fillId="0" borderId="0" xfId="49" applyNumberFormat="1" applyFont="1" applyFill="1" applyAlignment="1">
      <alignment horizontal="center"/>
    </xf>
    <xf numFmtId="0" fontId="111" fillId="0" borderId="0" xfId="45" applyFont="1" applyAlignment="1">
      <alignment horizontal="right"/>
    </xf>
    <xf numFmtId="165" fontId="0" fillId="0" borderId="0" xfId="48" applyNumberFormat="1" applyFont="1"/>
    <xf numFmtId="0" fontId="109" fillId="0" borderId="0" xfId="45" applyFont="1"/>
    <xf numFmtId="165" fontId="109" fillId="0" borderId="0" xfId="48" applyNumberFormat="1" applyFont="1" applyFill="1" applyAlignment="1">
      <alignment horizontal="right"/>
    </xf>
    <xf numFmtId="174" fontId="109" fillId="0" borderId="0" xfId="45" applyNumberFormat="1" applyFont="1" applyAlignment="1">
      <alignment horizontal="right"/>
    </xf>
    <xf numFmtId="174" fontId="112" fillId="0" borderId="0" xfId="48" applyNumberFormat="1" applyFont="1" applyFill="1" applyBorder="1"/>
    <xf numFmtId="44" fontId="4" fillId="0" borderId="0" xfId="45" applyNumberFormat="1"/>
    <xf numFmtId="166" fontId="16" fillId="0" borderId="0" xfId="49" applyNumberFormat="1" applyFont="1" applyFill="1"/>
    <xf numFmtId="44" fontId="98" fillId="0" borderId="0" xfId="25" applyNumberFormat="1" applyFont="1" applyFill="1" applyBorder="1" applyAlignment="1">
      <alignment horizontal="center"/>
    </xf>
    <xf numFmtId="166" fontId="110" fillId="0" borderId="0" xfId="49" applyNumberFormat="1" applyFont="1" applyFill="1" applyAlignment="1">
      <alignment horizontal="center"/>
    </xf>
    <xf numFmtId="0" fontId="111" fillId="0" borderId="0" xfId="45" applyFont="1" applyAlignment="1">
      <alignment horizontal="center"/>
    </xf>
    <xf numFmtId="9" fontId="97" fillId="0" borderId="0" xfId="45" applyNumberFormat="1" applyFont="1" applyAlignment="1">
      <alignment horizontal="center"/>
    </xf>
    <xf numFmtId="165" fontId="16" fillId="7" borderId="0" xfId="48" applyNumberFormat="1" applyFont="1" applyFill="1"/>
    <xf numFmtId="165" fontId="16" fillId="7" borderId="1" xfId="48" applyNumberFormat="1" applyFont="1" applyFill="1" applyBorder="1"/>
    <xf numFmtId="0" fontId="4" fillId="0" borderId="0" xfId="45" applyAlignment="1">
      <alignment horizontal="left"/>
    </xf>
    <xf numFmtId="165" fontId="55" fillId="0" borderId="0" xfId="48" applyNumberFormat="1" applyFont="1" applyFill="1"/>
    <xf numFmtId="165" fontId="15" fillId="0" borderId="0" xfId="48" applyNumberFormat="1" applyFont="1" applyFill="1" applyBorder="1"/>
    <xf numFmtId="6" fontId="97" fillId="0" borderId="0" xfId="45" applyNumberFormat="1" applyFont="1" applyAlignment="1">
      <alignment horizontal="center"/>
    </xf>
    <xf numFmtId="0" fontId="23" fillId="0" borderId="0" xfId="45" applyFont="1" applyAlignment="1">
      <alignment horizontal="right"/>
    </xf>
    <xf numFmtId="164" fontId="109" fillId="0" borderId="0" xfId="48" applyNumberFormat="1" applyFont="1" applyFill="1" applyAlignment="1">
      <alignment horizontal="right"/>
    </xf>
    <xf numFmtId="166" fontId="4" fillId="0" borderId="0" xfId="45" applyNumberFormat="1"/>
    <xf numFmtId="0" fontId="109" fillId="0" borderId="0" xfId="45" applyFont="1" applyAlignment="1">
      <alignment horizontal="right"/>
    </xf>
    <xf numFmtId="0" fontId="16" fillId="0" borderId="0" xfId="45" applyFont="1"/>
    <xf numFmtId="3" fontId="15" fillId="0" borderId="0" xfId="45" applyNumberFormat="1" applyFont="1"/>
    <xf numFmtId="3" fontId="28" fillId="0" borderId="0" xfId="34" applyNumberFormat="1" applyFont="1"/>
    <xf numFmtId="10" fontId="28" fillId="0" borderId="0" xfId="34" applyNumberFormat="1" applyFont="1"/>
    <xf numFmtId="185" fontId="28" fillId="0" borderId="0" xfId="34" applyNumberFormat="1" applyFont="1"/>
    <xf numFmtId="0" fontId="28" fillId="0" borderId="0" xfId="34" applyFont="1"/>
    <xf numFmtId="183" fontId="28" fillId="0" borderId="0" xfId="34" applyNumberFormat="1" applyFont="1"/>
    <xf numFmtId="0" fontId="28" fillId="0" borderId="0" xfId="34" applyFont="1" applyAlignment="1">
      <alignment horizontal="left" indent="1"/>
    </xf>
    <xf numFmtId="0" fontId="28" fillId="0" borderId="0" xfId="34" applyFont="1" applyAlignment="1">
      <alignment horizontal="left"/>
    </xf>
    <xf numFmtId="8" fontId="5" fillId="0" borderId="0" xfId="40" applyNumberFormat="1"/>
    <xf numFmtId="9" fontId="5" fillId="0" borderId="0" xfId="40" applyNumberFormat="1"/>
    <xf numFmtId="10" fontId="0" fillId="0" borderId="0" xfId="44" applyNumberFormat="1" applyFont="1" applyAlignment="1">
      <alignment horizontal="center"/>
    </xf>
    <xf numFmtId="0" fontId="3" fillId="0" borderId="0" xfId="40" applyFont="1"/>
    <xf numFmtId="6" fontId="28" fillId="0" borderId="0" xfId="26" applyNumberFormat="1" applyFont="1" applyFill="1" applyBorder="1" applyAlignment="1">
      <alignment horizontal="right"/>
    </xf>
    <xf numFmtId="6" fontId="57" fillId="0" borderId="0" xfId="28" applyNumberFormat="1" applyFont="1"/>
    <xf numFmtId="0" fontId="93" fillId="0" borderId="0" xfId="28" applyFont="1"/>
    <xf numFmtId="0" fontId="57" fillId="0" borderId="0" xfId="27" applyFont="1" applyFill="1" applyAlignment="1">
      <alignment horizontal="center"/>
    </xf>
    <xf numFmtId="0" fontId="28" fillId="0" borderId="0" xfId="26" applyNumberFormat="1" applyFont="1" applyFill="1" applyBorder="1" applyAlignment="1">
      <alignment horizontal="right"/>
    </xf>
    <xf numFmtId="0" fontId="57" fillId="28" borderId="0" xfId="28" applyFont="1" applyFill="1" applyAlignment="1">
      <alignment horizontal="center"/>
    </xf>
    <xf numFmtId="0" fontId="53" fillId="29" borderId="0" xfId="28" applyFont="1" applyFill="1" applyAlignment="1">
      <alignment horizontal="center"/>
    </xf>
    <xf numFmtId="0" fontId="53" fillId="29" borderId="19" xfId="28" applyFont="1" applyFill="1" applyBorder="1" applyAlignment="1">
      <alignment horizontal="center"/>
    </xf>
    <xf numFmtId="170" fontId="13" fillId="0" borderId="0" xfId="4" applyNumberFormat="1" applyAlignment="1">
      <alignment horizontal="center"/>
    </xf>
    <xf numFmtId="6" fontId="101" fillId="0" borderId="37" xfId="0" applyNumberFormat="1" applyFont="1" applyBorder="1" applyAlignment="1">
      <alignment horizontal="center"/>
    </xf>
    <xf numFmtId="6" fontId="101" fillId="0" borderId="38" xfId="0" applyNumberFormat="1" applyFont="1" applyBorder="1" applyAlignment="1">
      <alignment horizontal="center"/>
    </xf>
    <xf numFmtId="8" fontId="28" fillId="28" borderId="0" xfId="26" applyNumberFormat="1" applyFont="1" applyFill="1" applyBorder="1" applyAlignment="1">
      <alignment horizontal="right"/>
    </xf>
    <xf numFmtId="8" fontId="28" fillId="28" borderId="36" xfId="26" applyNumberFormat="1" applyFont="1" applyFill="1" applyBorder="1" applyAlignment="1">
      <alignment horizontal="right"/>
    </xf>
    <xf numFmtId="0" fontId="2" fillId="0" borderId="0" xfId="0" quotePrefix="1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10" fontId="17" fillId="0" borderId="0" xfId="15" applyNumberFormat="1" applyFont="1" applyAlignment="1">
      <alignment horizontal="center"/>
    </xf>
    <xf numFmtId="0" fontId="2" fillId="0" borderId="0" xfId="0" applyFont="1" applyAlignment="1">
      <alignment horizontal="left" indent="1"/>
    </xf>
    <xf numFmtId="8" fontId="28" fillId="0" borderId="0" xfId="26" applyNumberFormat="1" applyFont="1" applyFill="1" applyBorder="1" applyAlignment="1">
      <alignment horizontal="right"/>
    </xf>
    <xf numFmtId="8" fontId="28" fillId="28" borderId="1" xfId="26" applyNumberFormat="1" applyFont="1" applyFill="1" applyBorder="1" applyAlignment="1">
      <alignment horizontal="right"/>
    </xf>
    <xf numFmtId="0" fontId="3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2" xfId="0" applyFont="1" applyBorder="1"/>
    <xf numFmtId="0" fontId="2" fillId="0" borderId="0" xfId="0" applyFont="1" applyAlignment="1">
      <alignment vertical="top" wrapText="1"/>
    </xf>
    <xf numFmtId="0" fontId="2" fillId="0" borderId="17" xfId="0" applyFont="1" applyBorder="1" applyAlignment="1">
      <alignment horizontal="right"/>
    </xf>
    <xf numFmtId="0" fontId="2" fillId="0" borderId="0" xfId="5" applyFont="1"/>
    <xf numFmtId="166" fontId="6" fillId="0" borderId="0" xfId="3" applyNumberFormat="1" applyFont="1"/>
    <xf numFmtId="169" fontId="2" fillId="0" borderId="0" xfId="5" applyNumberFormat="1" applyFont="1"/>
    <xf numFmtId="165" fontId="2" fillId="0" borderId="0" xfId="6" applyNumberFormat="1" applyFont="1"/>
    <xf numFmtId="0" fontId="2" fillId="0" borderId="0" xfId="5" applyFont="1" applyAlignment="1">
      <alignment horizontal="left" indent="1"/>
    </xf>
    <xf numFmtId="165" fontId="6" fillId="0" borderId="0" xfId="11" applyNumberFormat="1" applyFont="1"/>
    <xf numFmtId="166" fontId="6" fillId="0" borderId="0" xfId="3" applyNumberFormat="1" applyFont="1" applyAlignment="1">
      <alignment horizontal="right"/>
    </xf>
    <xf numFmtId="44" fontId="6" fillId="0" borderId="0" xfId="3" applyFont="1"/>
    <xf numFmtId="166" fontId="2" fillId="0" borderId="0" xfId="5" applyNumberFormat="1" applyFont="1"/>
    <xf numFmtId="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6" fontId="2" fillId="0" borderId="13" xfId="0" applyNumberFormat="1" applyFont="1" applyBorder="1" applyAlignment="1">
      <alignment horizontal="center"/>
    </xf>
    <xf numFmtId="8" fontId="2" fillId="0" borderId="0" xfId="0" applyNumberFormat="1" applyFont="1"/>
    <xf numFmtId="0" fontId="2" fillId="0" borderId="0" xfId="0" quotePrefix="1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0" xfId="0" applyFont="1" applyAlignment="1">
      <alignment horizontal="centerContinuous"/>
    </xf>
    <xf numFmtId="164" fontId="2" fillId="0" borderId="0" xfId="0" applyNumberFormat="1" applyFont="1"/>
    <xf numFmtId="166" fontId="2" fillId="0" borderId="0" xfId="0" applyNumberFormat="1" applyFont="1"/>
    <xf numFmtId="6" fontId="2" fillId="0" borderId="0" xfId="0" applyNumberFormat="1" applyFont="1"/>
    <xf numFmtId="0" fontId="2" fillId="0" borderId="35" xfId="0" applyFont="1" applyBorder="1"/>
    <xf numFmtId="0" fontId="2" fillId="0" borderId="2" xfId="0" applyFont="1" applyBorder="1" applyAlignment="1">
      <alignment horizontal="right"/>
    </xf>
    <xf numFmtId="44" fontId="2" fillId="0" borderId="0" xfId="0" applyNumberFormat="1" applyFont="1"/>
    <xf numFmtId="44" fontId="2" fillId="0" borderId="2" xfId="0" applyNumberFormat="1" applyFont="1" applyBorder="1"/>
    <xf numFmtId="0" fontId="2" fillId="0" borderId="0" xfId="0" applyFont="1" applyAlignment="1">
      <alignment horizontal="left" indent="2"/>
    </xf>
    <xf numFmtId="165" fontId="2" fillId="0" borderId="0" xfId="0" applyNumberFormat="1" applyFont="1"/>
    <xf numFmtId="9" fontId="2" fillId="0" borderId="0" xfId="0" applyNumberFormat="1" applyFont="1"/>
    <xf numFmtId="166" fontId="2" fillId="0" borderId="0" xfId="3" applyNumberFormat="1" applyFont="1"/>
    <xf numFmtId="44" fontId="2" fillId="0" borderId="0" xfId="3" applyFont="1"/>
    <xf numFmtId="0" fontId="2" fillId="5" borderId="0" xfId="0" applyFont="1" applyFill="1"/>
    <xf numFmtId="10" fontId="2" fillId="0" borderId="0" xfId="0" applyNumberFormat="1" applyFont="1"/>
    <xf numFmtId="0" fontId="2" fillId="0" borderId="19" xfId="0" applyFont="1" applyBorder="1" applyAlignment="1">
      <alignment horizontal="center"/>
    </xf>
    <xf numFmtId="10" fontId="2" fillId="0" borderId="0" xfId="0" applyNumberFormat="1" applyFont="1" applyAlignment="1">
      <alignment horizontal="center"/>
    </xf>
    <xf numFmtId="17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9" fontId="2" fillId="0" borderId="0" xfId="0" applyNumberFormat="1" applyFont="1" applyAlignment="1">
      <alignment horizontal="center"/>
    </xf>
    <xf numFmtId="43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6" fontId="2" fillId="0" borderId="2" xfId="2" applyNumberFormat="1" applyFont="1" applyBorder="1"/>
    <xf numFmtId="0" fontId="2" fillId="0" borderId="12" xfId="0" applyFont="1" applyBorder="1" applyAlignment="1">
      <alignment horizontal="left"/>
    </xf>
    <xf numFmtId="0" fontId="2" fillId="0" borderId="19" xfId="0" applyFont="1" applyBorder="1"/>
    <xf numFmtId="0" fontId="2" fillId="0" borderId="1" xfId="0" applyFont="1" applyBorder="1" applyAlignment="1">
      <alignment horizontal="right"/>
    </xf>
    <xf numFmtId="8" fontId="2" fillId="0" borderId="0" xfId="0" applyNumberFormat="1" applyFont="1" applyAlignment="1">
      <alignment horizontal="center" vertical="center"/>
    </xf>
    <xf numFmtId="6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0" xfId="1" applyNumberFormat="1" applyFont="1" applyAlignment="1">
      <alignment horizontal="center" vertical="top"/>
    </xf>
    <xf numFmtId="165" fontId="2" fillId="0" borderId="0" xfId="48" applyNumberFormat="1" applyFont="1" applyBorder="1" applyAlignment="1">
      <alignment horizontal="center"/>
    </xf>
    <xf numFmtId="164" fontId="2" fillId="0" borderId="0" xfId="47" applyNumberFormat="1" applyFont="1" applyBorder="1" applyAlignment="1">
      <alignment horizontal="center"/>
    </xf>
    <xf numFmtId="165" fontId="2" fillId="0" borderId="0" xfId="48" applyNumberFormat="1" applyFont="1" applyFill="1" applyBorder="1"/>
    <xf numFmtId="6" fontId="2" fillId="0" borderId="0" xfId="48" applyNumberFormat="1" applyFont="1" applyFill="1" applyAlignment="1">
      <alignment horizontal="center"/>
    </xf>
    <xf numFmtId="6" fontId="2" fillId="0" borderId="0" xfId="47" applyNumberFormat="1" applyFont="1" applyFill="1" applyBorder="1" applyAlignment="1">
      <alignment horizontal="center"/>
    </xf>
    <xf numFmtId="165" fontId="2" fillId="0" borderId="0" xfId="48" applyNumberFormat="1" applyFont="1" applyFill="1"/>
    <xf numFmtId="3" fontId="2" fillId="0" borderId="0" xfId="47" applyNumberFormat="1" applyFont="1" applyFill="1" applyBorder="1" applyAlignment="1">
      <alignment horizontal="right"/>
    </xf>
    <xf numFmtId="165" fontId="2" fillId="7" borderId="0" xfId="48" applyNumberFormat="1" applyFont="1" applyFill="1" applyAlignment="1">
      <alignment horizontal="center"/>
    </xf>
    <xf numFmtId="165" fontId="2" fillId="0" borderId="0" xfId="47" applyNumberFormat="1" applyFont="1" applyFill="1" applyBorder="1" applyAlignment="1">
      <alignment horizontal="right"/>
    </xf>
    <xf numFmtId="165" fontId="2" fillId="0" borderId="1" xfId="47" applyNumberFormat="1" applyFont="1" applyFill="1" applyBorder="1" applyAlignment="1">
      <alignment horizontal="right"/>
    </xf>
    <xf numFmtId="165" fontId="2" fillId="0" borderId="0" xfId="48" applyNumberFormat="1" applyFont="1"/>
    <xf numFmtId="165" fontId="2" fillId="0" borderId="1" xfId="48" applyNumberFormat="1" applyFont="1" applyFill="1" applyBorder="1"/>
    <xf numFmtId="9" fontId="2" fillId="0" borderId="0" xfId="47" applyFont="1" applyFill="1"/>
    <xf numFmtId="9" fontId="2" fillId="0" borderId="0" xfId="47" applyFont="1"/>
    <xf numFmtId="0" fontId="2" fillId="0" borderId="3" xfId="0" applyFont="1" applyBorder="1"/>
    <xf numFmtId="0" fontId="2" fillId="0" borderId="10" xfId="0" applyFont="1" applyBorder="1"/>
    <xf numFmtId="0" fontId="2" fillId="0" borderId="19" xfId="0" quotePrefix="1" applyFont="1" applyBorder="1" applyAlignment="1">
      <alignment horizontal="left"/>
    </xf>
    <xf numFmtId="0" fontId="2" fillId="0" borderId="0" xfId="28" applyFont="1" applyAlignment="1">
      <alignment horizontal="left" indent="1"/>
    </xf>
    <xf numFmtId="0" fontId="2" fillId="0" borderId="21" xfId="28" applyFont="1" applyBorder="1" applyAlignment="1">
      <alignment horizontal="left" indent="1"/>
    </xf>
    <xf numFmtId="0" fontId="3" fillId="0" borderId="0" xfId="28" applyFont="1"/>
    <xf numFmtId="0" fontId="2" fillId="0" borderId="0" xfId="28" applyFont="1" applyAlignment="1">
      <alignment horizontal="center"/>
    </xf>
    <xf numFmtId="0" fontId="2" fillId="16" borderId="0" xfId="28" applyFont="1" applyFill="1" applyAlignment="1">
      <alignment horizontal="center"/>
    </xf>
    <xf numFmtId="0" fontId="2" fillId="16" borderId="0" xfId="28" applyFont="1" applyFill="1" applyAlignment="1">
      <alignment horizontal="left" indent="1"/>
    </xf>
    <xf numFmtId="0" fontId="15" fillId="0" borderId="39" xfId="5" applyFont="1" applyBorder="1"/>
    <xf numFmtId="166" fontId="15" fillId="0" borderId="39" xfId="7" applyNumberFormat="1" applyFont="1" applyBorder="1"/>
    <xf numFmtId="169" fontId="15" fillId="0" borderId="39" xfId="10" applyNumberFormat="1" applyFont="1" applyBorder="1"/>
    <xf numFmtId="0" fontId="15" fillId="0" borderId="39" xfId="0" applyFont="1" applyBorder="1"/>
    <xf numFmtId="166" fontId="2" fillId="0" borderId="39" xfId="0" applyNumberFormat="1" applyFont="1" applyBorder="1"/>
    <xf numFmtId="166" fontId="15" fillId="0" borderId="39" xfId="5" applyNumberFormat="1" applyFont="1" applyBorder="1"/>
    <xf numFmtId="6" fontId="15" fillId="0" borderId="39" xfId="5" applyNumberFormat="1" applyFont="1" applyBorder="1" applyAlignment="1">
      <alignment horizontal="center"/>
    </xf>
    <xf numFmtId="6" fontId="95" fillId="0" borderId="39" xfId="0" applyNumberFormat="1" applyFont="1" applyBorder="1"/>
    <xf numFmtId="0" fontId="15" fillId="0" borderId="39" xfId="0" applyFont="1" applyBorder="1" applyAlignment="1">
      <alignment horizontal="left"/>
    </xf>
    <xf numFmtId="165" fontId="24" fillId="7" borderId="39" xfId="1" applyNumberFormat="1" applyFont="1" applyFill="1" applyBorder="1"/>
    <xf numFmtId="165" fontId="15" fillId="0" borderId="40" xfId="1" applyNumberFormat="1" applyFont="1" applyFill="1" applyBorder="1"/>
    <xf numFmtId="165" fontId="15" fillId="0" borderId="39" xfId="1" applyNumberFormat="1" applyFont="1" applyFill="1" applyBorder="1"/>
    <xf numFmtId="6" fontId="95" fillId="0" borderId="39" xfId="0" applyNumberFormat="1" applyFont="1" applyBorder="1" applyAlignment="1">
      <alignment horizontal="right"/>
    </xf>
    <xf numFmtId="165" fontId="15" fillId="7" borderId="39" xfId="1" applyNumberFormat="1" applyFont="1" applyFill="1" applyBorder="1"/>
    <xf numFmtId="165" fontId="15" fillId="0" borderId="39" xfId="0" applyNumberFormat="1" applyFont="1" applyBorder="1"/>
    <xf numFmtId="165" fontId="13" fillId="7" borderId="39" xfId="1" applyNumberFormat="1" applyFill="1" applyBorder="1"/>
    <xf numFmtId="165" fontId="13" fillId="0" borderId="40" xfId="1" applyNumberFormat="1" applyFill="1" applyBorder="1"/>
    <xf numFmtId="165" fontId="13" fillId="0" borderId="39" xfId="1" applyNumberFormat="1" applyFill="1" applyBorder="1"/>
    <xf numFmtId="165" fontId="0" fillId="0" borderId="41" xfId="13" applyNumberFormat="1" applyFont="1" applyBorder="1"/>
    <xf numFmtId="165" fontId="0" fillId="0" borderId="42" xfId="13" applyNumberFormat="1" applyFont="1" applyBorder="1"/>
    <xf numFmtId="165" fontId="0" fillId="0" borderId="43" xfId="13" applyNumberFormat="1" applyFont="1" applyBorder="1"/>
    <xf numFmtId="0" fontId="24" fillId="0" borderId="39" xfId="0" applyFont="1" applyBorder="1"/>
    <xf numFmtId="165" fontId="13" fillId="0" borderId="39" xfId="1" applyNumberFormat="1" applyBorder="1"/>
    <xf numFmtId="0" fontId="15" fillId="0" borderId="39" xfId="45" applyFont="1" applyBorder="1"/>
    <xf numFmtId="165" fontId="55" fillId="0" borderId="39" xfId="48" applyNumberFormat="1" applyFont="1" applyFill="1" applyBorder="1"/>
    <xf numFmtId="0" fontId="15" fillId="0" borderId="39" xfId="45" applyFont="1" applyBorder="1" applyAlignment="1">
      <alignment horizontal="left"/>
    </xf>
    <xf numFmtId="165" fontId="15" fillId="0" borderId="39" xfId="48" applyNumberFormat="1" applyFont="1" applyFill="1" applyBorder="1"/>
    <xf numFmtId="6" fontId="12" fillId="0" borderId="39" xfId="28" applyNumberFormat="1" applyBorder="1"/>
    <xf numFmtId="165" fontId="17" fillId="0" borderId="2" xfId="1" applyNumberFormat="1" applyFont="1" applyBorder="1" applyAlignment="1">
      <alignment horizontal="right"/>
    </xf>
    <xf numFmtId="165" fontId="17" fillId="0" borderId="0" xfId="1" applyNumberFormat="1" applyFont="1" applyFill="1"/>
    <xf numFmtId="6" fontId="17" fillId="0" borderId="0" xfId="15" applyNumberFormat="1" applyFont="1" applyFill="1"/>
    <xf numFmtId="0" fontId="1" fillId="0" borderId="0" xfId="0" applyFont="1" applyAlignment="1">
      <alignment vertical="center"/>
    </xf>
    <xf numFmtId="165" fontId="23" fillId="0" borderId="0" xfId="1" applyNumberFormat="1" applyFont="1" applyFill="1" applyAlignment="1">
      <alignment horizontal="right"/>
    </xf>
    <xf numFmtId="165" fontId="13" fillId="0" borderId="0" xfId="4" applyNumberFormat="1"/>
    <xf numFmtId="0" fontId="44" fillId="0" borderId="44" xfId="0" applyFont="1" applyBorder="1" applyAlignment="1">
      <alignment horizontal="center" vertical="center" wrapText="1"/>
    </xf>
    <xf numFmtId="6" fontId="1" fillId="0" borderId="44" xfId="0" applyNumberFormat="1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10" fontId="1" fillId="0" borderId="4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indent="2"/>
    </xf>
    <xf numFmtId="6" fontId="1" fillId="0" borderId="6" xfId="0" applyNumberFormat="1" applyFont="1" applyBorder="1" applyAlignment="1">
      <alignment horizontal="center" vertical="center" wrapText="1"/>
    </xf>
    <xf numFmtId="6" fontId="1" fillId="0" borderId="4" xfId="0" applyNumberFormat="1" applyFont="1" applyBorder="1" applyAlignment="1">
      <alignment horizontal="center" vertical="center" wrapText="1"/>
    </xf>
    <xf numFmtId="10" fontId="1" fillId="0" borderId="4" xfId="0" applyNumberFormat="1" applyFont="1" applyBorder="1" applyAlignment="1">
      <alignment horizontal="center" vertical="center" wrapText="1"/>
    </xf>
    <xf numFmtId="169" fontId="15" fillId="0" borderId="45" xfId="10" applyNumberFormat="1" applyFont="1" applyBorder="1"/>
    <xf numFmtId="0" fontId="17" fillId="0" borderId="46" xfId="0" applyFont="1" applyBorder="1"/>
    <xf numFmtId="0" fontId="2" fillId="0" borderId="47" xfId="5" quotePrefix="1" applyFont="1" applyBorder="1"/>
    <xf numFmtId="0" fontId="2" fillId="0" borderId="48" xfId="0" applyFont="1" applyBorder="1"/>
    <xf numFmtId="6" fontId="2" fillId="0" borderId="47" xfId="0" applyNumberFormat="1" applyFont="1" applyBorder="1"/>
    <xf numFmtId="0" fontId="20" fillId="6" borderId="49" xfId="5" applyFont="1" applyFill="1" applyBorder="1" applyAlignment="1">
      <alignment horizontal="center"/>
    </xf>
    <xf numFmtId="165" fontId="13" fillId="0" borderId="50" xfId="1" applyNumberFormat="1" applyFill="1" applyBorder="1"/>
    <xf numFmtId="165" fontId="13" fillId="0" borderId="45" xfId="1" applyNumberFormat="1" applyFill="1" applyBorder="1"/>
    <xf numFmtId="0" fontId="15" fillId="0" borderId="45" xfId="0" applyFont="1" applyBorder="1" applyAlignment="1">
      <alignment horizontal="left"/>
    </xf>
    <xf numFmtId="165" fontId="15" fillId="0" borderId="49" xfId="1" applyNumberFormat="1" applyFont="1" applyFill="1" applyBorder="1"/>
    <xf numFmtId="165" fontId="15" fillId="0" borderId="45" xfId="1" applyNumberFormat="1" applyFont="1" applyFill="1" applyBorder="1"/>
    <xf numFmtId="0" fontId="15" fillId="0" borderId="51" xfId="10" applyFont="1" applyBorder="1" applyAlignment="1">
      <alignment horizontal="center"/>
    </xf>
    <xf numFmtId="43" fontId="15" fillId="0" borderId="51" xfId="10" applyNumberFormat="1" applyFont="1" applyBorder="1" applyAlignment="1">
      <alignment horizontal="center"/>
    </xf>
    <xf numFmtId="166" fontId="31" fillId="0" borderId="46" xfId="0" applyNumberFormat="1" applyFont="1" applyBorder="1"/>
    <xf numFmtId="10" fontId="17" fillId="0" borderId="48" xfId="4" applyNumberFormat="1" applyFont="1" applyBorder="1" applyAlignment="1">
      <alignment horizontal="center"/>
    </xf>
    <xf numFmtId="166" fontId="23" fillId="0" borderId="46" xfId="0" applyNumberFormat="1" applyFont="1" applyBorder="1"/>
    <xf numFmtId="166" fontId="30" fillId="11" borderId="48" xfId="2" applyNumberFormat="1" applyFont="1" applyFill="1" applyBorder="1"/>
    <xf numFmtId="165" fontId="0" fillId="0" borderId="52" xfId="13" applyNumberFormat="1" applyFont="1" applyBorder="1"/>
    <xf numFmtId="6" fontId="2" fillId="0" borderId="45" xfId="0" applyNumberFormat="1" applyFont="1" applyBorder="1"/>
    <xf numFmtId="165" fontId="2" fillId="0" borderId="47" xfId="0" applyNumberFormat="1" applyFont="1" applyBorder="1"/>
    <xf numFmtId="166" fontId="13" fillId="0" borderId="45" xfId="2" applyNumberFormat="1" applyBorder="1"/>
    <xf numFmtId="165" fontId="2" fillId="0" borderId="45" xfId="0" applyNumberFormat="1" applyFont="1" applyBorder="1"/>
    <xf numFmtId="0" fontId="20" fillId="5" borderId="50" xfId="0" applyFont="1" applyFill="1" applyBorder="1"/>
    <xf numFmtId="0" fontId="21" fillId="5" borderId="45" xfId="0" applyFont="1" applyFill="1" applyBorder="1"/>
    <xf numFmtId="0" fontId="0" fillId="5" borderId="49" xfId="0" applyFill="1" applyBorder="1"/>
    <xf numFmtId="0" fontId="57" fillId="19" borderId="50" xfId="32" applyFont="1" applyBorder="1" applyAlignment="1">
      <alignment vertical="center"/>
    </xf>
    <xf numFmtId="0" fontId="11" fillId="19" borderId="45" xfId="32" applyBorder="1"/>
    <xf numFmtId="0" fontId="11" fillId="19" borderId="49" xfId="32" applyBorder="1"/>
    <xf numFmtId="0" fontId="0" fillId="0" borderId="50" xfId="0" applyBorder="1"/>
    <xf numFmtId="0" fontId="0" fillId="0" borderId="45" xfId="0" applyBorder="1"/>
    <xf numFmtId="166" fontId="17" fillId="0" borderId="49" xfId="0" applyNumberFormat="1" applyFont="1" applyBorder="1"/>
    <xf numFmtId="0" fontId="0" fillId="0" borderId="47" xfId="0" applyBorder="1"/>
    <xf numFmtId="166" fontId="2" fillId="0" borderId="48" xfId="0" applyNumberFormat="1" applyFont="1" applyBorder="1"/>
    <xf numFmtId="0" fontId="2" fillId="0" borderId="47" xfId="0" applyFont="1" applyBorder="1"/>
    <xf numFmtId="0" fontId="20" fillId="5" borderId="45" xfId="0" applyFont="1" applyFill="1" applyBorder="1"/>
    <xf numFmtId="166" fontId="20" fillId="5" borderId="45" xfId="2" applyNumberFormat="1" applyFont="1" applyFill="1" applyBorder="1"/>
    <xf numFmtId="0" fontId="20" fillId="0" borderId="50" xfId="0" applyFont="1" applyBorder="1"/>
    <xf numFmtId="0" fontId="21" fillId="0" borderId="45" xfId="0" applyFont="1" applyBorder="1"/>
    <xf numFmtId="0" fontId="20" fillId="0" borderId="45" xfId="0" applyFont="1" applyBorder="1"/>
    <xf numFmtId="166" fontId="20" fillId="0" borderId="45" xfId="2" applyNumberFormat="1" applyFont="1" applyBorder="1"/>
    <xf numFmtId="0" fontId="15" fillId="0" borderId="46" xfId="0" applyFont="1" applyBorder="1"/>
    <xf numFmtId="0" fontId="15" fillId="0" borderId="47" xfId="0" applyFont="1" applyBorder="1" applyAlignment="1">
      <alignment horizontal="right"/>
    </xf>
    <xf numFmtId="0" fontId="15" fillId="0" borderId="48" xfId="0" applyFont="1" applyBorder="1" applyAlignment="1">
      <alignment horizontal="right"/>
    </xf>
    <xf numFmtId="0" fontId="0" fillId="0" borderId="51" xfId="0" applyBorder="1"/>
    <xf numFmtId="0" fontId="15" fillId="0" borderId="50" xfId="0" applyFont="1" applyBorder="1" applyAlignment="1">
      <alignment horizontal="right"/>
    </xf>
    <xf numFmtId="0" fontId="2" fillId="0" borderId="45" xfId="0" applyFont="1" applyBorder="1" applyAlignment="1">
      <alignment horizontal="right"/>
    </xf>
    <xf numFmtId="166" fontId="0" fillId="0" borderId="51" xfId="0" applyNumberFormat="1" applyBorder="1"/>
    <xf numFmtId="0" fontId="15" fillId="0" borderId="45" xfId="0" applyFont="1" applyBorder="1"/>
    <xf numFmtId="166" fontId="0" fillId="0" borderId="49" xfId="0" applyNumberFormat="1" applyBorder="1"/>
    <xf numFmtId="0" fontId="2" fillId="0" borderId="45" xfId="0" applyFont="1" applyBorder="1"/>
    <xf numFmtId="8" fontId="0" fillId="0" borderId="45" xfId="0" applyNumberFormat="1" applyBorder="1"/>
    <xf numFmtId="0" fontId="20" fillId="17" borderId="45" xfId="10" applyFont="1" applyFill="1" applyBorder="1" applyAlignment="1">
      <alignment horizontal="center"/>
    </xf>
    <xf numFmtId="0" fontId="20" fillId="17" borderId="45" xfId="10" applyFont="1" applyFill="1" applyBorder="1"/>
    <xf numFmtId="0" fontId="20" fillId="17" borderId="49" xfId="10" applyFont="1" applyFill="1" applyBorder="1" applyAlignment="1">
      <alignment horizontal="center"/>
    </xf>
    <xf numFmtId="0" fontId="15" fillId="0" borderId="47" xfId="45" applyFont="1" applyBorder="1" applyAlignment="1">
      <alignment horizontal="left"/>
    </xf>
    <xf numFmtId="165" fontId="55" fillId="0" borderId="47" xfId="48" applyNumberFormat="1" applyFont="1" applyFill="1" applyBorder="1"/>
    <xf numFmtId="0" fontId="15" fillId="0" borderId="45" xfId="45" applyFont="1" applyBorder="1" applyAlignment="1">
      <alignment horizontal="left"/>
    </xf>
    <xf numFmtId="165" fontId="15" fillId="0" borderId="45" xfId="48" applyNumberFormat="1" applyFont="1" applyFill="1" applyBorder="1"/>
    <xf numFmtId="0" fontId="12" fillId="4" borderId="44" xfId="28" applyFill="1" applyBorder="1"/>
    <xf numFmtId="0" fontId="12" fillId="10" borderId="44" xfId="28" applyFill="1" applyBorder="1" applyAlignment="1">
      <alignment horizontal="center"/>
    </xf>
    <xf numFmtId="6" fontId="12" fillId="4" borderId="44" xfId="28" applyNumberFormat="1" applyFill="1" applyBorder="1"/>
    <xf numFmtId="0" fontId="3" fillId="4" borderId="44" xfId="28" applyFont="1" applyFill="1" applyBorder="1"/>
    <xf numFmtId="0" fontId="12" fillId="0" borderId="44" xfId="28" applyBorder="1"/>
    <xf numFmtId="6" fontId="28" fillId="0" borderId="45" xfId="26" applyNumberFormat="1" applyFont="1" applyFill="1" applyBorder="1" applyAlignment="1">
      <alignment horizontal="right"/>
    </xf>
    <xf numFmtId="6" fontId="28" fillId="0" borderId="47" xfId="26" applyNumberFormat="1" applyFont="1" applyFill="1" applyBorder="1" applyAlignment="1">
      <alignment horizontal="right"/>
    </xf>
    <xf numFmtId="6" fontId="57" fillId="0" borderId="47" xfId="28" applyNumberFormat="1" applyFont="1" applyBorder="1"/>
    <xf numFmtId="8" fontId="28" fillId="28" borderId="47" xfId="26" applyNumberFormat="1" applyFont="1" applyFill="1" applyBorder="1" applyAlignment="1">
      <alignment horizontal="right"/>
    </xf>
    <xf numFmtId="8" fontId="12" fillId="0" borderId="45" xfId="28" applyNumberFormat="1" applyBorder="1"/>
    <xf numFmtId="9" fontId="1" fillId="0" borderId="10" xfId="0" applyNumberFormat="1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33" fillId="0" borderId="0" xfId="10" applyFont="1" applyAlignment="1">
      <alignment horizontal="left" vertical="top" wrapText="1" indent="1"/>
    </xf>
    <xf numFmtId="0" fontId="33" fillId="0" borderId="17" xfId="10" applyFont="1" applyBorder="1" applyAlignment="1">
      <alignment horizontal="left" vertical="top" wrapText="1" indent="1"/>
    </xf>
    <xf numFmtId="0" fontId="53" fillId="20" borderId="0" xfId="33" applyFont="1" applyAlignment="1">
      <alignment horizontal="center"/>
    </xf>
    <xf numFmtId="0" fontId="51" fillId="0" borderId="0" xfId="24" applyAlignment="1">
      <alignment horizontal="center"/>
    </xf>
    <xf numFmtId="0" fontId="20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53" fillId="13" borderId="0" xfId="25" applyFont="1" applyAlignment="1">
      <alignment horizontal="center"/>
    </xf>
    <xf numFmtId="0" fontId="53" fillId="18" borderId="0" xfId="26" applyFont="1" applyFill="1" applyAlignment="1">
      <alignment horizontal="center"/>
    </xf>
    <xf numFmtId="49" fontId="19" fillId="18" borderId="0" xfId="23" applyNumberFormat="1" applyFont="1" applyFill="1" applyAlignment="1">
      <alignment horizontal="center" vertical="top" wrapText="1"/>
    </xf>
    <xf numFmtId="0" fontId="53" fillId="25" borderId="0" xfId="40" applyFont="1" applyFill="1" applyAlignment="1">
      <alignment horizontal="center"/>
    </xf>
    <xf numFmtId="0" fontId="53" fillId="24" borderId="0" xfId="40" applyFont="1" applyFill="1" applyAlignment="1">
      <alignment horizontal="center"/>
    </xf>
    <xf numFmtId="0" fontId="53" fillId="27" borderId="0" xfId="40" applyFont="1" applyFill="1" applyAlignment="1">
      <alignment horizontal="center"/>
    </xf>
    <xf numFmtId="0" fontId="20" fillId="17" borderId="45" xfId="10" applyFont="1" applyFill="1" applyBorder="1" applyAlignment="1">
      <alignment horizontal="center"/>
    </xf>
    <xf numFmtId="0" fontId="3" fillId="19" borderId="0" xfId="32" applyFont="1" applyAlignment="1">
      <alignment horizontal="center"/>
    </xf>
    <xf numFmtId="0" fontId="11" fillId="19" borderId="0" xfId="32" applyAlignment="1">
      <alignment horizontal="center"/>
    </xf>
    <xf numFmtId="0" fontId="53" fillId="14" borderId="0" xfId="26" applyFont="1" applyAlignment="1">
      <alignment horizontal="center"/>
    </xf>
    <xf numFmtId="0" fontId="20" fillId="17" borderId="50" xfId="10" applyFont="1" applyFill="1" applyBorder="1" applyAlignment="1">
      <alignment horizontal="center"/>
    </xf>
    <xf numFmtId="166" fontId="17" fillId="0" borderId="0" xfId="2" applyNumberFormat="1" applyFont="1" applyAlignment="1">
      <alignment horizontal="center"/>
    </xf>
    <xf numFmtId="0" fontId="20" fillId="17" borderId="0" xfId="10" applyFont="1" applyFill="1" applyAlignment="1">
      <alignment horizontal="center"/>
    </xf>
    <xf numFmtId="10" fontId="15" fillId="0" borderId="1" xfId="4" applyNumberFormat="1" applyFont="1" applyBorder="1" applyAlignment="1">
      <alignment horizontal="center"/>
    </xf>
    <xf numFmtId="0" fontId="20" fillId="17" borderId="12" xfId="10" applyFont="1" applyFill="1" applyBorder="1" applyAlignment="1">
      <alignment horizontal="center"/>
    </xf>
    <xf numFmtId="166" fontId="13" fillId="0" borderId="13" xfId="2" applyNumberFormat="1" applyBorder="1" applyAlignment="1">
      <alignment horizontal="center"/>
    </xf>
    <xf numFmtId="166" fontId="13" fillId="0" borderId="1" xfId="2" applyNumberFormat="1" applyBorder="1" applyAlignment="1">
      <alignment horizontal="center"/>
    </xf>
    <xf numFmtId="0" fontId="20" fillId="5" borderId="0" xfId="10" applyFont="1" applyFill="1" applyAlignment="1">
      <alignment horizontal="center"/>
    </xf>
    <xf numFmtId="9" fontId="13" fillId="0" borderId="1" xfId="4" applyBorder="1" applyAlignment="1">
      <alignment horizontal="center"/>
    </xf>
    <xf numFmtId="0" fontId="57" fillId="15" borderId="0" xfId="27" applyFont="1" applyAlignment="1">
      <alignment horizontal="center"/>
    </xf>
    <xf numFmtId="0" fontId="53" fillId="14" borderId="14" xfId="26" applyFont="1" applyBorder="1" applyAlignment="1">
      <alignment horizontal="center"/>
    </xf>
    <xf numFmtId="0" fontId="53" fillId="14" borderId="15" xfId="26" applyFont="1" applyBorder="1" applyAlignment="1">
      <alignment horizontal="center"/>
    </xf>
    <xf numFmtId="0" fontId="53" fillId="14" borderId="16" xfId="26" applyFont="1" applyBorder="1" applyAlignment="1">
      <alignment horizontal="center"/>
    </xf>
    <xf numFmtId="0" fontId="57" fillId="0" borderId="0" xfId="28" applyFont="1" applyAlignment="1">
      <alignment horizontal="center" wrapText="1"/>
    </xf>
    <xf numFmtId="0" fontId="57" fillId="0" borderId="19" xfId="28" applyFont="1" applyBorder="1" applyAlignment="1">
      <alignment horizontal="center" wrapText="1"/>
    </xf>
    <xf numFmtId="0" fontId="54" fillId="14" borderId="0" xfId="26" applyAlignment="1">
      <alignment horizontal="center"/>
    </xf>
    <xf numFmtId="0" fontId="59" fillId="11" borderId="25" xfId="36" applyFont="1" applyFill="1" applyBorder="1" applyAlignment="1">
      <alignment horizontal="left"/>
    </xf>
    <xf numFmtId="0" fontId="59" fillId="11" borderId="0" xfId="36" applyFont="1" applyFill="1" applyAlignment="1">
      <alignment horizontal="left"/>
    </xf>
    <xf numFmtId="44" fontId="92" fillId="11" borderId="0" xfId="38" applyFont="1" applyFill="1" applyAlignment="1">
      <alignment horizontal="center"/>
    </xf>
    <xf numFmtId="0" fontId="57" fillId="11" borderId="0" xfId="36" applyFont="1" applyFill="1" applyAlignment="1">
      <alignment horizontal="center" wrapText="1"/>
    </xf>
    <xf numFmtId="0" fontId="57" fillId="11" borderId="24" xfId="36" applyFont="1" applyFill="1" applyBorder="1" applyAlignment="1">
      <alignment horizontal="center" wrapText="1"/>
    </xf>
    <xf numFmtId="0" fontId="57" fillId="11" borderId="1" xfId="36" applyFont="1" applyFill="1" applyBorder="1" applyAlignment="1">
      <alignment horizontal="center" wrapText="1"/>
    </xf>
    <xf numFmtId="0" fontId="57" fillId="11" borderId="26" xfId="36" applyFont="1" applyFill="1" applyBorder="1" applyAlignment="1">
      <alignment horizontal="center" wrapText="1"/>
    </xf>
    <xf numFmtId="0" fontId="88" fillId="11" borderId="0" xfId="36" applyFont="1" applyFill="1" applyAlignment="1">
      <alignment horizontal="center"/>
    </xf>
    <xf numFmtId="0" fontId="59" fillId="11" borderId="53" xfId="36" applyFont="1" applyFill="1" applyBorder="1" applyAlignment="1">
      <alignment horizontal="left"/>
    </xf>
    <xf numFmtId="0" fontId="59" fillId="11" borderId="45" xfId="36" applyFont="1" applyFill="1" applyBorder="1" applyAlignment="1">
      <alignment horizontal="left"/>
    </xf>
  </cellXfs>
  <cellStyles count="50">
    <cellStyle name="20% - Accent1" xfId="32" builtinId="30"/>
    <cellStyle name="40% - Accent1" xfId="27" builtinId="31"/>
    <cellStyle name="40% - Accent3" xfId="35" builtinId="39"/>
    <cellStyle name="Accent1" xfId="26" builtinId="29"/>
    <cellStyle name="Accent4" xfId="33" builtinId="41"/>
    <cellStyle name="Accent6" xfId="25" builtinId="49"/>
    <cellStyle name="Comma" xfId="1" builtinId="3"/>
    <cellStyle name="Comma 2" xfId="6" xr:uid="{00000000-0005-0000-0000-000001000000}"/>
    <cellStyle name="Comma 2 2" xfId="11" xr:uid="{00000000-0005-0000-0000-000002000000}"/>
    <cellStyle name="Comma 3" xfId="13" xr:uid="{00000000-0005-0000-0000-000003000000}"/>
    <cellStyle name="Comma 4" xfId="23" xr:uid="{00000000-0005-0000-0000-000004000000}"/>
    <cellStyle name="Comma 5" xfId="37" xr:uid="{97361930-60FB-49F0-9BD8-1D66122D61C6}"/>
    <cellStyle name="Comma 6" xfId="43" xr:uid="{9E888740-3CB9-4DDA-8102-76867E8B34C4}"/>
    <cellStyle name="Comma 7" xfId="48" xr:uid="{D8B2E331-A891-41A8-87EC-FBA475D0CD27}"/>
    <cellStyle name="Currency" xfId="2" builtinId="4"/>
    <cellStyle name="Currency 2" xfId="3" xr:uid="{00000000-0005-0000-0000-000006000000}"/>
    <cellStyle name="Currency 2 2" xfId="38" xr:uid="{3BCD26E9-7D73-4F6A-B61E-B2C003D2556F}"/>
    <cellStyle name="Currency 3" xfId="14" xr:uid="{00000000-0005-0000-0000-000007000000}"/>
    <cellStyle name="Currency 4" xfId="31" xr:uid="{B1FD28A5-5DE5-4474-B33D-8FEFD364E554}"/>
    <cellStyle name="Currency 5" xfId="49" xr:uid="{F8C76691-3867-4048-A48F-8A3D4CA30163}"/>
    <cellStyle name="Hyperlink" xfId="24" builtinId="8"/>
    <cellStyle name="Hyperlink 2" xfId="41" xr:uid="{16D83230-AE81-4F9E-8C9D-299FC2DDBA8E}"/>
    <cellStyle name="Normal" xfId="0" builtinId="0"/>
    <cellStyle name="Normal 10" xfId="45" xr:uid="{4E149AB4-40D3-4BCA-8320-5F0166E09D6E}"/>
    <cellStyle name="Normal 2" xfId="5" xr:uid="{00000000-0005-0000-0000-000009000000}"/>
    <cellStyle name="Normal 2 2" xfId="10" xr:uid="{00000000-0005-0000-0000-00000A000000}"/>
    <cellStyle name="Normal 2 3" xfId="30" xr:uid="{5F3C42FC-E6D6-4561-9B51-07E2F832B6CA}"/>
    <cellStyle name="Normal 2 4" xfId="46" xr:uid="{11838949-5C9A-40B8-AAAD-6BF36D160924}"/>
    <cellStyle name="Normal 3" xfId="9" xr:uid="{00000000-0005-0000-0000-00000B000000}"/>
    <cellStyle name="Normal 3 2" xfId="42" xr:uid="{7E3C9D21-8FB7-48CC-A60D-9DA665E92D5F}"/>
    <cellStyle name="Normal 4" xfId="8" xr:uid="{00000000-0005-0000-0000-00000C000000}"/>
    <cellStyle name="Normal 5" xfId="22" xr:uid="{00000000-0005-0000-0000-00000D000000}"/>
    <cellStyle name="Normal 6" xfId="28" xr:uid="{CFECB08B-76BB-41DA-B4B4-9E9393A1477D}"/>
    <cellStyle name="Normal 7" xfId="29" xr:uid="{8161AA81-848D-49EB-8484-770534499EE6}"/>
    <cellStyle name="Normal 8" xfId="34" xr:uid="{A1542CFA-B2CB-4538-89E1-E270706DB8A7}"/>
    <cellStyle name="Normal 8 2" xfId="36" xr:uid="{07F2B53D-04FD-44DF-AB06-4FD2E8055FCD}"/>
    <cellStyle name="Normal 9" xfId="40" xr:uid="{668FC191-D656-4A9D-8D6E-7C56D5FFC84A}"/>
    <cellStyle name="Percent" xfId="4" builtinId="5"/>
    <cellStyle name="Percent 2" xfId="7" xr:uid="{00000000-0005-0000-0000-00000F000000}"/>
    <cellStyle name="Percent 2 2" xfId="12" xr:uid="{00000000-0005-0000-0000-000010000000}"/>
    <cellStyle name="Percent 2 2 2" xfId="47" xr:uid="{0D135B84-358C-436A-BC0B-68EE6726DB68}"/>
    <cellStyle name="Percent 3" xfId="15" xr:uid="{00000000-0005-0000-0000-000011000000}"/>
    <cellStyle name="Percent 4" xfId="39" xr:uid="{79C5FAB2-7FCE-4E04-A52E-EE1D03F3AEDF}"/>
    <cellStyle name="Percent 5" xfId="44" xr:uid="{F0A42C10-063D-4709-ADB8-157D02BA9AFC}"/>
    <cellStyle name="Style 1163" xfId="16" xr:uid="{00000000-0005-0000-0000-000012000000}"/>
    <cellStyle name="Style 1167" xfId="17" xr:uid="{00000000-0005-0000-0000-000013000000}"/>
    <cellStyle name="Style 1301" xfId="18" xr:uid="{00000000-0005-0000-0000-000014000000}"/>
    <cellStyle name="Style 1305" xfId="19" xr:uid="{00000000-0005-0000-0000-000015000000}"/>
    <cellStyle name="Style 1541" xfId="20" xr:uid="{00000000-0005-0000-0000-000016000000}"/>
    <cellStyle name="Style 1545" xfId="21" xr:uid="{00000000-0005-0000-0000-000017000000}"/>
  </cellStyles>
  <dxfs count="25">
    <dxf>
      <font>
        <color theme="9" tint="-0.24994659260841701"/>
      </font>
    </dxf>
    <dxf>
      <font>
        <b/>
        <i/>
        <color theme="0"/>
      </font>
      <fill>
        <patternFill>
          <bgColor rgb="FFFF0000"/>
        </patternFill>
      </fill>
    </dxf>
    <dxf>
      <font>
        <color rgb="FF0000FF"/>
      </font>
      <fill>
        <patternFill>
          <bgColor rgb="FFFFFF00"/>
        </patternFill>
      </fill>
    </dxf>
    <dxf>
      <numFmt numFmtId="196" formatCode="&quot; up to &quot;0.00&quot;X EM to LP&quot;"/>
    </dxf>
    <dxf>
      <numFmt numFmtId="196" formatCode="&quot; up to &quot;0.00&quot;X EM to LP&quot;"/>
    </dxf>
    <dxf>
      <numFmt numFmtId="196" formatCode="&quot; up to &quot;0.00&quot;X EM to LP&quot;"/>
    </dxf>
    <dxf>
      <numFmt numFmtId="196" formatCode="&quot; up to &quot;0.00&quot;X EM to LP&quot;"/>
    </dxf>
    <dxf>
      <numFmt numFmtId="178" formatCode="0.00&quot;X&quot;"/>
    </dxf>
    <dxf>
      <numFmt numFmtId="196" formatCode="&quot; up to &quot;0.00&quot;X EM to LP&quot;"/>
    </dxf>
    <dxf>
      <font>
        <color theme="0"/>
      </font>
      <numFmt numFmtId="0" formatCode="General"/>
      <fill>
        <patternFill patternType="none">
          <bgColor auto="1"/>
        </patternFill>
      </fill>
    </dxf>
    <dxf>
      <font>
        <color theme="0"/>
      </font>
      <numFmt numFmtId="0" formatCode="General"/>
      <fill>
        <patternFill patternType="none">
          <bgColor auto="1"/>
        </patternFill>
      </fill>
    </dxf>
    <dxf>
      <numFmt numFmtId="196" formatCode="&quot; up to &quot;0.00&quot;X EM to LP&quot;"/>
    </dxf>
    <dxf>
      <numFmt numFmtId="196" formatCode="&quot; up to &quot;0.00&quot;X EM to LP&quot;"/>
    </dxf>
    <dxf>
      <numFmt numFmtId="196" formatCode="&quot; up to &quot;0.00&quot;X EM to LP&quot;"/>
    </dxf>
    <dxf>
      <numFmt numFmtId="196" formatCode="&quot; up to &quot;0.00&quot;X EM to LP&quot;"/>
    </dxf>
    <dxf>
      <font>
        <color theme="0"/>
      </font>
      <fill>
        <patternFill patternType="none">
          <bgColor auto="1"/>
        </patternFill>
      </fill>
    </dxf>
    <dxf>
      <numFmt numFmtId="196" formatCode="&quot; up to &quot;0.00&quot;X EM to LP&quot;"/>
    </dxf>
    <dxf>
      <numFmt numFmtId="196" formatCode="&quot; up to &quot;0.00&quot;X EM to LP&quot;"/>
    </dxf>
    <dxf>
      <numFmt numFmtId="196" formatCode="&quot; up to &quot;0.00&quot;X EM to LP&quot;"/>
    </dxf>
    <dxf>
      <numFmt numFmtId="196" formatCode="&quot; up to &quot;0.00&quot;X EM to LP&quot;"/>
    </dxf>
    <dxf>
      <fill>
        <patternFill>
          <bgColor theme="3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9E42"/>
      <color rgb="FF1245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6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microsoft.com/office/2017/10/relationships/person" Target="persons/person.xml"/><Relationship Id="rId27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Historical</a:t>
            </a:r>
            <a:r>
              <a:rPr lang="en-US" baseline="0"/>
              <a:t> / Future Comparison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Income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'IE SUMMARY'!$B$110:$H$110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Trailing 12</c:v>
                </c:pt>
                <c:pt idx="4">
                  <c:v>2022 Ann.</c:v>
                </c:pt>
                <c:pt idx="5">
                  <c:v>Broker</c:v>
                </c:pt>
                <c:pt idx="6">
                  <c:v>BVG Yr 1</c:v>
                </c:pt>
              </c:strCache>
            </c:strRef>
          </c:cat>
          <c:val>
            <c:numRef>
              <c:f>('IE SUMMARY'!$B$26:$G$26,'IE SUMMARY'!$H$26)</c:f>
              <c:numCache>
                <c:formatCode>"$"#,##0_);[Red]\("$"#,##0\)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662691</c:v>
                </c:pt>
                <c:pt idx="3">
                  <c:v>673233.73</c:v>
                </c:pt>
                <c:pt idx="4">
                  <c:v>0</c:v>
                </c:pt>
                <c:pt idx="5">
                  <c:v>0</c:v>
                </c:pt>
                <c:pt idx="6">
                  <c:v>667626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A-441E-A5C0-0610D03FBD88}"/>
            </c:ext>
          </c:extLst>
        </c:ser>
        <c:ser>
          <c:idx val="2"/>
          <c:order val="1"/>
          <c:tx>
            <c:v>Expenses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'IE SUMMARY'!$B$110:$H$110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Trailing 12</c:v>
                </c:pt>
                <c:pt idx="4">
                  <c:v>2022 Ann.</c:v>
                </c:pt>
                <c:pt idx="5">
                  <c:v>Broker</c:v>
                </c:pt>
                <c:pt idx="6">
                  <c:v>BVG Yr 1</c:v>
                </c:pt>
              </c:strCache>
            </c:strRef>
          </c:cat>
          <c:val>
            <c:numRef>
              <c:f>('IE SUMMARY'!$B$56:$G$56,'IE SUMMARY'!$H$56)</c:f>
              <c:numCache>
                <c:formatCode>"$"#,##0_);[Red]\("$"#,##0\)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291503</c:v>
                </c:pt>
                <c:pt idx="3">
                  <c:v>317151.11</c:v>
                </c:pt>
                <c:pt idx="4">
                  <c:v>0</c:v>
                </c:pt>
                <c:pt idx="5">
                  <c:v>0</c:v>
                </c:pt>
                <c:pt idx="6">
                  <c:v>303598.76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A-441E-A5C0-0610D03FBD88}"/>
            </c:ext>
          </c:extLst>
        </c:ser>
        <c:ser>
          <c:idx val="0"/>
          <c:order val="2"/>
          <c:tx>
            <c:v>NOI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'IE SUMMARY'!$B$110:$H$110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Trailing 12</c:v>
                </c:pt>
                <c:pt idx="4">
                  <c:v>2022 Ann.</c:v>
                </c:pt>
                <c:pt idx="5">
                  <c:v>Broker</c:v>
                </c:pt>
                <c:pt idx="6">
                  <c:v>BVG Yr 1</c:v>
                </c:pt>
              </c:strCache>
            </c:strRef>
          </c:cat>
          <c:val>
            <c:numRef>
              <c:f>('IE SUMMARY'!$B$61:$G$61,'IE SUMMARY'!$H$61)</c:f>
              <c:numCache>
                <c:formatCode>"$"#,##0_);[Red]\("$"#,##0\)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371188</c:v>
                </c:pt>
                <c:pt idx="3">
                  <c:v>356082.62</c:v>
                </c:pt>
                <c:pt idx="4">
                  <c:v>0</c:v>
                </c:pt>
                <c:pt idx="5">
                  <c:v>0</c:v>
                </c:pt>
                <c:pt idx="6">
                  <c:v>364027.24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A-441E-A5C0-0610D03F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8998656"/>
        <c:axId val="-69004096"/>
      </c:barChart>
      <c:catAx>
        <c:axId val="-689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9004096"/>
        <c:crosses val="autoZero"/>
        <c:auto val="1"/>
        <c:lblAlgn val="ctr"/>
        <c:lblOffset val="100"/>
        <c:noMultiLvlLbl val="0"/>
      </c:catAx>
      <c:valAx>
        <c:axId val="-6900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99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Historical Expense Comparison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'IE SUMMARY'!$B$31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SUMMARY'!$B$32:$B$55</c:f>
              <c:numCache>
                <c:formatCode>"$"#,##0_);[Red]\("$"#,##0\)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6-44D1-B4ED-52863D21BCB7}"/>
            </c:ext>
          </c:extLst>
        </c:ser>
        <c:ser>
          <c:idx val="1"/>
          <c:order val="1"/>
          <c:tx>
            <c:strRef>
              <c:f>'IE SUMMARY'!$C$31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SUMMARY'!$C$32:$C$55</c:f>
              <c:numCache>
                <c:formatCode>"$"#,##0_);[Red]\("$"#,##0\)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6-44D1-B4ED-52863D21BCB7}"/>
            </c:ext>
          </c:extLst>
        </c:ser>
        <c:ser>
          <c:idx val="2"/>
          <c:order val="2"/>
          <c:tx>
            <c:strRef>
              <c:f>'IE SUMMARY'!$D$31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SUMMARY'!$D$32:$D$55</c:f>
              <c:numCache>
                <c:formatCode>"$"#,##0_);[Red]\("$"#,##0\)</c:formatCode>
                <c:ptCount val="24"/>
                <c:pt idx="0">
                  <c:v>33459</c:v>
                </c:pt>
                <c:pt idx="1">
                  <c:v>0</c:v>
                </c:pt>
                <c:pt idx="2">
                  <c:v>0</c:v>
                </c:pt>
                <c:pt idx="3">
                  <c:v>21132</c:v>
                </c:pt>
                <c:pt idx="4">
                  <c:v>43079</c:v>
                </c:pt>
                <c:pt idx="5">
                  <c:v>28598</c:v>
                </c:pt>
                <c:pt idx="6">
                  <c:v>8004</c:v>
                </c:pt>
                <c:pt idx="7">
                  <c:v>33689</c:v>
                </c:pt>
                <c:pt idx="8">
                  <c:v>1148</c:v>
                </c:pt>
                <c:pt idx="9">
                  <c:v>3561</c:v>
                </c:pt>
                <c:pt idx="10">
                  <c:v>19966</c:v>
                </c:pt>
                <c:pt idx="11">
                  <c:v>7685</c:v>
                </c:pt>
                <c:pt idx="12">
                  <c:v>8459</c:v>
                </c:pt>
                <c:pt idx="13">
                  <c:v>15418</c:v>
                </c:pt>
                <c:pt idx="14">
                  <c:v>12870</c:v>
                </c:pt>
                <c:pt idx="15">
                  <c:v>0</c:v>
                </c:pt>
                <c:pt idx="16">
                  <c:v>0</c:v>
                </c:pt>
                <c:pt idx="17">
                  <c:v>150</c:v>
                </c:pt>
                <c:pt idx="18">
                  <c:v>0</c:v>
                </c:pt>
                <c:pt idx="19">
                  <c:v>0</c:v>
                </c:pt>
                <c:pt idx="20">
                  <c:v>2860</c:v>
                </c:pt>
                <c:pt idx="21">
                  <c:v>0</c:v>
                </c:pt>
                <c:pt idx="22">
                  <c:v>23959</c:v>
                </c:pt>
                <c:pt idx="23">
                  <c:v>27466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16-44D1-B4ED-52863D21BCB7}"/>
            </c:ext>
          </c:extLst>
        </c:ser>
        <c:ser>
          <c:idx val="3"/>
          <c:order val="3"/>
          <c:tx>
            <c:strRef>
              <c:f>'IE SUMMARY'!$E$31</c:f>
              <c:strCache>
                <c:ptCount val="1"/>
                <c:pt idx="0">
                  <c:v>Trailing 12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SUMMARY'!$E$32:$E$55</c:f>
              <c:numCache>
                <c:formatCode>"$"#,##0_);[Red]\("$"#,##0\)</c:formatCode>
                <c:ptCount val="24"/>
                <c:pt idx="0">
                  <c:v>33459.599999999999</c:v>
                </c:pt>
                <c:pt idx="1">
                  <c:v>0</c:v>
                </c:pt>
                <c:pt idx="2">
                  <c:v>0</c:v>
                </c:pt>
                <c:pt idx="3">
                  <c:v>19850.37</c:v>
                </c:pt>
                <c:pt idx="4">
                  <c:v>64321.55</c:v>
                </c:pt>
                <c:pt idx="5">
                  <c:v>29432.37</c:v>
                </c:pt>
                <c:pt idx="6">
                  <c:v>8298.1</c:v>
                </c:pt>
                <c:pt idx="7">
                  <c:v>34340.129999999997</c:v>
                </c:pt>
                <c:pt idx="8">
                  <c:v>1148.28</c:v>
                </c:pt>
                <c:pt idx="9">
                  <c:v>3647.57</c:v>
                </c:pt>
                <c:pt idx="10">
                  <c:v>21590.269999999997</c:v>
                </c:pt>
                <c:pt idx="11">
                  <c:v>8240.68</c:v>
                </c:pt>
                <c:pt idx="12">
                  <c:v>9624.8200000000015</c:v>
                </c:pt>
                <c:pt idx="13">
                  <c:v>15418.68</c:v>
                </c:pt>
                <c:pt idx="14">
                  <c:v>13443.8</c:v>
                </c:pt>
                <c:pt idx="15">
                  <c:v>0</c:v>
                </c:pt>
                <c:pt idx="16">
                  <c:v>18665.7</c:v>
                </c:pt>
                <c:pt idx="17">
                  <c:v>150</c:v>
                </c:pt>
                <c:pt idx="18">
                  <c:v>0</c:v>
                </c:pt>
                <c:pt idx="19">
                  <c:v>0</c:v>
                </c:pt>
                <c:pt idx="20">
                  <c:v>2810.47</c:v>
                </c:pt>
                <c:pt idx="21">
                  <c:v>0</c:v>
                </c:pt>
                <c:pt idx="22">
                  <c:v>5059.49</c:v>
                </c:pt>
                <c:pt idx="23">
                  <c:v>27649.23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16-44D1-B4ED-52863D21BCB7}"/>
            </c:ext>
          </c:extLst>
        </c:ser>
        <c:ser>
          <c:idx val="4"/>
          <c:order val="4"/>
          <c:tx>
            <c:strRef>
              <c:f>'IE SUMMARY'!$F$31</c:f>
              <c:strCache>
                <c:ptCount val="1"/>
                <c:pt idx="0">
                  <c:v>2022 Annualized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SUMMARY'!$F$32:$F$55</c:f>
              <c:numCache>
                <c:formatCode>"$"#,##0_);[Red]\("$"#,##0\)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16-44D1-B4ED-52863D21BCB7}"/>
            </c:ext>
          </c:extLst>
        </c:ser>
        <c:ser>
          <c:idx val="5"/>
          <c:order val="5"/>
          <c:tx>
            <c:strRef>
              <c:f>'IE SUMMARY'!$G$31</c:f>
              <c:strCache>
                <c:ptCount val="1"/>
                <c:pt idx="0">
                  <c:v>Broker Projection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SUMMARY'!$G$32:$G$55</c:f>
              <c:numCache>
                <c:formatCode>"$"#,##0_);[Red]\("$"#,##0\)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16-44D1-B4ED-52863D21BCB7}"/>
            </c:ext>
          </c:extLst>
        </c:ser>
        <c:ser>
          <c:idx val="6"/>
          <c:order val="6"/>
          <c:tx>
            <c:strRef>
              <c:f>'IE SUMMARY'!$H$31</c:f>
              <c:strCache>
                <c:ptCount val="1"/>
                <c:pt idx="0">
                  <c:v>BVG Yr 1 Projection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SUMMARY'!$H$32:$H$55</c:f>
              <c:numCache>
                <c:formatCode>"$"#,##0_);[Red]\("$"#,##0\)</c:formatCode>
                <c:ptCount val="24"/>
                <c:pt idx="0">
                  <c:v>33456</c:v>
                </c:pt>
                <c:pt idx="1">
                  <c:v>4641</c:v>
                </c:pt>
                <c:pt idx="2">
                  <c:v>1638</c:v>
                </c:pt>
                <c:pt idx="3">
                  <c:v>21554.639999999999</c:v>
                </c:pt>
                <c:pt idx="4">
                  <c:v>43940.58</c:v>
                </c:pt>
                <c:pt idx="5">
                  <c:v>29169.96</c:v>
                </c:pt>
                <c:pt idx="6">
                  <c:v>8164.08</c:v>
                </c:pt>
                <c:pt idx="7">
                  <c:v>34362.78</c:v>
                </c:pt>
                <c:pt idx="8">
                  <c:v>1080</c:v>
                </c:pt>
                <c:pt idx="9">
                  <c:v>1500</c:v>
                </c:pt>
                <c:pt idx="10">
                  <c:v>31600</c:v>
                </c:pt>
                <c:pt idx="11">
                  <c:v>7000</c:v>
                </c:pt>
                <c:pt idx="12">
                  <c:v>7488</c:v>
                </c:pt>
                <c:pt idx="13">
                  <c:v>17946.72</c:v>
                </c:pt>
                <c:pt idx="14">
                  <c:v>13513.5</c:v>
                </c:pt>
                <c:pt idx="15">
                  <c:v>1095</c:v>
                </c:pt>
                <c:pt idx="16">
                  <c:v>2500</c:v>
                </c:pt>
                <c:pt idx="17">
                  <c:v>1700</c:v>
                </c:pt>
                <c:pt idx="18">
                  <c:v>0</c:v>
                </c:pt>
                <c:pt idx="19">
                  <c:v>2450</c:v>
                </c:pt>
                <c:pt idx="20">
                  <c:v>2917.2000000000003</c:v>
                </c:pt>
                <c:pt idx="21">
                  <c:v>0</c:v>
                </c:pt>
                <c:pt idx="22">
                  <c:v>2500</c:v>
                </c:pt>
                <c:pt idx="23">
                  <c:v>33381.300000000003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16-44D1-B4ED-52863D21B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50202264"/>
        <c:axId val="750202592"/>
      </c:barChart>
      <c:catAx>
        <c:axId val="75020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202592"/>
        <c:crosses val="autoZero"/>
        <c:auto val="1"/>
        <c:lblAlgn val="ctr"/>
        <c:lblOffset val="100"/>
        <c:noMultiLvlLbl val="0"/>
      </c:catAx>
      <c:valAx>
        <c:axId val="75020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202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59784107105308"/>
          <c:y val="0.93092637229207786"/>
          <c:w val="0.25375585099340325"/>
          <c:h val="5.7521282013225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7A6008-31BD-40D9-8117-02E0CA5173B3}">
  <sheetPr codeName="Chart12">
    <tabColor rgb="FF7030A0"/>
  </sheetPr>
  <sheetViews>
    <sheetView zoomScale="13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29</xdr:row>
      <xdr:rowOff>7620</xdr:rowOff>
    </xdr:from>
    <xdr:to>
      <xdr:col>8</xdr:col>
      <xdr:colOff>640080</xdr:colOff>
      <xdr:row>30</xdr:row>
      <xdr:rowOff>22860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9FA150-E4BB-4EDD-A800-81217D8D36B4}"/>
            </a:ext>
          </a:extLst>
        </xdr:cNvPr>
        <xdr:cNvSpPr txBox="1"/>
      </xdr:nvSpPr>
      <xdr:spPr>
        <a:xfrm>
          <a:off x="259080" y="6271260"/>
          <a:ext cx="6659880" cy="13868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largest value drivers for this asset are the opportunity to fill vacant pads and bring rents to market, capitalizing on a strong</a:t>
          </a:r>
          <a:r>
            <a:rPr lang="en-US" sz="1100" baseline="0"/>
            <a:t> demand for affordable housing in the area. We are projecting an increase to net operating income of 81% during the first five years of the hold period. </a:t>
          </a:r>
          <a:endParaRPr lang="en-US" sz="1100"/>
        </a:p>
      </xdr:txBody>
    </xdr:sp>
    <xdr:clientData/>
  </xdr:twoCellAnchor>
  <xdr:twoCellAnchor>
    <xdr:from>
      <xdr:col>1</xdr:col>
      <xdr:colOff>0</xdr:colOff>
      <xdr:row>18</xdr:row>
      <xdr:rowOff>15240</xdr:rowOff>
    </xdr:from>
    <xdr:to>
      <xdr:col>8</xdr:col>
      <xdr:colOff>655320</xdr:colOff>
      <xdr:row>18</xdr:row>
      <xdr:rowOff>1714500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B3B327-1FA2-402C-A4BF-B83C3F95014B}"/>
            </a:ext>
          </a:extLst>
        </xdr:cNvPr>
        <xdr:cNvSpPr txBox="1"/>
      </xdr:nvSpPr>
      <xdr:spPr>
        <a:xfrm>
          <a:off x="266700" y="3703320"/>
          <a:ext cx="6667500" cy="1699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Acquired as part of a seven property, $79.2 million portfolio, Beulah's MHP is a 42 space park located in Wakeman, Ohio. Firelands Manor is an attractive asset located in beautiful tree-studded countryside just outside of the town. The park has strong curb appeal despite some deferred maintenance. The primary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value-add opportunity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here will  be filling the 36 vacant pads. Along with filling the vacant pads, we plan to quickly address minor deferred maintenance and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cosmetic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issues which will allow us to bring rents to market levels. </a:t>
          </a: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324390</xdr:colOff>
      <xdr:row>4</xdr:row>
      <xdr:rowOff>126364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5F806C-B140-4437-969E-262A5C5F6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665510" cy="800099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20</xdr:row>
      <xdr:rowOff>74296</xdr:rowOff>
    </xdr:from>
    <xdr:to>
      <xdr:col>9</xdr:col>
      <xdr:colOff>0</xdr:colOff>
      <xdr:row>20</xdr:row>
      <xdr:rowOff>809626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C23BDF4-D59C-4AC2-903F-B4F24B5C315D}"/>
            </a:ext>
          </a:extLst>
        </xdr:cNvPr>
        <xdr:cNvSpPr txBox="1"/>
      </xdr:nvSpPr>
      <xdr:spPr>
        <a:xfrm>
          <a:off x="247650" y="5522596"/>
          <a:ext cx="6505575" cy="7353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  <a:p>
          <a:r>
            <a:rPr lang="en-US" sz="1100"/>
            <a:t>Capital</a:t>
          </a:r>
          <a:r>
            <a:rPr lang="en-US" sz="1100" baseline="0"/>
            <a:t> reserves will be used primarily to quickly bring in homes for vacant pads, as well as do some minor roadwork in the community. We have reserved a total of $740,000 in additional capital with $625,000 of this being for new home installation. </a:t>
          </a:r>
          <a:br>
            <a:rPr lang="en-US" sz="1100" baseline="0"/>
          </a:b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238125</xdr:colOff>
      <xdr:row>1</xdr:row>
      <xdr:rowOff>116399</xdr:rowOff>
    </xdr:from>
    <xdr:to>
      <xdr:col>24</xdr:col>
      <xdr:colOff>143002</xdr:colOff>
      <xdr:row>24</xdr:row>
      <xdr:rowOff>31749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28E890-495C-787F-C1B6-2DDBC8BE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5" y="411674"/>
          <a:ext cx="4857877" cy="3639625"/>
        </a:xfrm>
        <a:prstGeom prst="rect">
          <a:avLst/>
        </a:prstGeom>
      </xdr:spPr>
    </xdr:pic>
    <xdr:clientData/>
  </xdr:twoCellAnchor>
  <xdr:twoCellAnchor editAs="oneCell">
    <xdr:from>
      <xdr:col>8</xdr:col>
      <xdr:colOff>219850</xdr:colOff>
      <xdr:row>24</xdr:row>
      <xdr:rowOff>111631</xdr:rowOff>
    </xdr:from>
    <xdr:to>
      <xdr:col>16</xdr:col>
      <xdr:colOff>112402</xdr:colOff>
      <xdr:row>47</xdr:row>
      <xdr:rowOff>26175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33852F-2E24-3998-5CAE-BDBC6F18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850" y="4131181"/>
          <a:ext cx="4845552" cy="3638819"/>
        </a:xfrm>
        <a:prstGeom prst="rect">
          <a:avLst/>
        </a:prstGeom>
      </xdr:spPr>
    </xdr:pic>
    <xdr:clientData/>
  </xdr:twoCellAnchor>
  <xdr:twoCellAnchor editAs="oneCell">
    <xdr:from>
      <xdr:col>0</xdr:col>
      <xdr:colOff>236500</xdr:colOff>
      <xdr:row>24</xdr:row>
      <xdr:rowOff>95912</xdr:rowOff>
    </xdr:from>
    <xdr:to>
      <xdr:col>8</xdr:col>
      <xdr:colOff>144365</xdr:colOff>
      <xdr:row>47</xdr:row>
      <xdr:rowOff>7900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44C841-3CD9-175E-7C28-5DF9D6685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00" y="4115462"/>
          <a:ext cx="4860865" cy="3636263"/>
        </a:xfrm>
        <a:prstGeom prst="rect">
          <a:avLst/>
        </a:prstGeom>
      </xdr:spPr>
    </xdr:pic>
    <xdr:clientData/>
  </xdr:twoCellAnchor>
  <xdr:twoCellAnchor editAs="oneCell">
    <xdr:from>
      <xdr:col>0</xdr:col>
      <xdr:colOff>218225</xdr:colOff>
      <xdr:row>1</xdr:row>
      <xdr:rowOff>77825</xdr:rowOff>
    </xdr:from>
    <xdr:to>
      <xdr:col>8</xdr:col>
      <xdr:colOff>122297</xdr:colOff>
      <xdr:row>23</xdr:row>
      <xdr:rowOff>154725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F70BD52-1933-B4E1-DB9B-3477B5DF7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25" y="373100"/>
          <a:ext cx="4857072" cy="3639250"/>
        </a:xfrm>
        <a:prstGeom prst="rect">
          <a:avLst/>
        </a:prstGeom>
      </xdr:spPr>
    </xdr:pic>
    <xdr:clientData/>
  </xdr:twoCellAnchor>
  <xdr:twoCellAnchor editAs="oneCell">
    <xdr:from>
      <xdr:col>16</xdr:col>
      <xdr:colOff>209475</xdr:colOff>
      <xdr:row>24</xdr:row>
      <xdr:rowOff>123050</xdr:rowOff>
    </xdr:from>
    <xdr:to>
      <xdr:col>24</xdr:col>
      <xdr:colOff>111795</xdr:colOff>
      <xdr:row>47</xdr:row>
      <xdr:rowOff>38025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08488EC-2B61-19C4-36CD-A46039D3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475" y="4142600"/>
          <a:ext cx="4855320" cy="3639250"/>
        </a:xfrm>
        <a:prstGeom prst="rect">
          <a:avLst/>
        </a:prstGeom>
      </xdr:spPr>
    </xdr:pic>
    <xdr:clientData/>
  </xdr:twoCellAnchor>
  <xdr:twoCellAnchor editAs="oneCell">
    <xdr:from>
      <xdr:col>8</xdr:col>
      <xdr:colOff>238826</xdr:colOff>
      <xdr:row>1</xdr:row>
      <xdr:rowOff>92075</xdr:rowOff>
    </xdr:from>
    <xdr:to>
      <xdr:col>16</xdr:col>
      <xdr:colOff>131379</xdr:colOff>
      <xdr:row>24</xdr:row>
      <xdr:rowOff>7050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D0C088B-577B-15A0-4FF2-8B3555038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826" y="387350"/>
          <a:ext cx="4845553" cy="3639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37</xdr:row>
      <xdr:rowOff>0</xdr:rowOff>
    </xdr:from>
    <xdr:to>
      <xdr:col>16</xdr:col>
      <xdr:colOff>480348</xdr:colOff>
      <xdr:row>38</xdr:row>
      <xdr:rowOff>147961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43DBC-7009-EBA2-793C-81149B51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7412" y="6140824"/>
          <a:ext cx="9288171" cy="304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1</xdr:row>
      <xdr:rowOff>0</xdr:rowOff>
    </xdr:from>
    <xdr:to>
      <xdr:col>54</xdr:col>
      <xdr:colOff>571500</xdr:colOff>
      <xdr:row>53</xdr:row>
      <xdr:rowOff>143932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41600" y="161924"/>
          <a:ext cx="6667500" cy="862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27</xdr:col>
      <xdr:colOff>238125</xdr:colOff>
      <xdr:row>36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EDCC77-0BC5-4FAC-A7FD-5943EF82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5" y="0"/>
          <a:ext cx="11963400" cy="59531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22</xdr:col>
      <xdr:colOff>190500</xdr:colOff>
      <xdr:row>70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05F253-F660-4E19-AA1F-14FC200E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43825" y="6076950"/>
          <a:ext cx="8963025" cy="53625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70</xdr:row>
      <xdr:rowOff>0</xdr:rowOff>
    </xdr:from>
    <xdr:to>
      <xdr:col>22</xdr:col>
      <xdr:colOff>123825</xdr:colOff>
      <xdr:row>114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E6DC9E-2B04-4BC2-9155-B2849C479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43825" y="11420475"/>
          <a:ext cx="8896350" cy="71818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115</xdr:row>
      <xdr:rowOff>0</xdr:rowOff>
    </xdr:from>
    <xdr:to>
      <xdr:col>22</xdr:col>
      <xdr:colOff>152400</xdr:colOff>
      <xdr:row>147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CE8CCC-9F52-496B-9233-024AE9BF2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43825" y="18707100"/>
          <a:ext cx="8924925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9752" cy="628940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A7B91D-A119-452C-AB3B-312D4A5F9E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42861</xdr:rowOff>
    </xdr:from>
    <xdr:to>
      <xdr:col>42</xdr:col>
      <xdr:colOff>361950</xdr:colOff>
      <xdr:row>35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4ACCEF-F067-4A6B-886A-E084D468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LEWIS/00REPORT/00-9897/ESUITEBP/ESUITFI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Ophist1"/>
      <sheetName val="Ophist2"/>
      <sheetName val="Ophist%"/>
      <sheetName val="Ophist YTD"/>
      <sheetName val="Trailing 12"/>
      <sheetName val="Base Year"/>
      <sheetName val="FixVar"/>
      <sheetName val="Hotel Tax Model"/>
      <sheetName val="Projection"/>
      <sheetName val="Hotel Tax Model-Report Table"/>
      <sheetName val="bpcaexplan"/>
      <sheetName val="Recapture"/>
      <sheetName val="Hotel % Rent"/>
      <sheetName val="All Tax Comps"/>
      <sheetName val="Selected Tax Comps"/>
      <sheetName val="Ten Year"/>
      <sheetName val="DCF"/>
      <sheetName val="Matrix"/>
      <sheetName val="Fin Summary"/>
      <sheetName val="Comps"/>
      <sheetName val="Ind Avgs"/>
      <sheetName val="Inv Survey"/>
      <sheetName val="Inc Exp"/>
      <sheetName val="IE Forecast"/>
      <sheetName val="Dialog2"/>
      <sheetName val="Dialog5"/>
      <sheetName val="Module1"/>
      <sheetName val="L"/>
      <sheetName val="Dialog1"/>
      <sheetName val="Dialog3"/>
      <sheetName val="Dialog4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an Stevenson" id="{1CFF247D-A6C0-41AC-920A-A1895715E697}" userId="Alan Stevenson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7" dT="2021-04-23T14:06:08.20" personId="{1CFF247D-A6C0-41AC-920A-A1895715E697}" id="{4A5875FD-6FE4-41FD-AAD3-38CC87E06ECE}">
    <text>Alan Stevenson:
For historicals, this is the total summed up vacancy (i.e. we do not break out vacancy between the three bvg categories)</text>
  </threadedComment>
  <threadedComment ref="C39" dT="2021-04-23T14:07:36.07" personId="{1CFF247D-A6C0-41AC-920A-A1895715E697}" id="{8D5A141D-9A3A-44F8-800C-FF25B58CEFF3}">
    <text>like Vacancy, this is a total number for the historicals column (since the historical categoties are not going to match the bvg categories)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2060"/>
  </sheetPr>
  <dimension ref="B6:I59"/>
  <sheetViews>
    <sheetView tabSelected="1" workbookViewId="0">
      <selection activeCell="C8" sqref="C8"/>
    </sheetView>
  </sheetViews>
  <sheetFormatPr baseColWidth="10" defaultColWidth="8.83203125" defaultRowHeight="13" x14ac:dyDescent="0.15"/>
  <cols>
    <col min="1" max="1" width="3.83203125" customWidth="1"/>
    <col min="2" max="2" width="15.6640625" customWidth="1"/>
    <col min="3" max="3" width="13" customWidth="1"/>
    <col min="4" max="4" width="11.33203125" customWidth="1"/>
    <col min="5" max="5" width="12.83203125" customWidth="1"/>
    <col min="6" max="6" width="11" customWidth="1"/>
    <col min="7" max="7" width="14" customWidth="1"/>
    <col min="8" max="8" width="11.1640625" customWidth="1"/>
    <col min="9" max="9" width="11" customWidth="1"/>
  </cols>
  <sheetData>
    <row r="6" spans="2:9" x14ac:dyDescent="0.15">
      <c r="B6" s="7" t="str">
        <f>Proforma!C1</f>
        <v>Firelands Manor - 5810 US Hwy 20 East, Wakeman, OH 44889</v>
      </c>
    </row>
    <row r="8" spans="2:9" ht="33" customHeight="1" x14ac:dyDescent="0.15">
      <c r="B8" s="708" t="s">
        <v>0</v>
      </c>
      <c r="C8" s="708" t="s">
        <v>1</v>
      </c>
      <c r="D8" s="708" t="s">
        <v>2</v>
      </c>
      <c r="E8" s="708" t="s">
        <v>3</v>
      </c>
      <c r="F8" s="708" t="s">
        <v>4</v>
      </c>
      <c r="G8" s="708" t="s">
        <v>5</v>
      </c>
      <c r="H8" s="708" t="s">
        <v>6</v>
      </c>
      <c r="I8" s="708" t="s">
        <v>7</v>
      </c>
    </row>
    <row r="9" spans="2:9" ht="26" customHeight="1" x14ac:dyDescent="0.15">
      <c r="B9" s="709">
        <f>'Financial Summary'!B5</f>
        <v>8243334</v>
      </c>
      <c r="C9" s="710">
        <f>Proforma!D15</f>
        <v>158</v>
      </c>
      <c r="D9" s="709">
        <f>B9/C9</f>
        <v>52173</v>
      </c>
      <c r="E9" s="709">
        <f>Proforma!D5</f>
        <v>895438.3</v>
      </c>
      <c r="F9" s="711">
        <f>Proforma!G15</f>
        <v>0.22784810126582278</v>
      </c>
      <c r="G9" s="710">
        <f>Proforma!D17</f>
        <v>52</v>
      </c>
      <c r="H9" s="711">
        <f>Proforma!D8</f>
        <v>3.9833276073636278E-2</v>
      </c>
      <c r="I9" s="711">
        <f>Proforma!D134</f>
        <v>0.13925735435712761</v>
      </c>
    </row>
    <row r="11" spans="2:9" ht="15" x14ac:dyDescent="0.15">
      <c r="B11" s="111" t="s">
        <v>8</v>
      </c>
    </row>
    <row r="12" spans="2:9" ht="13.25" customHeight="1" x14ac:dyDescent="0.15">
      <c r="B12" s="705" t="s">
        <v>9</v>
      </c>
      <c r="C12" s="705"/>
      <c r="D12" s="705" t="s">
        <v>10</v>
      </c>
      <c r="E12" s="705"/>
      <c r="F12" s="705"/>
      <c r="G12" s="705"/>
      <c r="H12" s="705"/>
      <c r="I12" s="705"/>
    </row>
    <row r="13" spans="2:9" ht="15" x14ac:dyDescent="0.15">
      <c r="B13" s="705" t="s">
        <v>11</v>
      </c>
      <c r="C13" s="705"/>
      <c r="D13" s="705" t="s">
        <v>12</v>
      </c>
      <c r="E13" s="705"/>
      <c r="F13" s="705"/>
      <c r="G13" s="705"/>
      <c r="H13" s="705"/>
      <c r="I13" s="705"/>
    </row>
    <row r="14" spans="2:9" ht="15" x14ac:dyDescent="0.15">
      <c r="B14" s="705" t="s">
        <v>13</v>
      </c>
      <c r="C14" s="705"/>
      <c r="D14" s="705" t="s">
        <v>14</v>
      </c>
      <c r="E14" s="705"/>
      <c r="F14" s="705"/>
      <c r="G14" s="705"/>
      <c r="H14" s="705"/>
      <c r="I14" s="705"/>
    </row>
    <row r="15" spans="2:9" ht="15" x14ac:dyDescent="0.15">
      <c r="B15" s="705"/>
      <c r="C15" s="705"/>
      <c r="D15" s="705"/>
      <c r="E15" s="705"/>
      <c r="F15" s="705"/>
      <c r="H15" s="705"/>
      <c r="I15" s="705"/>
    </row>
    <row r="16" spans="2:9" ht="13.25" customHeight="1" x14ac:dyDescent="0.15">
      <c r="B16" s="705"/>
    </row>
    <row r="18" spans="2:9" ht="15" x14ac:dyDescent="0.15">
      <c r="B18" s="111" t="s">
        <v>15</v>
      </c>
    </row>
    <row r="19" spans="2:9" ht="90.75" customHeight="1" x14ac:dyDescent="0.15">
      <c r="B19" s="787"/>
      <c r="C19" s="787"/>
      <c r="D19" s="787"/>
      <c r="E19" s="787"/>
      <c r="F19" s="787"/>
      <c r="G19" s="787"/>
      <c r="H19" s="787"/>
      <c r="I19" s="787"/>
    </row>
    <row r="20" spans="2:9" ht="15" x14ac:dyDescent="0.15">
      <c r="B20" s="111" t="s">
        <v>16</v>
      </c>
      <c r="C20" s="600"/>
      <c r="D20" s="600"/>
      <c r="E20" s="600"/>
      <c r="F20" s="600"/>
      <c r="G20" s="600"/>
      <c r="H20" s="600"/>
      <c r="I20" s="600"/>
    </row>
    <row r="21" spans="2:9" ht="70.5" customHeight="1" x14ac:dyDescent="0.15">
      <c r="B21" s="712"/>
      <c r="C21" s="600"/>
      <c r="D21" s="600"/>
      <c r="E21" s="600"/>
      <c r="F21" s="600"/>
      <c r="G21" s="600"/>
      <c r="H21" s="600"/>
      <c r="I21" s="600"/>
    </row>
    <row r="22" spans="2:9" ht="15" hidden="1" x14ac:dyDescent="0.15">
      <c r="B22" s="713"/>
      <c r="C22" s="600"/>
      <c r="D22" s="600"/>
      <c r="E22" s="600"/>
      <c r="F22" s="600"/>
      <c r="G22" s="600"/>
      <c r="H22" s="600"/>
      <c r="I22" s="600"/>
    </row>
    <row r="23" spans="2:9" ht="15" hidden="1" x14ac:dyDescent="0.15">
      <c r="B23" s="713"/>
      <c r="C23" s="600"/>
      <c r="D23" s="600"/>
      <c r="E23" s="600"/>
      <c r="F23" s="600"/>
      <c r="G23" s="600"/>
      <c r="H23" s="600"/>
      <c r="I23" s="600"/>
    </row>
    <row r="24" spans="2:9" ht="15" hidden="1" x14ac:dyDescent="0.15">
      <c r="B24" s="713"/>
    </row>
    <row r="25" spans="2:9" ht="15" hidden="1" x14ac:dyDescent="0.15">
      <c r="B25" s="713"/>
    </row>
    <row r="26" spans="2:9" hidden="1" x14ac:dyDescent="0.15"/>
    <row r="27" spans="2:9" hidden="1" x14ac:dyDescent="0.15"/>
    <row r="28" spans="2:9" hidden="1" x14ac:dyDescent="0.15"/>
    <row r="29" spans="2:9" ht="20.5" customHeight="1" x14ac:dyDescent="0.15">
      <c r="B29" s="111" t="s">
        <v>17</v>
      </c>
    </row>
    <row r="30" spans="2:9" ht="108" customHeight="1" x14ac:dyDescent="0.15">
      <c r="B30" s="788"/>
      <c r="C30" s="789"/>
      <c r="D30" s="789"/>
      <c r="E30" s="789"/>
      <c r="F30" s="789"/>
      <c r="G30" s="789"/>
      <c r="H30" s="789"/>
    </row>
    <row r="31" spans="2:9" ht="15" x14ac:dyDescent="0.15">
      <c r="B31" s="713"/>
    </row>
    <row r="32" spans="2:9" ht="14" thickBot="1" x14ac:dyDescent="0.2"/>
    <row r="33" spans="2:9" ht="15" x14ac:dyDescent="0.15">
      <c r="B33" s="112" t="s">
        <v>18</v>
      </c>
      <c r="C33" s="112" t="s">
        <v>19</v>
      </c>
      <c r="D33" s="112" t="s">
        <v>4</v>
      </c>
      <c r="E33" s="112" t="s">
        <v>20</v>
      </c>
      <c r="F33" s="113" t="s">
        <v>21</v>
      </c>
      <c r="G33" s="114"/>
    </row>
    <row r="34" spans="2:9" ht="27.75" customHeight="1" thickBot="1" x14ac:dyDescent="0.2">
      <c r="B34" s="714">
        <f>Proforma!J102</f>
        <v>12717608.930296499</v>
      </c>
      <c r="C34" s="715">
        <f>B34/C9</f>
        <v>80491.195761370254</v>
      </c>
      <c r="D34" s="716">
        <f>Proforma!E38</f>
        <v>0.05</v>
      </c>
      <c r="E34" s="716">
        <f>Proforma!D9</f>
        <v>5.2499999999999998E-2</v>
      </c>
      <c r="F34" s="785">
        <f>Proforma!D136/-Proforma!E130</f>
        <v>1.2654484597609408</v>
      </c>
      <c r="G34" s="786"/>
    </row>
    <row r="35" spans="2:9" ht="14" thickBot="1" x14ac:dyDescent="0.2"/>
    <row r="36" spans="2:9" ht="18" x14ac:dyDescent="0.2">
      <c r="B36" s="84" t="s">
        <v>22</v>
      </c>
      <c r="C36" s="85"/>
      <c r="D36" s="85"/>
      <c r="E36" s="85"/>
      <c r="F36" s="85"/>
      <c r="G36" s="85"/>
      <c r="H36" s="85"/>
      <c r="I36" s="86"/>
    </row>
    <row r="37" spans="2:9" x14ac:dyDescent="0.15">
      <c r="B37" s="87"/>
      <c r="C37" s="40"/>
      <c r="D37" s="40"/>
      <c r="E37" s="40"/>
      <c r="F37" s="40"/>
      <c r="G37" s="40"/>
      <c r="H37" s="40"/>
      <c r="I37" s="601"/>
    </row>
    <row r="38" spans="2:9" ht="13.25" customHeight="1" thickBot="1" x14ac:dyDescent="0.25">
      <c r="B38" s="106" t="s">
        <v>23</v>
      </c>
      <c r="C38" s="60"/>
      <c r="D38" s="88">
        <f>-Proforma!E115</f>
        <v>4019999.580000001</v>
      </c>
      <c r="E38" s="790" t="str">
        <f>TEXT(Proforma!K22,"0%")&amp;" preferred return paid to investors.  All cash flow including refinance proceeds above the "&amp;TEXT(Proforma!K22,"0%")&amp;" preferred shall be paid to investors until 100% of their investment is returned.  After 100% of the original capital has been returned, then investors and BVG shall split the cash flow and refinance proceeds "&amp;TEXT(Proforma!K20,"00%")&amp;"/"&amp;TEXT(Proforma!K21,"00%")</f>
        <v>5% preferred return paid to investors.  All cash flow including refinance proceeds above the 5% preferred shall be paid to investors until 100% of their investment is returned.  After 100% of the original capital has been returned, then investors and BVG shall split the cash flow and refinance proceeds 50%/50%</v>
      </c>
      <c r="F38" s="790"/>
      <c r="G38" s="790"/>
      <c r="H38" s="790"/>
      <c r="I38" s="791"/>
    </row>
    <row r="39" spans="2:9" ht="16" thickBot="1" x14ac:dyDescent="0.25">
      <c r="B39" s="108" t="s">
        <v>24</v>
      </c>
      <c r="C39" s="109"/>
      <c r="D39" s="110">
        <f>D38</f>
        <v>4019999.580000001</v>
      </c>
      <c r="E39" s="790"/>
      <c r="F39" s="790"/>
      <c r="G39" s="790"/>
      <c r="H39" s="790"/>
      <c r="I39" s="791"/>
    </row>
    <row r="40" spans="2:9" ht="14" x14ac:dyDescent="0.2">
      <c r="B40" s="106" t="s">
        <v>25</v>
      </c>
      <c r="C40" s="60"/>
      <c r="D40" s="89">
        <f>IF(InvestorPromote=50%,D39/(D38/5000),D39/(D38/6000))</f>
        <v>5000</v>
      </c>
      <c r="E40" s="790"/>
      <c r="F40" s="790"/>
      <c r="G40" s="790"/>
      <c r="H40" s="790"/>
      <c r="I40" s="791"/>
    </row>
    <row r="41" spans="2:9" ht="14" x14ac:dyDescent="0.2">
      <c r="B41" s="103"/>
      <c r="C41" s="60" t="s">
        <v>26</v>
      </c>
      <c r="D41" s="102">
        <f>D40/10000</f>
        <v>0.5</v>
      </c>
      <c r="E41" s="790"/>
      <c r="F41" s="790"/>
      <c r="G41" s="790"/>
      <c r="H41" s="790"/>
      <c r="I41" s="791"/>
    </row>
    <row r="42" spans="2:9" ht="14" x14ac:dyDescent="0.2">
      <c r="B42" s="107"/>
      <c r="C42" s="60"/>
      <c r="D42" s="88"/>
      <c r="E42" s="790"/>
      <c r="F42" s="790"/>
      <c r="G42" s="790"/>
      <c r="H42" s="790"/>
      <c r="I42" s="791"/>
    </row>
    <row r="43" spans="2:9" ht="14" x14ac:dyDescent="0.2">
      <c r="B43" s="107"/>
      <c r="C43" s="60"/>
      <c r="D43" s="90"/>
      <c r="E43" s="91"/>
      <c r="F43" s="91"/>
      <c r="G43" s="91"/>
      <c r="H43" s="91"/>
      <c r="I43" s="92"/>
    </row>
    <row r="44" spans="2:9" ht="14" x14ac:dyDescent="0.2">
      <c r="B44" s="103" t="s">
        <v>27</v>
      </c>
      <c r="C44" s="60"/>
      <c r="D44" s="60"/>
      <c r="E44" s="104" t="s">
        <v>28</v>
      </c>
      <c r="F44" s="104" t="s">
        <v>29</v>
      </c>
      <c r="G44" s="104" t="s">
        <v>30</v>
      </c>
      <c r="H44" s="104" t="s">
        <v>31</v>
      </c>
      <c r="I44" s="105" t="s">
        <v>32</v>
      </c>
    </row>
    <row r="45" spans="2:9" ht="14" x14ac:dyDescent="0.2">
      <c r="B45" s="103"/>
      <c r="C45" s="60"/>
      <c r="D45" s="60"/>
      <c r="E45" s="93">
        <f>$D$39*E46</f>
        <v>242827.82506701673</v>
      </c>
      <c r="F45" s="93">
        <f t="shared" ref="F45:I45" si="0">$D$39*F46</f>
        <v>331136.63586701668</v>
      </c>
      <c r="G45" s="93">
        <f t="shared" si="0"/>
        <v>421906.76488301682</v>
      </c>
      <c r="H45" s="93">
        <f t="shared" si="0"/>
        <v>431618.58541343012</v>
      </c>
      <c r="I45" s="94">
        <f t="shared" si="0"/>
        <v>3659612.465520151</v>
      </c>
    </row>
    <row r="46" spans="2:9" ht="14" x14ac:dyDescent="0.2">
      <c r="B46" s="103"/>
      <c r="C46" s="60"/>
      <c r="D46" s="60"/>
      <c r="E46" s="95">
        <f>'Financial Summary'!E17</f>
        <v>6.040493791967428E-2</v>
      </c>
      <c r="F46" s="95">
        <f>'Financial Summary'!F17</f>
        <v>8.2372306085419192E-2</v>
      </c>
      <c r="G46" s="95">
        <f>'Financial Summary'!G17</f>
        <v>0.1049519425280678</v>
      </c>
      <c r="H46" s="95">
        <f>'Financial Summary'!H17</f>
        <v>0.10736781853430691</v>
      </c>
      <c r="I46" s="96">
        <f>'Financial Summary'!I17</f>
        <v>0.91035145469347289</v>
      </c>
    </row>
    <row r="47" spans="2:9" ht="6.5" customHeight="1" x14ac:dyDescent="0.2">
      <c r="B47" s="103"/>
      <c r="C47" s="60"/>
      <c r="D47" s="60"/>
      <c r="E47" s="60"/>
      <c r="F47" s="60"/>
      <c r="G47" s="60"/>
      <c r="H47" s="60"/>
      <c r="I47" s="97"/>
    </row>
    <row r="48" spans="2:9" ht="14" x14ac:dyDescent="0.2">
      <c r="B48" s="103" t="s">
        <v>33</v>
      </c>
      <c r="C48" s="60"/>
      <c r="D48" s="60"/>
      <c r="E48" s="98">
        <f>$D$41*Proforma!F140*2</f>
        <v>-7793301.3659673668</v>
      </c>
      <c r="F48" s="98">
        <f>$D$41*Proforma!G140*2</f>
        <v>-9967.3659673659677</v>
      </c>
      <c r="G48" s="98">
        <f>$D$41*Proforma!H140*2</f>
        <v>-9967.3659673659677</v>
      </c>
      <c r="H48" s="98">
        <f>$D$41*Proforma!I140*2</f>
        <v>-9967.3659673659677</v>
      </c>
      <c r="I48" s="99">
        <f>$D$41*Proforma!J140*2</f>
        <v>-9967.3659673659677</v>
      </c>
    </row>
    <row r="49" spans="2:9" ht="14" x14ac:dyDescent="0.2">
      <c r="B49" s="103"/>
      <c r="C49" s="60"/>
      <c r="D49" s="60"/>
      <c r="E49" s="60"/>
      <c r="F49" s="60"/>
      <c r="G49" s="60"/>
      <c r="H49" s="60"/>
      <c r="I49" s="97"/>
    </row>
    <row r="50" spans="2:9" ht="14" x14ac:dyDescent="0.2">
      <c r="B50" s="103" t="s">
        <v>34</v>
      </c>
      <c r="E50" s="115">
        <f>SUM(E45:I45)</f>
        <v>5087102.2767506316</v>
      </c>
      <c r="H50" s="116" t="s">
        <v>35</v>
      </c>
      <c r="I50" s="117">
        <f>Proforma!D134</f>
        <v>0.13925735435712761</v>
      </c>
    </row>
    <row r="51" spans="2:9" ht="17" x14ac:dyDescent="0.35">
      <c r="B51" s="103" t="s">
        <v>36</v>
      </c>
      <c r="E51" s="118">
        <f>D41*(Proforma!J102-IF(Proforma!D97&lt;&gt;5,Proforma!J97,Proforma!K91))</f>
        <v>2225581.5628018873</v>
      </c>
      <c r="H51" s="116" t="s">
        <v>37</v>
      </c>
      <c r="I51" s="117">
        <f>Proforma!D144</f>
        <v>0.33282125152593678</v>
      </c>
    </row>
    <row r="52" spans="2:9" ht="14" x14ac:dyDescent="0.2">
      <c r="B52" s="345" t="s">
        <v>38</v>
      </c>
      <c r="C52" s="346"/>
      <c r="D52" s="346"/>
      <c r="E52" s="347">
        <f>E50+E51</f>
        <v>7312683.8395525189</v>
      </c>
      <c r="I52" s="348"/>
    </row>
    <row r="53" spans="2:9" ht="15" thickBot="1" x14ac:dyDescent="0.25">
      <c r="B53" s="343" t="s">
        <v>39</v>
      </c>
      <c r="C53" s="100"/>
      <c r="D53" s="100"/>
      <c r="E53" s="344">
        <f>+E52/D39</f>
        <v>1.8190757720309307</v>
      </c>
      <c r="F53" s="100"/>
      <c r="G53" s="100"/>
      <c r="H53" s="100"/>
      <c r="I53" s="119"/>
    </row>
    <row r="55" spans="2:9" x14ac:dyDescent="0.15">
      <c r="I55" s="592" t="s">
        <v>40</v>
      </c>
    </row>
    <row r="56" spans="2:9" x14ac:dyDescent="0.15">
      <c r="F56" s="591" t="s">
        <v>41</v>
      </c>
      <c r="I56" s="592" t="s">
        <v>42</v>
      </c>
    </row>
    <row r="58" spans="2:9" x14ac:dyDescent="0.15">
      <c r="H58" s="591"/>
      <c r="I58" s="76"/>
    </row>
    <row r="59" spans="2:9" x14ac:dyDescent="0.15">
      <c r="I59" s="76"/>
    </row>
  </sheetData>
  <sheetProtection algorithmName="SHA-512" hashValue="LMbjZ3faxin0jay+Jre4sYkqP3vt3TOXy5bWVPCpSlBPMOZoWERPPW4rLnBOTsEeCK15w0sne1N2vK9PT8JFDw==" saltValue="DC0eCA88not+kV0mwjW/DA==" spinCount="100000" sheet="1" objects="1" scenarios="1"/>
  <protectedRanges>
    <protectedRange sqref="D39" name="Range1"/>
  </protectedRanges>
  <mergeCells count="4">
    <mergeCell ref="F34:G34"/>
    <mergeCell ref="B19:I19"/>
    <mergeCell ref="B30:H30"/>
    <mergeCell ref="E38:I42"/>
  </mergeCells>
  <pageMargins left="0.5" right="0.5" top="0.5" bottom="0.5" header="0.3" footer="0.3"/>
  <pageSetup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A6B5A-EF59-450E-B937-F42803D67DDA}">
  <sheetPr>
    <tabColor rgb="FF7030A0"/>
    <pageSetUpPr fitToPage="1"/>
  </sheetPr>
  <dimension ref="A1:BX77"/>
  <sheetViews>
    <sheetView topLeftCell="B1" workbookViewId="0">
      <selection sqref="A1:N1"/>
    </sheetView>
  </sheetViews>
  <sheetFormatPr baseColWidth="10" defaultColWidth="12.33203125" defaultRowHeight="13" x14ac:dyDescent="0.15"/>
  <cols>
    <col min="1" max="1" width="15.83203125" style="511" hidden="1" customWidth="1"/>
    <col min="2" max="2" width="54.33203125" style="511" bestFit="1" customWidth="1"/>
    <col min="3" max="3" width="14.5" style="564" customWidth="1"/>
    <col min="4" max="4" width="16.5" style="511" bestFit="1" customWidth="1"/>
    <col min="5" max="5" width="16" style="511" bestFit="1" customWidth="1"/>
    <col min="6" max="6" width="15.33203125" style="511" customWidth="1"/>
    <col min="7" max="7" width="12.33203125" style="511" customWidth="1"/>
    <col min="8" max="8" width="27.1640625" style="511" customWidth="1"/>
    <col min="9" max="9" width="14.83203125" style="511" bestFit="1" customWidth="1"/>
    <col min="10" max="11" width="14.5" style="511" bestFit="1" customWidth="1"/>
    <col min="12" max="12" width="13.83203125" style="511" customWidth="1"/>
    <col min="13" max="13" width="15.1640625" style="511" customWidth="1"/>
    <col min="14" max="16" width="13.33203125" style="511" customWidth="1"/>
    <col min="17" max="17" width="12.33203125" style="511" customWidth="1"/>
    <col min="18" max="22" width="12.83203125" style="511" bestFit="1" customWidth="1"/>
    <col min="23" max="23" width="14" style="511" bestFit="1" customWidth="1"/>
    <col min="24" max="33" width="12.83203125" style="511" bestFit="1" customWidth="1"/>
    <col min="34" max="34" width="16.1640625" style="511" bestFit="1" customWidth="1"/>
    <col min="35" max="16384" width="12.33203125" style="511"/>
  </cols>
  <sheetData>
    <row r="1" spans="2:24" x14ac:dyDescent="0.15">
      <c r="B1" s="510" t="str">
        <f>+Proforma!C1</f>
        <v>Firelands Manor - 5810 US Hwy 20 East, Wakeman, OH 44889</v>
      </c>
      <c r="C1" s="793" t="str">
        <f>HYPERLINK("http://maps.google.com/maps?q="&amp;S1,"View on Google Map")</f>
        <v>View on Google Map</v>
      </c>
      <c r="D1" s="793"/>
      <c r="S1" s="512" t="str">
        <f>RIGHT(B1,LEN(B1)-SEARCH("-",B1))</f>
        <v xml:space="preserve"> 5810 US Hwy 20 East, Wakeman, OH 44889</v>
      </c>
      <c r="T1" s="512" t="str">
        <f>LEFT(B1,FIND("-",B1)-1)</f>
        <v xml:space="preserve">Firelands Manor </v>
      </c>
      <c r="U1" s="512" t="s">
        <v>73</v>
      </c>
      <c r="V1" s="512"/>
      <c r="W1" s="512"/>
    </row>
    <row r="2" spans="2:24" x14ac:dyDescent="0.15">
      <c r="C2" s="513"/>
      <c r="S2" s="512"/>
      <c r="T2" s="512"/>
      <c r="U2" s="512"/>
      <c r="V2" s="512"/>
      <c r="W2" s="512"/>
    </row>
    <row r="3" spans="2:24" x14ac:dyDescent="0.15">
      <c r="B3" s="514" t="s">
        <v>74</v>
      </c>
      <c r="C3" s="514"/>
      <c r="D3" s="515" t="s">
        <v>75</v>
      </c>
      <c r="H3" s="514" t="s">
        <v>76</v>
      </c>
      <c r="I3" s="514"/>
      <c r="J3" s="514"/>
      <c r="K3" s="514"/>
      <c r="L3" s="514"/>
      <c r="M3" s="514"/>
      <c r="N3" s="516"/>
      <c r="O3" s="510"/>
      <c r="S3" s="512"/>
      <c r="T3" s="512"/>
      <c r="U3" s="512"/>
      <c r="V3" s="512"/>
      <c r="W3" s="512"/>
    </row>
    <row r="4" spans="2:24" x14ac:dyDescent="0.15">
      <c r="B4" s="517" t="s">
        <v>43</v>
      </c>
      <c r="C4" s="518">
        <f>+Purchase_Price</f>
        <v>8243334</v>
      </c>
      <c r="D4" s="519">
        <f>C4/$C$10</f>
        <v>52173</v>
      </c>
      <c r="H4" s="511" t="s">
        <v>81</v>
      </c>
      <c r="I4" s="146">
        <v>0.05</v>
      </c>
      <c r="L4" s="520" t="s">
        <v>78</v>
      </c>
      <c r="M4" s="521">
        <v>2020</v>
      </c>
      <c r="N4" s="516"/>
      <c r="S4" s="512">
        <v>0</v>
      </c>
      <c r="T4" s="522">
        <v>2017</v>
      </c>
      <c r="U4" s="512">
        <v>0</v>
      </c>
      <c r="V4" s="512">
        <v>1</v>
      </c>
      <c r="W4" s="512">
        <v>2</v>
      </c>
      <c r="X4" s="511">
        <v>4</v>
      </c>
    </row>
    <row r="5" spans="2:24" x14ac:dyDescent="0.15">
      <c r="B5" s="523"/>
      <c r="C5" s="651"/>
      <c r="D5" s="519"/>
      <c r="H5" s="511" t="s">
        <v>85</v>
      </c>
      <c r="I5" s="147">
        <v>1750</v>
      </c>
      <c r="S5" s="512">
        <v>1</v>
      </c>
      <c r="T5" s="522" t="s">
        <v>79</v>
      </c>
      <c r="U5" s="512"/>
      <c r="V5" s="512"/>
      <c r="W5" s="512"/>
    </row>
    <row r="6" spans="2:24" x14ac:dyDescent="0.15">
      <c r="B6" s="524" t="s">
        <v>65</v>
      </c>
      <c r="C6" s="525" t="s">
        <v>48</v>
      </c>
      <c r="D6" s="525" t="s">
        <v>99</v>
      </c>
      <c r="E6" s="525" t="s">
        <v>100</v>
      </c>
      <c r="F6" s="525" t="s">
        <v>101</v>
      </c>
      <c r="H6" s="511" t="s">
        <v>93</v>
      </c>
      <c r="I6" s="147">
        <v>250</v>
      </c>
      <c r="J6" s="526" t="s">
        <v>94</v>
      </c>
      <c r="S6" s="512">
        <v>2</v>
      </c>
      <c r="T6" s="522" t="s">
        <v>87</v>
      </c>
      <c r="U6" s="512"/>
      <c r="V6" s="512"/>
      <c r="W6" s="512"/>
    </row>
    <row r="7" spans="2:24" x14ac:dyDescent="0.15">
      <c r="B7" s="517" t="s">
        <v>102</v>
      </c>
      <c r="C7" s="516">
        <f>+Proforma!D12</f>
        <v>158</v>
      </c>
      <c r="D7" s="516">
        <f>+Proforma!E12</f>
        <v>122</v>
      </c>
      <c r="E7" s="516">
        <f>C7-D7</f>
        <v>36</v>
      </c>
      <c r="F7" s="527">
        <f>E7/C7</f>
        <v>0.22784810126582278</v>
      </c>
      <c r="S7" s="512">
        <v>4</v>
      </c>
      <c r="T7" s="522" t="s">
        <v>91</v>
      </c>
      <c r="U7" s="512"/>
      <c r="V7" s="512"/>
      <c r="W7" s="512"/>
    </row>
    <row r="8" spans="2:24" x14ac:dyDescent="0.15">
      <c r="B8" s="517" t="s">
        <v>103</v>
      </c>
      <c r="C8" s="516">
        <f>+Proforma!D13</f>
        <v>0</v>
      </c>
      <c r="D8" s="516">
        <f>+Proforma!E13</f>
        <v>0</v>
      </c>
      <c r="E8" s="516">
        <f>C8-D8</f>
        <v>0</v>
      </c>
      <c r="F8" s="527" t="str">
        <f>IF(ISERROR((E8/C8)),"-",(E8/C8))</f>
        <v>-</v>
      </c>
    </row>
    <row r="9" spans="2:24" x14ac:dyDescent="0.15">
      <c r="B9" s="528" t="s">
        <v>104</v>
      </c>
      <c r="C9" s="529">
        <f>+Proforma!D14</f>
        <v>0</v>
      </c>
      <c r="D9" s="529">
        <f>+Proforma!E14</f>
        <v>0</v>
      </c>
      <c r="E9" s="529">
        <f>C9-D9</f>
        <v>0</v>
      </c>
      <c r="F9" s="530" t="str">
        <f>IF(ISERROR((E9/C9)),"-",(E9/C9))</f>
        <v>-</v>
      </c>
    </row>
    <row r="10" spans="2:24" x14ac:dyDescent="0.15">
      <c r="B10" s="531" t="s">
        <v>48</v>
      </c>
      <c r="C10" s="532">
        <f>SUM(C7:C9)</f>
        <v>158</v>
      </c>
      <c r="D10" s="532">
        <f>SUM(D7:D9)</f>
        <v>122</v>
      </c>
      <c r="E10" s="516">
        <f t="shared" ref="E10" si="0">C10-D10</f>
        <v>36</v>
      </c>
      <c r="F10" s="652">
        <f>E10/C10</f>
        <v>0.22784810126582278</v>
      </c>
    </row>
    <row r="11" spans="2:24" x14ac:dyDescent="0.15">
      <c r="B11" s="517"/>
      <c r="C11" s="533"/>
      <c r="D11" s="533"/>
      <c r="E11" s="516"/>
    </row>
    <row r="12" spans="2:24" x14ac:dyDescent="0.15">
      <c r="B12" s="534" t="s">
        <v>105</v>
      </c>
      <c r="C12" s="535">
        <v>0</v>
      </c>
      <c r="D12" s="535">
        <v>0</v>
      </c>
      <c r="E12" s="516">
        <f>C12-D12</f>
        <v>0</v>
      </c>
    </row>
    <row r="13" spans="2:24" x14ac:dyDescent="0.15">
      <c r="B13" s="517"/>
      <c r="C13" s="535"/>
      <c r="D13" s="535"/>
      <c r="E13" s="516"/>
    </row>
    <row r="14" spans="2:24" x14ac:dyDescent="0.15">
      <c r="C14" s="513"/>
      <c r="D14" s="513"/>
      <c r="F14" s="536"/>
    </row>
    <row r="15" spans="2:24" x14ac:dyDescent="0.15">
      <c r="B15" s="537" t="s">
        <v>404</v>
      </c>
      <c r="C15" s="538" t="s">
        <v>405</v>
      </c>
      <c r="D15" s="538" t="s">
        <v>406</v>
      </c>
    </row>
    <row r="16" spans="2:24" x14ac:dyDescent="0.15">
      <c r="B16" s="510" t="s">
        <v>134</v>
      </c>
      <c r="C16" s="539"/>
      <c r="D16" s="520"/>
      <c r="E16" s="653"/>
    </row>
    <row r="17" spans="1:13" x14ac:dyDescent="0.15">
      <c r="B17" s="523" t="str">
        <f>B7</f>
        <v xml:space="preserve">MH </v>
      </c>
      <c r="C17" s="654">
        <f>+Proforma!D29</f>
        <v>347</v>
      </c>
      <c r="D17" s="655">
        <f>+Proforma!F29</f>
        <v>362</v>
      </c>
      <c r="I17" s="516"/>
    </row>
    <row r="18" spans="1:13" x14ac:dyDescent="0.15">
      <c r="B18" s="523" t="str">
        <f>B8</f>
        <v>RV</v>
      </c>
      <c r="C18" s="654">
        <f>+Proforma!D30</f>
        <v>0</v>
      </c>
      <c r="D18" s="655">
        <f>+Proforma!F30</f>
        <v>0</v>
      </c>
    </row>
    <row r="19" spans="1:13" x14ac:dyDescent="0.15">
      <c r="B19" s="523" t="str">
        <f>B9</f>
        <v>Other</v>
      </c>
      <c r="C19" s="654">
        <f>+Proforma!D31</f>
        <v>0</v>
      </c>
      <c r="D19" s="655">
        <f>+Proforma!F31</f>
        <v>0</v>
      </c>
    </row>
    <row r="20" spans="1:13" x14ac:dyDescent="0.15">
      <c r="A20" s="516" t="s">
        <v>129</v>
      </c>
      <c r="B20" s="523"/>
      <c r="C20" s="656"/>
      <c r="D20" s="657"/>
    </row>
    <row r="21" spans="1:13" x14ac:dyDescent="0.15">
      <c r="B21" s="537" t="s">
        <v>407</v>
      </c>
      <c r="C21" s="538" t="s">
        <v>405</v>
      </c>
      <c r="D21" s="538" t="s">
        <v>406</v>
      </c>
      <c r="E21" s="540" t="s">
        <v>151</v>
      </c>
    </row>
    <row r="22" spans="1:13" ht="16" x14ac:dyDescent="0.3">
      <c r="B22" s="510" t="s">
        <v>135</v>
      </c>
      <c r="C22" s="541">
        <f>+C45</f>
        <v>2020</v>
      </c>
      <c r="D22" s="542"/>
      <c r="E22" s="653"/>
    </row>
    <row r="23" spans="1:13" x14ac:dyDescent="0.15">
      <c r="B23" s="523" t="str">
        <f>B17</f>
        <v xml:space="preserve">MH </v>
      </c>
      <c r="C23" s="656">
        <f ca="1">OFFSET('IE SUMMARY'!D7,0,MoveCount)</f>
        <v>530572.66</v>
      </c>
      <c r="D23" s="543">
        <f>+D17*C7*12</f>
        <v>686352</v>
      </c>
      <c r="E23" s="653">
        <f>+D23/NoOfSpaces</f>
        <v>4344</v>
      </c>
    </row>
    <row r="24" spans="1:13" x14ac:dyDescent="0.15">
      <c r="B24" s="523" t="str">
        <f>B18</f>
        <v>RV</v>
      </c>
      <c r="C24" s="656">
        <f ca="1">OFFSET('IE SUMMARY'!D8,0,MoveCount)</f>
        <v>0</v>
      </c>
      <c r="D24" s="543">
        <f>+D18*C8*12</f>
        <v>0</v>
      </c>
      <c r="E24" s="653">
        <f>+D24/NoOfSpaces</f>
        <v>0</v>
      </c>
    </row>
    <row r="25" spans="1:13" x14ac:dyDescent="0.15">
      <c r="B25" s="523" t="str">
        <f>B19</f>
        <v>Other</v>
      </c>
      <c r="C25" s="656">
        <f ca="1">OFFSET('IE SUMMARY'!D9,0,MoveCount)</f>
        <v>0</v>
      </c>
      <c r="D25" s="543">
        <f>+D19*C9*12</f>
        <v>0</v>
      </c>
      <c r="E25" s="653">
        <f>+D25/NoOfSpaces</f>
        <v>0</v>
      </c>
    </row>
    <row r="26" spans="1:13" x14ac:dyDescent="0.15">
      <c r="B26" s="544"/>
      <c r="C26" s="545"/>
      <c r="D26" s="546"/>
      <c r="E26" s="547"/>
      <c r="F26" s="544"/>
    </row>
    <row r="27" spans="1:13" x14ac:dyDescent="0.15">
      <c r="B27" s="523" t="str">
        <f>B23&amp;" Min Vacancy Rate"</f>
        <v>MH  Min Vacancy Rate</v>
      </c>
      <c r="C27" s="656">
        <f ca="1">OFFSET('IE SUMMARY'!D10,0,MoveCount)</f>
        <v>0</v>
      </c>
      <c r="D27" s="653">
        <f>+Proforma!F38*12</f>
        <v>-156384</v>
      </c>
      <c r="E27" s="653">
        <f>+D27/NoOfSpaces</f>
        <v>-989.77215189873414</v>
      </c>
    </row>
    <row r="28" spans="1:13" x14ac:dyDescent="0.15">
      <c r="B28" s="523" t="str">
        <f>B24&amp;" Min Vacancy Rate"</f>
        <v>RV Min Vacancy Rate</v>
      </c>
      <c r="C28" s="658"/>
      <c r="D28" s="653">
        <f>+Proforma!F39*12</f>
        <v>0</v>
      </c>
      <c r="E28" s="653">
        <f>+D28/NoOfSpaces</f>
        <v>0</v>
      </c>
      <c r="H28" s="510"/>
      <c r="I28" s="510"/>
      <c r="J28" s="510"/>
    </row>
    <row r="29" spans="1:13" x14ac:dyDescent="0.15">
      <c r="B29" s="523" t="str">
        <f t="shared" ref="B29" si="1">B25&amp;" Min Vacancy Rate"</f>
        <v>Other Min Vacancy Rate</v>
      </c>
      <c r="C29" s="658"/>
      <c r="D29" s="653">
        <f>+Proforma!F40*12</f>
        <v>0</v>
      </c>
      <c r="E29" s="653">
        <f>+D29/NoOfSpaces</f>
        <v>0</v>
      </c>
      <c r="H29" s="544"/>
      <c r="I29" s="544"/>
      <c r="J29" s="544"/>
      <c r="K29" s="510"/>
      <c r="L29" s="510"/>
      <c r="M29" s="510"/>
    </row>
    <row r="30" spans="1:13" s="510" customFormat="1" x14ac:dyDescent="0.15">
      <c r="B30" s="771" t="s">
        <v>138</v>
      </c>
      <c r="C30" s="772">
        <f t="shared" ref="C30:E30" ca="1" si="2">SUM(C23:C25)+SUM(C27:C29)</f>
        <v>530572.66</v>
      </c>
      <c r="D30" s="772">
        <f t="shared" si="2"/>
        <v>529968</v>
      </c>
      <c r="E30" s="772">
        <f t="shared" si="2"/>
        <v>3354.2278481012659</v>
      </c>
      <c r="H30" s="511"/>
      <c r="I30" s="511"/>
      <c r="J30" s="511"/>
      <c r="K30" s="544"/>
      <c r="L30" s="544"/>
      <c r="M30" s="544"/>
    </row>
    <row r="31" spans="1:13" s="544" customFormat="1" ht="7" customHeight="1" x14ac:dyDescent="0.15">
      <c r="B31" s="548"/>
      <c r="C31" s="549"/>
      <c r="D31" s="653"/>
      <c r="E31" s="550"/>
      <c r="F31" s="511"/>
      <c r="H31" s="511"/>
      <c r="I31" s="511"/>
      <c r="J31" s="511"/>
      <c r="K31" s="511"/>
      <c r="L31" s="511"/>
      <c r="M31" s="511"/>
    </row>
    <row r="32" spans="1:13" ht="16" x14ac:dyDescent="0.3">
      <c r="B32" s="510" t="s">
        <v>139</v>
      </c>
      <c r="C32" s="551"/>
      <c r="D32" s="552"/>
      <c r="E32" s="553"/>
    </row>
    <row r="33" spans="1:6" x14ac:dyDescent="0.15">
      <c r="B33" s="523" t="str">
        <f>+Proforma!C44</f>
        <v>Utilities</v>
      </c>
      <c r="C33" s="554"/>
      <c r="D33" s="659">
        <f>+Proforma!F44*12</f>
        <v>137658</v>
      </c>
      <c r="E33" s="653">
        <f t="shared" ref="E33:E38" si="3">+D33/NoOfSpaces</f>
        <v>871.25316455696202</v>
      </c>
    </row>
    <row r="34" spans="1:6" x14ac:dyDescent="0.15">
      <c r="B34" s="523" t="str">
        <f>+Proforma!C45</f>
        <v>Gas / Propane</v>
      </c>
      <c r="C34" s="554"/>
      <c r="D34" s="659">
        <f>+Proforma!F45*12</f>
        <v>0</v>
      </c>
      <c r="E34" s="653">
        <f t="shared" si="3"/>
        <v>0</v>
      </c>
    </row>
    <row r="35" spans="1:6" x14ac:dyDescent="0.15">
      <c r="A35" s="511">
        <v>4101</v>
      </c>
      <c r="B35" s="523" t="str">
        <f>+Proforma!C46</f>
        <v>Trash</v>
      </c>
      <c r="C35" s="554"/>
      <c r="D35" s="659">
        <f>+Proforma!F46*12</f>
        <v>0</v>
      </c>
      <c r="E35" s="653">
        <f t="shared" si="3"/>
        <v>0</v>
      </c>
    </row>
    <row r="36" spans="1:6" x14ac:dyDescent="0.15">
      <c r="B36" s="523" t="str">
        <f>+Proforma!C47</f>
        <v>Sewer</v>
      </c>
      <c r="C36" s="554"/>
      <c r="D36" s="659">
        <f>+Proforma!F47*12</f>
        <v>0</v>
      </c>
      <c r="E36" s="653">
        <f t="shared" si="3"/>
        <v>0</v>
      </c>
    </row>
    <row r="37" spans="1:6" x14ac:dyDescent="0.15">
      <c r="B37" s="523" t="str">
        <f>+Proforma!C48</f>
        <v>Water</v>
      </c>
      <c r="C37" s="554"/>
      <c r="D37" s="659">
        <f>+Proforma!F48*12</f>
        <v>0</v>
      </c>
      <c r="E37" s="653">
        <f t="shared" si="3"/>
        <v>0</v>
      </c>
    </row>
    <row r="38" spans="1:6" x14ac:dyDescent="0.15">
      <c r="A38" s="516">
        <v>4403</v>
      </c>
      <c r="B38" s="523" t="str">
        <f>+Proforma!C49</f>
        <v>Other, misc.</v>
      </c>
      <c r="C38" s="555"/>
      <c r="D38" s="660">
        <f>+Proforma!F49*12</f>
        <v>0</v>
      </c>
      <c r="E38" s="653">
        <f t="shared" si="3"/>
        <v>0</v>
      </c>
    </row>
    <row r="39" spans="1:6" x14ac:dyDescent="0.15">
      <c r="A39" s="516">
        <v>4401</v>
      </c>
      <c r="B39" s="773" t="s">
        <v>147</v>
      </c>
      <c r="C39" s="557">
        <f ca="1">OFFSET('IE SUMMARY'!D21,0,MoveCount)</f>
        <v>142661.07</v>
      </c>
      <c r="D39" s="774">
        <f>SUM(D33:D38)</f>
        <v>137658</v>
      </c>
      <c r="E39" s="774">
        <f t="shared" ref="E39" si="4">SUM(E33:E38)</f>
        <v>871.25316455696202</v>
      </c>
    </row>
    <row r="40" spans="1:6" x14ac:dyDescent="0.15">
      <c r="A40" s="516">
        <v>4404</v>
      </c>
      <c r="B40" s="556" t="s">
        <v>408</v>
      </c>
      <c r="C40" s="557">
        <f ca="1">OFFSET('IE SUMMARY'!D24,0,MoveCount)</f>
        <v>0</v>
      </c>
      <c r="D40" s="653">
        <f>+Proforma!F51*12</f>
        <v>0</v>
      </c>
      <c r="E40" s="653"/>
    </row>
    <row r="41" spans="1:6" ht="7" customHeight="1" x14ac:dyDescent="0.15">
      <c r="A41" s="516"/>
      <c r="B41" s="556"/>
      <c r="C41" s="557"/>
      <c r="D41" s="653"/>
      <c r="E41" s="653"/>
    </row>
    <row r="42" spans="1:6" ht="14" thickBot="1" x14ac:dyDescent="0.2">
      <c r="A42" s="516">
        <v>4405</v>
      </c>
      <c r="B42" s="697" t="s">
        <v>409</v>
      </c>
      <c r="C42" s="698">
        <f ca="1">C39+C30+C40</f>
        <v>673233.73</v>
      </c>
      <c r="D42" s="698">
        <f t="shared" ref="D42:E42" si="5">D39+D30+D40</f>
        <v>667626</v>
      </c>
      <c r="E42" s="698">
        <f t="shared" si="5"/>
        <v>4225.4810126582279</v>
      </c>
    </row>
    <row r="43" spans="1:6" ht="14" thickTop="1" x14ac:dyDescent="0.15">
      <c r="A43" s="516">
        <v>4402</v>
      </c>
      <c r="B43" s="510"/>
      <c r="C43" s="558"/>
      <c r="D43" s="558"/>
      <c r="E43" s="558"/>
    </row>
    <row r="44" spans="1:6" x14ac:dyDescent="0.15">
      <c r="A44" s="516">
        <v>4998</v>
      </c>
      <c r="B44" s="537" t="s">
        <v>410</v>
      </c>
      <c r="C44" s="538" t="s">
        <v>405</v>
      </c>
      <c r="D44" s="540" t="s">
        <v>406</v>
      </c>
      <c r="E44" s="540" t="s">
        <v>151</v>
      </c>
    </row>
    <row r="45" spans="1:6" ht="16" x14ac:dyDescent="0.3">
      <c r="B45" s="510"/>
      <c r="C45" s="541">
        <f>M4</f>
        <v>2020</v>
      </c>
      <c r="D45" s="552"/>
      <c r="E45" s="559"/>
    </row>
    <row r="46" spans="1:6" x14ac:dyDescent="0.15">
      <c r="A46" s="516">
        <v>4134</v>
      </c>
      <c r="B46" s="523" t="s">
        <v>411</v>
      </c>
      <c r="C46" s="656">
        <f ca="1">OFFSET('IE SUMMARY'!D32,0,MoveCount)</f>
        <v>33459.599999999999</v>
      </c>
      <c r="D46" s="656">
        <f>+Proforma!E56</f>
        <v>33456</v>
      </c>
      <c r="E46" s="653">
        <f>+D46/$C$10</f>
        <v>211.74683544303798</v>
      </c>
      <c r="F46" s="661"/>
    </row>
    <row r="47" spans="1:6" x14ac:dyDescent="0.15">
      <c r="B47" s="523" t="s">
        <v>154</v>
      </c>
      <c r="C47" s="656">
        <f ca="1">OFFSET('IE SUMMARY'!D33,0,MoveCount)</f>
        <v>0</v>
      </c>
      <c r="D47" s="656">
        <f>+Proforma!E57</f>
        <v>4641</v>
      </c>
      <c r="E47" s="653">
        <f t="shared" ref="E47:E69" si="6">+D47/$C$10</f>
        <v>29.373417721518987</v>
      </c>
      <c r="F47" s="661"/>
    </row>
    <row r="48" spans="1:6" x14ac:dyDescent="0.15">
      <c r="B48" s="523" t="s">
        <v>155</v>
      </c>
      <c r="C48" s="656">
        <f ca="1">OFFSET('IE SUMMARY'!D34,0,MoveCount)</f>
        <v>0</v>
      </c>
      <c r="D48" s="656">
        <f>+Proforma!E58</f>
        <v>1638</v>
      </c>
      <c r="E48" s="653">
        <f t="shared" si="6"/>
        <v>10.367088607594937</v>
      </c>
      <c r="F48" s="661"/>
    </row>
    <row r="49" spans="1:11" x14ac:dyDescent="0.15">
      <c r="B49" s="523" t="s">
        <v>156</v>
      </c>
      <c r="C49" s="656">
        <f ca="1">OFFSET('IE SUMMARY'!D35,0,MoveCount)</f>
        <v>19850.37</v>
      </c>
      <c r="D49" s="656">
        <f>+Proforma!E59</f>
        <v>21554.639999999999</v>
      </c>
      <c r="E49" s="653">
        <f t="shared" si="6"/>
        <v>136.42177215189872</v>
      </c>
      <c r="F49" s="661"/>
      <c r="H49" s="661"/>
      <c r="I49" s="661"/>
      <c r="J49" s="661"/>
    </row>
    <row r="50" spans="1:11" x14ac:dyDescent="0.15">
      <c r="B50" s="523" t="s">
        <v>157</v>
      </c>
      <c r="C50" s="656">
        <f ca="1">OFFSET('IE SUMMARY'!D36,0,MoveCount)</f>
        <v>64321.55</v>
      </c>
      <c r="D50" s="656">
        <f>+Proforma!E60</f>
        <v>43940.58</v>
      </c>
      <c r="E50" s="653">
        <f t="shared" si="6"/>
        <v>278.10493670886075</v>
      </c>
      <c r="F50" s="661"/>
      <c r="H50" s="661"/>
      <c r="I50" s="661"/>
      <c r="J50" s="661"/>
      <c r="K50" s="661"/>
    </row>
    <row r="51" spans="1:11" x14ac:dyDescent="0.15">
      <c r="A51" s="516">
        <v>5701</v>
      </c>
      <c r="B51" s="523" t="s">
        <v>143</v>
      </c>
      <c r="C51" s="656">
        <f ca="1">OFFSET('IE SUMMARY'!D37,0,MoveCount)</f>
        <v>29432.37</v>
      </c>
      <c r="D51" s="656">
        <f>+Proforma!E61</f>
        <v>29169.96</v>
      </c>
      <c r="E51" s="653">
        <f t="shared" si="6"/>
        <v>184.62</v>
      </c>
      <c r="F51" s="661"/>
      <c r="G51" s="661"/>
      <c r="H51" s="661"/>
      <c r="I51" s="661"/>
      <c r="J51" s="661"/>
      <c r="K51" s="661"/>
    </row>
    <row r="52" spans="1:11" x14ac:dyDescent="0.15">
      <c r="A52" s="516">
        <v>5305</v>
      </c>
      <c r="B52" s="523" t="s">
        <v>158</v>
      </c>
      <c r="C52" s="656">
        <f ca="1">OFFSET('IE SUMMARY'!D38,0,MoveCount)</f>
        <v>8298.1</v>
      </c>
      <c r="D52" s="656">
        <f>+Proforma!E62</f>
        <v>8164.08</v>
      </c>
      <c r="E52" s="653">
        <f t="shared" si="6"/>
        <v>51.671392405063294</v>
      </c>
      <c r="F52" s="661"/>
      <c r="G52" s="661"/>
      <c r="H52" s="661"/>
      <c r="I52" s="661"/>
      <c r="J52" s="661"/>
      <c r="K52" s="661"/>
    </row>
    <row r="53" spans="1:11" x14ac:dyDescent="0.15">
      <c r="A53" s="516">
        <v>5306</v>
      </c>
      <c r="B53" s="523" t="s">
        <v>159</v>
      </c>
      <c r="C53" s="656">
        <f ca="1">OFFSET('IE SUMMARY'!D39,0,MoveCount)</f>
        <v>34340.129999999997</v>
      </c>
      <c r="D53" s="656">
        <f>+Proforma!E63</f>
        <v>34362.78</v>
      </c>
      <c r="E53" s="653">
        <f t="shared" si="6"/>
        <v>217.48594936708861</v>
      </c>
      <c r="F53" s="661"/>
      <c r="G53" s="661"/>
      <c r="H53" s="661"/>
      <c r="I53" s="661"/>
      <c r="J53" s="661"/>
      <c r="K53" s="661"/>
    </row>
    <row r="54" spans="1:11" x14ac:dyDescent="0.15">
      <c r="A54" s="516">
        <v>5404</v>
      </c>
      <c r="B54" s="523" t="s">
        <v>160</v>
      </c>
      <c r="C54" s="656">
        <f ca="1">OFFSET('IE SUMMARY'!D40,0,MoveCount)</f>
        <v>1148.28</v>
      </c>
      <c r="D54" s="656">
        <f>+Proforma!E64</f>
        <v>1080</v>
      </c>
      <c r="E54" s="653">
        <f t="shared" si="6"/>
        <v>6.8354430379746836</v>
      </c>
      <c r="F54" s="661"/>
      <c r="G54" s="661"/>
      <c r="H54" s="661"/>
      <c r="I54" s="661"/>
      <c r="J54" s="661"/>
      <c r="K54" s="661"/>
    </row>
    <row r="55" spans="1:11" x14ac:dyDescent="0.15">
      <c r="A55" s="516">
        <v>5401</v>
      </c>
      <c r="B55" s="523" t="s">
        <v>161</v>
      </c>
      <c r="C55" s="656">
        <f ca="1">OFFSET('IE SUMMARY'!D41,0,MoveCount)</f>
        <v>3647.57</v>
      </c>
      <c r="D55" s="656">
        <f>+Proforma!E65</f>
        <v>1500</v>
      </c>
      <c r="E55" s="653">
        <f t="shared" si="6"/>
        <v>9.4936708860759502</v>
      </c>
      <c r="F55" s="661"/>
      <c r="G55" s="661"/>
      <c r="H55" s="661"/>
      <c r="I55" s="661"/>
      <c r="J55" s="661"/>
      <c r="K55" s="661"/>
    </row>
    <row r="56" spans="1:11" x14ac:dyDescent="0.15">
      <c r="A56" s="516">
        <v>5405</v>
      </c>
      <c r="B56" s="523" t="str">
        <f>"Maintenance / Capital Reserve ("&amp;TEXT(I6,"$0")&amp;" per space / year)"</f>
        <v>Maintenance / Capital Reserve ($250 per space / year)</v>
      </c>
      <c r="C56" s="656">
        <f ca="1">OFFSET('IE SUMMARY'!D42,0,MoveCount)</f>
        <v>21590.269999999997</v>
      </c>
      <c r="D56" s="656">
        <f>+C10*Maintenance___Capital_Reserve</f>
        <v>39500</v>
      </c>
      <c r="E56" s="653">
        <f t="shared" si="6"/>
        <v>250</v>
      </c>
      <c r="F56" s="661"/>
      <c r="G56" s="661"/>
      <c r="H56" s="661"/>
      <c r="I56" s="661"/>
      <c r="J56" s="661"/>
      <c r="K56" s="661"/>
    </row>
    <row r="57" spans="1:11" x14ac:dyDescent="0.15">
      <c r="A57" s="516">
        <v>5403</v>
      </c>
      <c r="B57" s="523" t="s">
        <v>162</v>
      </c>
      <c r="C57" s="656">
        <f ca="1">OFFSET('IE SUMMARY'!D43,0,MoveCount)</f>
        <v>8240.68</v>
      </c>
      <c r="D57" s="656">
        <f>+Proforma!E67</f>
        <v>7000</v>
      </c>
      <c r="E57" s="653">
        <f t="shared" si="6"/>
        <v>44.303797468354432</v>
      </c>
      <c r="F57" s="661"/>
      <c r="G57" s="661"/>
      <c r="H57" s="661"/>
      <c r="I57" s="661"/>
      <c r="J57" s="661"/>
      <c r="K57" s="661"/>
    </row>
    <row r="58" spans="1:11" x14ac:dyDescent="0.15">
      <c r="A58" s="516">
        <v>5402</v>
      </c>
      <c r="B58" s="523" t="s">
        <v>163</v>
      </c>
      <c r="C58" s="656">
        <f ca="1">OFFSET('IE SUMMARY'!D44,0,MoveCount)</f>
        <v>9624.8200000000015</v>
      </c>
      <c r="D58" s="656">
        <f>+Proforma!E68</f>
        <v>7488</v>
      </c>
      <c r="E58" s="653">
        <f t="shared" si="6"/>
        <v>47.392405063291136</v>
      </c>
      <c r="F58" s="661"/>
      <c r="G58" s="661"/>
      <c r="H58" s="661"/>
      <c r="I58" s="661"/>
      <c r="J58" s="661"/>
      <c r="K58" s="661"/>
    </row>
    <row r="59" spans="1:11" x14ac:dyDescent="0.15">
      <c r="A59" s="516">
        <v>5603</v>
      </c>
      <c r="B59" s="523" t="s">
        <v>412</v>
      </c>
      <c r="C59" s="656">
        <f ca="1">OFFSET('IE SUMMARY'!D45,0,MoveCount)</f>
        <v>15418.68</v>
      </c>
      <c r="D59" s="656">
        <f>+Proforma!E69</f>
        <v>17946.72</v>
      </c>
      <c r="E59" s="653">
        <f t="shared" si="6"/>
        <v>113.58683544303798</v>
      </c>
      <c r="F59" s="661"/>
      <c r="G59" s="661"/>
      <c r="H59" s="661"/>
      <c r="I59" s="661"/>
      <c r="J59" s="661"/>
      <c r="K59" s="661"/>
    </row>
    <row r="60" spans="1:11" x14ac:dyDescent="0.15">
      <c r="A60" s="516">
        <v>5020</v>
      </c>
      <c r="B60" s="523" t="s">
        <v>165</v>
      </c>
      <c r="C60" s="656">
        <f ca="1">OFFSET('IE SUMMARY'!D46,0,MoveCount)</f>
        <v>13443.8</v>
      </c>
      <c r="D60" s="656">
        <f>+Proforma!E70</f>
        <v>13513.5</v>
      </c>
      <c r="E60" s="653">
        <f t="shared" si="6"/>
        <v>85.528481012658233</v>
      </c>
      <c r="F60" s="661"/>
      <c r="G60" s="661"/>
      <c r="H60" s="661"/>
      <c r="I60" s="661"/>
      <c r="J60" s="661"/>
      <c r="K60" s="661"/>
    </row>
    <row r="61" spans="1:11" x14ac:dyDescent="0.15">
      <c r="A61" s="516">
        <v>5104</v>
      </c>
      <c r="B61" s="523" t="s">
        <v>166</v>
      </c>
      <c r="C61" s="656">
        <f ca="1">OFFSET('IE SUMMARY'!D47,0,MoveCount)</f>
        <v>0</v>
      </c>
      <c r="D61" s="656">
        <f>+Proforma!E71</f>
        <v>1095</v>
      </c>
      <c r="E61" s="653">
        <f t="shared" si="6"/>
        <v>6.9303797468354427</v>
      </c>
      <c r="F61" s="661"/>
      <c r="G61" s="661"/>
      <c r="H61" s="661"/>
      <c r="I61" s="661"/>
      <c r="J61" s="661"/>
      <c r="K61" s="661"/>
    </row>
    <row r="62" spans="1:11" x14ac:dyDescent="0.15">
      <c r="A62" s="516">
        <v>5109</v>
      </c>
      <c r="B62" s="523" t="s">
        <v>167</v>
      </c>
      <c r="C62" s="656">
        <f ca="1">OFFSET('IE SUMMARY'!D48,0,MoveCount)</f>
        <v>18665.7</v>
      </c>
      <c r="D62" s="656">
        <f>+Proforma!E72</f>
        <v>2500</v>
      </c>
      <c r="E62" s="653">
        <f t="shared" si="6"/>
        <v>15.822784810126583</v>
      </c>
      <c r="F62" s="661"/>
      <c r="G62" s="661"/>
      <c r="H62" s="661"/>
      <c r="I62" s="661"/>
      <c r="J62" s="661"/>
      <c r="K62" s="661"/>
    </row>
    <row r="63" spans="1:11" x14ac:dyDescent="0.15">
      <c r="A63" s="516">
        <v>5200</v>
      </c>
      <c r="B63" s="523" t="s">
        <v>168</v>
      </c>
      <c r="C63" s="656">
        <f ca="1">OFFSET('IE SUMMARY'!D49,0,MoveCount)</f>
        <v>150</v>
      </c>
      <c r="D63" s="656">
        <f>+Proforma!E73</f>
        <v>1700</v>
      </c>
      <c r="E63" s="653">
        <f t="shared" si="6"/>
        <v>10.759493670886076</v>
      </c>
      <c r="F63" s="661"/>
      <c r="G63" s="661"/>
      <c r="H63" s="661"/>
      <c r="I63" s="661"/>
      <c r="J63" s="661"/>
      <c r="K63" s="661"/>
    </row>
    <row r="64" spans="1:11" x14ac:dyDescent="0.15">
      <c r="A64" s="516">
        <v>5301</v>
      </c>
      <c r="B64" s="523" t="s">
        <v>169</v>
      </c>
      <c r="C64" s="656">
        <f ca="1">OFFSET('IE SUMMARY'!D50,0,MoveCount)</f>
        <v>0</v>
      </c>
      <c r="D64" s="656">
        <f>+Proforma!E74</f>
        <v>0</v>
      </c>
      <c r="E64" s="653">
        <f t="shared" si="6"/>
        <v>0</v>
      </c>
      <c r="F64" s="661"/>
      <c r="G64" s="661"/>
      <c r="H64" s="661"/>
      <c r="I64" s="661"/>
      <c r="J64" s="661"/>
      <c r="K64" s="661"/>
    </row>
    <row r="65" spans="1:76" x14ac:dyDescent="0.15">
      <c r="A65" s="516">
        <v>5053</v>
      </c>
      <c r="B65" s="523" t="s">
        <v>170</v>
      </c>
      <c r="C65" s="656">
        <f ca="1">OFFSET('IE SUMMARY'!D51,0,MoveCount)</f>
        <v>0</v>
      </c>
      <c r="D65" s="656">
        <f>+Proforma!E75</f>
        <v>2450</v>
      </c>
      <c r="E65" s="653">
        <f t="shared" si="6"/>
        <v>15.50632911392405</v>
      </c>
      <c r="F65" s="661"/>
      <c r="G65" s="661"/>
      <c r="H65" s="661"/>
      <c r="I65" s="661"/>
      <c r="J65" s="661"/>
      <c r="K65" s="661"/>
    </row>
    <row r="66" spans="1:76" x14ac:dyDescent="0.15">
      <c r="A66" s="516">
        <v>5604</v>
      </c>
      <c r="B66" s="523" t="s">
        <v>171</v>
      </c>
      <c r="C66" s="656">
        <f ca="1">OFFSET('IE SUMMARY'!D52,0,MoveCount)</f>
        <v>2810.47</v>
      </c>
      <c r="D66" s="656">
        <f>+Proforma!E76</f>
        <v>2917.2000000000003</v>
      </c>
      <c r="E66" s="653">
        <f t="shared" si="6"/>
        <v>18.463291139240507</v>
      </c>
      <c r="F66" s="661"/>
      <c r="G66" s="661"/>
      <c r="H66" s="661"/>
      <c r="I66" s="661"/>
      <c r="J66" s="661"/>
      <c r="K66" s="661"/>
    </row>
    <row r="67" spans="1:76" x14ac:dyDescent="0.15">
      <c r="A67" s="516">
        <v>5062</v>
      </c>
      <c r="B67" s="523" t="s">
        <v>172</v>
      </c>
      <c r="C67" s="656">
        <f ca="1">OFFSET('IE SUMMARY'!D53,0,MoveCount)</f>
        <v>0</v>
      </c>
      <c r="D67" s="656">
        <f>+Proforma!E77</f>
        <v>0</v>
      </c>
      <c r="E67" s="653">
        <f t="shared" si="6"/>
        <v>0</v>
      </c>
      <c r="F67" s="661"/>
      <c r="G67" s="661"/>
      <c r="H67" s="661"/>
      <c r="I67" s="661"/>
      <c r="J67" s="661"/>
      <c r="K67" s="661"/>
    </row>
    <row r="68" spans="1:76" x14ac:dyDescent="0.15">
      <c r="A68" s="516">
        <v>5302</v>
      </c>
      <c r="B68" s="523" t="s">
        <v>173</v>
      </c>
      <c r="C68" s="656">
        <f ca="1">OFFSET('IE SUMMARY'!D54,0,MoveCount)</f>
        <v>5059.49</v>
      </c>
      <c r="D68" s="656">
        <f>+Proforma!E78</f>
        <v>2500</v>
      </c>
      <c r="E68" s="653">
        <f t="shared" si="6"/>
        <v>15.822784810126583</v>
      </c>
      <c r="F68" s="661"/>
      <c r="G68" s="661"/>
      <c r="H68" s="661"/>
      <c r="I68" s="661"/>
      <c r="J68" s="661"/>
      <c r="K68" s="661"/>
    </row>
    <row r="69" spans="1:76" x14ac:dyDescent="0.15">
      <c r="A69" s="516">
        <v>5001</v>
      </c>
      <c r="B69" s="523" t="str">
        <f>"Professional Mgmt ("&amp;TEXT(MgmtFeeLimit,"$0,0")&amp;"/mo or "&amp;TEXT(MgmtFee,"0.0%"&amp;")")</f>
        <v>Professional Mgmt ($00/mo or 5.0%)</v>
      </c>
      <c r="C69" s="656">
        <f ca="1">OFFSET('IE SUMMARY'!D55,0,MoveCount)</f>
        <v>27649.23</v>
      </c>
      <c r="D69" s="656">
        <f>IF(D42*I4&gt;I5,D42*I4,I5)</f>
        <v>33381.300000000003</v>
      </c>
      <c r="E69" s="662">
        <f t="shared" si="6"/>
        <v>211.27405063291141</v>
      </c>
      <c r="F69" s="661"/>
      <c r="G69" s="661"/>
      <c r="H69" s="661"/>
      <c r="I69" s="661"/>
      <c r="J69" s="661"/>
      <c r="K69" s="661"/>
    </row>
    <row r="70" spans="1:76" ht="14" thickBot="1" x14ac:dyDescent="0.2">
      <c r="A70" s="516">
        <v>5061</v>
      </c>
      <c r="B70" s="699" t="s">
        <v>413</v>
      </c>
      <c r="C70" s="698">
        <f ca="1">SUM(C46:C69)</f>
        <v>317151.11</v>
      </c>
      <c r="D70" s="698">
        <f t="shared" ref="D70:E70" si="7">SUM(D46:D69)</f>
        <v>311498.76</v>
      </c>
      <c r="E70" s="698">
        <f t="shared" si="7"/>
        <v>1971.5111392405063</v>
      </c>
      <c r="G70" s="661"/>
      <c r="H70" s="661"/>
      <c r="I70" s="661"/>
      <c r="J70" s="661"/>
      <c r="K70" s="661"/>
    </row>
    <row r="71" spans="1:76" ht="14" thickTop="1" x14ac:dyDescent="0.15">
      <c r="A71" s="516">
        <v>5304</v>
      </c>
      <c r="B71" s="560" t="s">
        <v>414</v>
      </c>
      <c r="C71" s="561">
        <f ca="1">+C70/C42</f>
        <v>0.47108618577384709</v>
      </c>
      <c r="D71" s="561">
        <f t="shared" ref="D71:E71" si="8">+D70/D42</f>
        <v>0.46657673607678551</v>
      </c>
      <c r="E71" s="561">
        <f t="shared" si="8"/>
        <v>0.46657673607678551</v>
      </c>
      <c r="G71" s="661"/>
      <c r="K71" s="661"/>
    </row>
    <row r="72" spans="1:76" ht="7" customHeight="1" x14ac:dyDescent="0.15">
      <c r="A72" s="516">
        <v>5000</v>
      </c>
      <c r="C72" s="539"/>
      <c r="D72" s="662"/>
      <c r="E72" s="653"/>
      <c r="F72" s="562"/>
      <c r="G72" s="661"/>
    </row>
    <row r="73" spans="1:76" ht="14" thickBot="1" x14ac:dyDescent="0.2">
      <c r="B73" s="697" t="s">
        <v>415</v>
      </c>
      <c r="C73" s="700">
        <f ca="1">+C42-C70</f>
        <v>356082.62</v>
      </c>
      <c r="D73" s="700">
        <f t="shared" ref="D73:E73" si="9">+D42-D70</f>
        <v>356127.24</v>
      </c>
      <c r="E73" s="700">
        <f t="shared" si="9"/>
        <v>2253.9698734177218</v>
      </c>
      <c r="F73" s="562"/>
      <c r="H73" s="562"/>
      <c r="I73" s="562"/>
      <c r="J73" s="562"/>
    </row>
    <row r="74" spans="1:76" ht="14" thickTop="1" x14ac:dyDescent="0.15">
      <c r="B74" s="563"/>
      <c r="C74" s="511"/>
      <c r="E74" s="663"/>
      <c r="F74" s="664"/>
      <c r="H74" s="562"/>
      <c r="I74" s="562"/>
      <c r="J74" s="562"/>
      <c r="K74" s="562"/>
      <c r="L74" s="562"/>
      <c r="M74" s="562"/>
    </row>
    <row r="75" spans="1:76" x14ac:dyDescent="0.15">
      <c r="B75" s="510" t="s">
        <v>416</v>
      </c>
      <c r="D75" s="565">
        <f>+Proforma!N23</f>
        <v>119256</v>
      </c>
      <c r="G75" s="562"/>
      <c r="H75" s="664"/>
      <c r="I75" s="664"/>
      <c r="J75" s="664"/>
      <c r="K75" s="562"/>
      <c r="L75" s="562"/>
      <c r="M75" s="562"/>
      <c r="N75" s="562"/>
      <c r="O75" s="562"/>
      <c r="P75" s="562"/>
      <c r="Q75" s="562"/>
      <c r="R75" s="562"/>
      <c r="S75" s="562"/>
      <c r="T75" s="562"/>
      <c r="U75" s="562"/>
      <c r="V75" s="562"/>
      <c r="W75" s="562"/>
      <c r="X75" s="562"/>
      <c r="Y75" s="562"/>
      <c r="Z75" s="562"/>
      <c r="AA75" s="562"/>
      <c r="AB75" s="562"/>
      <c r="AC75" s="562"/>
      <c r="AD75" s="562"/>
      <c r="AE75" s="562"/>
      <c r="AF75" s="562"/>
      <c r="AG75" s="562"/>
      <c r="AH75" s="562"/>
      <c r="AI75" s="562"/>
      <c r="AJ75" s="562"/>
      <c r="AK75" s="562"/>
      <c r="AL75" s="562"/>
      <c r="AM75" s="562"/>
      <c r="AN75" s="562"/>
      <c r="AO75" s="562"/>
      <c r="AP75" s="562"/>
      <c r="AQ75" s="562"/>
      <c r="AR75" s="562"/>
      <c r="AS75" s="562"/>
      <c r="AT75" s="562"/>
      <c r="AU75" s="562"/>
    </row>
    <row r="76" spans="1:76" x14ac:dyDescent="0.15">
      <c r="G76" s="562"/>
      <c r="K76" s="664"/>
      <c r="L76" s="664"/>
      <c r="M76" s="664"/>
      <c r="N76" s="562"/>
      <c r="O76" s="562"/>
      <c r="P76" s="562"/>
      <c r="Q76" s="562"/>
      <c r="R76" s="562"/>
      <c r="S76" s="562"/>
      <c r="T76" s="562"/>
      <c r="U76" s="562"/>
      <c r="V76" s="562"/>
      <c r="W76" s="562"/>
      <c r="X76" s="562"/>
      <c r="Y76" s="562"/>
      <c r="Z76" s="562"/>
      <c r="AA76" s="562"/>
      <c r="AB76" s="562"/>
      <c r="AC76" s="562"/>
      <c r="AD76" s="562"/>
      <c r="AE76" s="562"/>
      <c r="AF76" s="562"/>
      <c r="AG76" s="562"/>
      <c r="AH76" s="562"/>
      <c r="AI76" s="562"/>
      <c r="AJ76" s="562"/>
      <c r="AK76" s="562"/>
      <c r="AL76" s="562"/>
      <c r="AM76" s="562"/>
      <c r="AN76" s="562"/>
      <c r="AO76" s="562"/>
      <c r="AP76" s="562"/>
      <c r="AQ76" s="562"/>
      <c r="AR76" s="562"/>
      <c r="AS76" s="562"/>
      <c r="AT76" s="562"/>
      <c r="AU76" s="562"/>
    </row>
    <row r="77" spans="1:76" x14ac:dyDescent="0.15">
      <c r="G77" s="664"/>
      <c r="N77" s="664"/>
      <c r="O77" s="664"/>
      <c r="P77" s="664"/>
      <c r="Q77" s="664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2"/>
      <c r="AF77" s="562"/>
      <c r="AG77" s="562"/>
      <c r="AH77" s="562"/>
      <c r="AI77" s="562"/>
      <c r="AJ77" s="562"/>
      <c r="AK77" s="562"/>
      <c r="AL77" s="562"/>
      <c r="AM77" s="562"/>
      <c r="AN77" s="562"/>
      <c r="AO77" s="562"/>
      <c r="AP77" s="562"/>
      <c r="AQ77" s="562"/>
      <c r="AR77" s="562"/>
      <c r="AS77" s="562"/>
      <c r="AT77" s="562"/>
      <c r="AU77" s="562"/>
      <c r="AV77" s="562"/>
      <c r="AW77" s="562"/>
      <c r="AX77" s="562"/>
      <c r="AY77" s="562"/>
      <c r="AZ77" s="562"/>
      <c r="BA77" s="562"/>
      <c r="BB77" s="562"/>
      <c r="BC77" s="562"/>
      <c r="BD77" s="562"/>
      <c r="BE77" s="562"/>
      <c r="BF77" s="562"/>
      <c r="BG77" s="562"/>
      <c r="BH77" s="562"/>
      <c r="BI77" s="562"/>
      <c r="BJ77" s="562"/>
      <c r="BK77" s="562"/>
      <c r="BL77" s="562"/>
      <c r="BM77" s="562"/>
      <c r="BN77" s="562"/>
      <c r="BO77" s="562"/>
      <c r="BP77" s="562"/>
      <c r="BQ77" s="562"/>
      <c r="BR77" s="562"/>
      <c r="BS77" s="562"/>
      <c r="BT77" s="562"/>
      <c r="BU77" s="562"/>
      <c r="BV77" s="562"/>
      <c r="BW77" s="562"/>
      <c r="BX77" s="562"/>
    </row>
  </sheetData>
  <mergeCells count="1">
    <mergeCell ref="C1:D1"/>
  </mergeCells>
  <pageMargins left="0.25" right="0.25" top="0.75" bottom="0.75" header="0.3" footer="0.3"/>
  <pageSetup scale="27" fitToHeight="0" orientation="landscape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641CDD3-3958-42B2-948B-F1DF35CAEC2A}">
          <x14:formula1>
            <xm:f>'IE Data Entry'!$P$2:$P$5</xm:f>
          </x14:formula1>
          <xm:sqref>M4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81D2-335C-43A6-BBC4-B42BDF8518C2}">
  <sheetPr codeName="Sheet10">
    <tabColor rgb="FF7030A0"/>
  </sheetPr>
  <dimension ref="A1:R103"/>
  <sheetViews>
    <sheetView workbookViewId="0">
      <selection sqref="A1:N1"/>
    </sheetView>
  </sheetViews>
  <sheetFormatPr baseColWidth="10" defaultColWidth="9.1640625" defaultRowHeight="15" x14ac:dyDescent="0.2"/>
  <cols>
    <col min="1" max="1" width="27.6640625" style="152" bestFit="1" customWidth="1"/>
    <col min="2" max="2" width="9.5" style="156" bestFit="1" customWidth="1"/>
    <col min="3" max="3" width="10.33203125" style="152" bestFit="1" customWidth="1"/>
    <col min="4" max="4" width="10.6640625" style="152" bestFit="1" customWidth="1"/>
    <col min="5" max="5" width="9.83203125" style="152" bestFit="1" customWidth="1"/>
    <col min="6" max="6" width="9.83203125" style="152" customWidth="1"/>
    <col min="7" max="7" width="10.33203125" style="152" bestFit="1" customWidth="1"/>
    <col min="8" max="8" width="10.1640625" style="152" bestFit="1" customWidth="1"/>
    <col min="9" max="9" width="13.83203125" style="152" customWidth="1"/>
    <col min="10" max="10" width="1.5" style="152" customWidth="1"/>
    <col min="11" max="11" width="38.5" style="152" customWidth="1"/>
    <col min="12" max="12" width="55.5" style="152" customWidth="1"/>
    <col min="13" max="13" width="9.1640625" style="152"/>
    <col min="14" max="14" width="20.6640625" style="152" customWidth="1"/>
    <col min="15" max="16384" width="9.1640625" style="152"/>
  </cols>
  <sheetData>
    <row r="1" spans="1:18" x14ac:dyDescent="0.2">
      <c r="A1" s="805" t="s">
        <v>417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  <c r="O1" s="816" t="s">
        <v>418</v>
      </c>
      <c r="P1" s="817"/>
      <c r="Q1" s="817"/>
      <c r="R1" s="818"/>
    </row>
    <row r="2" spans="1:18" x14ac:dyDescent="0.2">
      <c r="A2" s="152" t="s">
        <v>419</v>
      </c>
      <c r="B2" s="153"/>
      <c r="C2" s="154"/>
      <c r="D2" s="154"/>
      <c r="E2" s="154"/>
      <c r="F2" s="154"/>
      <c r="G2" s="154"/>
      <c r="H2" s="154"/>
      <c r="I2" s="154"/>
      <c r="J2" s="154"/>
      <c r="K2" s="154"/>
      <c r="L2" s="154"/>
      <c r="O2" s="248">
        <f>VLOOKUP(Proforma!N4,P2:Q5,2,FALSE)</f>
        <v>1</v>
      </c>
      <c r="P2" s="590">
        <v>2021</v>
      </c>
      <c r="Q2" s="591">
        <v>0</v>
      </c>
      <c r="R2" s="249"/>
    </row>
    <row r="3" spans="1:18" x14ac:dyDescent="0.2">
      <c r="A3" s="152" t="s">
        <v>420</v>
      </c>
      <c r="B3" s="155">
        <v>2022</v>
      </c>
      <c r="C3" s="156"/>
      <c r="D3" s="156"/>
      <c r="O3" s="248"/>
      <c r="P3" s="590" t="s">
        <v>79</v>
      </c>
      <c r="Q3" s="591">
        <v>1</v>
      </c>
      <c r="R3" s="249"/>
    </row>
    <row r="4" spans="1:18" x14ac:dyDescent="0.2">
      <c r="A4" s="152" t="s">
        <v>421</v>
      </c>
      <c r="B4" s="156">
        <f>+B3-1</f>
        <v>2021</v>
      </c>
      <c r="C4" s="156">
        <f>+B4-1</f>
        <v>2020</v>
      </c>
      <c r="D4" s="156">
        <f>+C4-1</f>
        <v>2019</v>
      </c>
      <c r="O4" s="665"/>
      <c r="P4" s="590" t="s">
        <v>422</v>
      </c>
      <c r="Q4" s="591">
        <v>2</v>
      </c>
      <c r="R4" s="249"/>
    </row>
    <row r="5" spans="1:18" ht="16" thickBot="1" x14ac:dyDescent="0.25">
      <c r="A5" s="152" t="str">
        <f>"For YTD "&amp;B3&amp;" Income Statement"</f>
        <v>For YTD 2022 Income Statement</v>
      </c>
      <c r="B5" s="152"/>
      <c r="C5" s="157" t="s">
        <v>423</v>
      </c>
      <c r="D5" s="158">
        <v>43921</v>
      </c>
      <c r="E5" s="159"/>
      <c r="F5" s="159"/>
      <c r="G5" s="160" t="s">
        <v>424</v>
      </c>
      <c r="H5" s="161">
        <f>MONTH(D5)</f>
        <v>3</v>
      </c>
      <c r="O5" s="666"/>
      <c r="P5" s="667" t="s">
        <v>91</v>
      </c>
      <c r="Q5" s="645">
        <v>3</v>
      </c>
      <c r="R5" s="250"/>
    </row>
    <row r="6" spans="1:18" ht="6" customHeight="1" x14ac:dyDescent="0.2">
      <c r="B6" s="152"/>
    </row>
    <row r="7" spans="1:18" x14ac:dyDescent="0.2">
      <c r="A7" s="815" t="s">
        <v>425</v>
      </c>
      <c r="B7" s="815"/>
      <c r="C7" s="815"/>
      <c r="D7" s="815"/>
      <c r="E7" s="815"/>
      <c r="F7" s="815"/>
      <c r="G7" s="815"/>
      <c r="H7" s="815"/>
      <c r="I7" s="815"/>
      <c r="J7" s="815"/>
      <c r="K7" s="815"/>
      <c r="L7" s="815"/>
    </row>
    <row r="8" spans="1:18" x14ac:dyDescent="0.2">
      <c r="A8" s="162"/>
      <c r="B8" s="163" t="s">
        <v>426</v>
      </c>
      <c r="C8" s="163"/>
      <c r="D8" s="163"/>
      <c r="E8" s="163"/>
      <c r="F8" s="163"/>
      <c r="G8" s="163" t="s">
        <v>427</v>
      </c>
      <c r="H8" s="163" t="s">
        <v>428</v>
      </c>
      <c r="I8" s="163" t="s">
        <v>429</v>
      </c>
      <c r="J8" s="163"/>
    </row>
    <row r="9" spans="1:18" ht="16" thickBot="1" x14ac:dyDescent="0.25">
      <c r="A9" s="162" t="s">
        <v>430</v>
      </c>
      <c r="B9" s="163" t="s">
        <v>431</v>
      </c>
      <c r="C9" s="163">
        <f>+D4</f>
        <v>2019</v>
      </c>
      <c r="D9" s="163">
        <f>+C4</f>
        <v>2020</v>
      </c>
      <c r="E9" s="163">
        <f>+B4</f>
        <v>2021</v>
      </c>
      <c r="F9" s="163" t="s">
        <v>79</v>
      </c>
      <c r="G9" s="163">
        <f>Current_Year</f>
        <v>2022</v>
      </c>
      <c r="H9" s="164">
        <f>Current_Year</f>
        <v>2022</v>
      </c>
      <c r="I9" s="163" t="s">
        <v>432</v>
      </c>
      <c r="J9" s="164"/>
      <c r="K9" s="165" t="s">
        <v>433</v>
      </c>
      <c r="L9" s="165" t="s">
        <v>434</v>
      </c>
    </row>
    <row r="10" spans="1:18" x14ac:dyDescent="0.2">
      <c r="A10" s="775" t="s">
        <v>435</v>
      </c>
      <c r="B10" s="776">
        <v>1</v>
      </c>
      <c r="C10" s="777"/>
      <c r="D10" s="777"/>
      <c r="E10" s="777">
        <v>696268</v>
      </c>
      <c r="F10" s="777">
        <v>699803.56</v>
      </c>
      <c r="G10" s="777"/>
      <c r="H10" s="166">
        <f t="shared" ref="H10:H24" si="0">+G10/$H$5*12</f>
        <v>0</v>
      </c>
      <c r="I10" s="777"/>
      <c r="K10" s="152" t="str">
        <f t="shared" ref="K10:K24" si="1">VLOOKUP($B10,Income_Account_Codes,2,)</f>
        <v>MH Space Rent Tier 1</v>
      </c>
      <c r="N10" s="775" t="s">
        <v>436</v>
      </c>
      <c r="O10" s="776">
        <v>1</v>
      </c>
      <c r="P10" s="668"/>
    </row>
    <row r="11" spans="1:18" x14ac:dyDescent="0.2">
      <c r="A11" s="778" t="s">
        <v>437</v>
      </c>
      <c r="B11" s="776">
        <v>1</v>
      </c>
      <c r="C11" s="777"/>
      <c r="D11" s="777"/>
      <c r="E11" s="777">
        <v>-171235</v>
      </c>
      <c r="F11" s="777">
        <v>-169230.9</v>
      </c>
      <c r="G11" s="777"/>
      <c r="H11" s="166">
        <f t="shared" si="0"/>
        <v>0</v>
      </c>
      <c r="I11" s="777"/>
      <c r="K11" s="152" t="str">
        <f t="shared" si="1"/>
        <v>MH Space Rent Tier 1</v>
      </c>
      <c r="N11" s="778" t="s">
        <v>438</v>
      </c>
      <c r="O11" s="776">
        <v>2</v>
      </c>
      <c r="P11" s="668"/>
    </row>
    <row r="12" spans="1:18" x14ac:dyDescent="0.2">
      <c r="A12" s="775" t="s">
        <v>439</v>
      </c>
      <c r="B12" s="776"/>
      <c r="C12" s="777"/>
      <c r="D12" s="777"/>
      <c r="E12" s="777">
        <v>23134</v>
      </c>
      <c r="F12" s="777">
        <v>24333</v>
      </c>
      <c r="G12" s="777"/>
      <c r="H12" s="166">
        <f t="shared" si="0"/>
        <v>0</v>
      </c>
      <c r="I12" s="777"/>
      <c r="K12" s="152" t="e">
        <f t="shared" si="1"/>
        <v>#N/A</v>
      </c>
      <c r="N12" s="775" t="s">
        <v>440</v>
      </c>
      <c r="O12" s="776">
        <v>3</v>
      </c>
      <c r="P12" s="668"/>
    </row>
    <row r="13" spans="1:18" x14ac:dyDescent="0.2">
      <c r="A13" s="778" t="s">
        <v>441</v>
      </c>
      <c r="B13" s="776">
        <v>4402</v>
      </c>
      <c r="C13" s="777"/>
      <c r="D13" s="777"/>
      <c r="E13" s="777">
        <v>137658</v>
      </c>
      <c r="F13" s="777">
        <v>142661.07</v>
      </c>
      <c r="G13" s="777"/>
      <c r="H13" s="166">
        <f t="shared" si="0"/>
        <v>0</v>
      </c>
      <c r="I13" s="777"/>
      <c r="K13" s="152" t="str">
        <f t="shared" si="1"/>
        <v>Water</v>
      </c>
      <c r="N13" s="778" t="s">
        <v>442</v>
      </c>
      <c r="O13" s="776">
        <v>4</v>
      </c>
      <c r="P13" s="668"/>
    </row>
    <row r="14" spans="1:18" x14ac:dyDescent="0.2">
      <c r="A14" s="775" t="s">
        <v>443</v>
      </c>
      <c r="B14" s="776"/>
      <c r="C14" s="777"/>
      <c r="D14" s="777"/>
      <c r="E14" s="777">
        <v>22817</v>
      </c>
      <c r="F14" s="777">
        <v>21975.75</v>
      </c>
      <c r="G14" s="777"/>
      <c r="H14" s="166">
        <f t="shared" si="0"/>
        <v>0</v>
      </c>
      <c r="I14" s="777"/>
      <c r="K14" s="152" t="e">
        <f t="shared" si="1"/>
        <v>#N/A</v>
      </c>
      <c r="N14" s="775" t="s">
        <v>156</v>
      </c>
      <c r="O14" s="776">
        <v>4403</v>
      </c>
      <c r="P14" s="668"/>
    </row>
    <row r="15" spans="1:18" x14ac:dyDescent="0.2">
      <c r="A15" s="775" t="s">
        <v>444</v>
      </c>
      <c r="B15" s="776"/>
      <c r="C15" s="777"/>
      <c r="D15" s="777"/>
      <c r="E15" s="777">
        <v>-1944</v>
      </c>
      <c r="F15" s="777">
        <v>-1944</v>
      </c>
      <c r="G15" s="777"/>
      <c r="H15" s="166">
        <f t="shared" si="0"/>
        <v>0</v>
      </c>
      <c r="I15" s="777"/>
      <c r="K15" s="152" t="e">
        <f t="shared" si="1"/>
        <v>#N/A</v>
      </c>
      <c r="N15" s="775" t="s">
        <v>142</v>
      </c>
      <c r="O15" s="776">
        <v>4401</v>
      </c>
      <c r="P15" s="668"/>
    </row>
    <row r="16" spans="1:18" x14ac:dyDescent="0.2">
      <c r="A16" s="775" t="s">
        <v>445</v>
      </c>
      <c r="B16" s="776"/>
      <c r="C16" s="777"/>
      <c r="D16" s="777"/>
      <c r="E16" s="777">
        <v>12989</v>
      </c>
      <c r="F16" s="777">
        <v>13009.36</v>
      </c>
      <c r="G16" s="777"/>
      <c r="H16" s="166">
        <f t="shared" si="0"/>
        <v>0</v>
      </c>
      <c r="I16" s="777"/>
      <c r="K16" s="152" t="e">
        <f t="shared" si="1"/>
        <v>#N/A</v>
      </c>
      <c r="N16" s="775" t="s">
        <v>143</v>
      </c>
      <c r="O16" s="776">
        <v>4404</v>
      </c>
      <c r="P16" s="668"/>
    </row>
    <row r="17" spans="1:16" x14ac:dyDescent="0.2">
      <c r="A17" s="775" t="s">
        <v>446</v>
      </c>
      <c r="B17" s="776"/>
      <c r="C17" s="777"/>
      <c r="D17" s="777"/>
      <c r="E17" s="777">
        <v>-33589</v>
      </c>
      <c r="F17" s="777">
        <v>-34020.1</v>
      </c>
      <c r="G17" s="777"/>
      <c r="H17" s="166">
        <f t="shared" si="0"/>
        <v>0</v>
      </c>
      <c r="I17" s="777"/>
      <c r="K17" s="152" t="e">
        <f t="shared" si="1"/>
        <v>#N/A</v>
      </c>
      <c r="N17" s="775" t="s">
        <v>144</v>
      </c>
      <c r="O17" s="776">
        <v>4405</v>
      </c>
      <c r="P17" s="668"/>
    </row>
    <row r="18" spans="1:16" x14ac:dyDescent="0.2">
      <c r="A18" s="775"/>
      <c r="B18" s="776"/>
      <c r="C18" s="777"/>
      <c r="D18" s="777"/>
      <c r="E18" s="777"/>
      <c r="F18" s="777"/>
      <c r="G18" s="777"/>
      <c r="H18" s="166">
        <f t="shared" si="0"/>
        <v>0</v>
      </c>
      <c r="I18" s="777"/>
      <c r="K18" s="152" t="e">
        <f t="shared" si="1"/>
        <v>#N/A</v>
      </c>
      <c r="N18" s="775" t="s">
        <v>145</v>
      </c>
      <c r="O18" s="776">
        <v>4402</v>
      </c>
      <c r="P18" s="668"/>
    </row>
    <row r="19" spans="1:16" x14ac:dyDescent="0.2">
      <c r="A19" s="775"/>
      <c r="B19" s="776"/>
      <c r="C19" s="777"/>
      <c r="D19" s="777"/>
      <c r="E19" s="777"/>
      <c r="F19" s="777"/>
      <c r="G19" s="777"/>
      <c r="H19" s="166">
        <f t="shared" si="0"/>
        <v>0</v>
      </c>
      <c r="I19" s="777"/>
      <c r="K19" s="152" t="e">
        <f t="shared" si="1"/>
        <v>#N/A</v>
      </c>
      <c r="N19" s="775" t="s">
        <v>146</v>
      </c>
      <c r="O19" s="776">
        <v>4998</v>
      </c>
      <c r="P19" s="668"/>
    </row>
    <row r="20" spans="1:16" x14ac:dyDescent="0.2">
      <c r="A20" s="775"/>
      <c r="B20" s="776"/>
      <c r="C20" s="777"/>
      <c r="D20" s="777"/>
      <c r="E20" s="777"/>
      <c r="F20" s="777"/>
      <c r="G20" s="777"/>
      <c r="H20" s="166">
        <f t="shared" si="0"/>
        <v>0</v>
      </c>
      <c r="I20" s="777"/>
      <c r="K20" s="152" t="e">
        <f t="shared" si="1"/>
        <v>#N/A</v>
      </c>
      <c r="N20" s="775" t="s">
        <v>447</v>
      </c>
      <c r="O20" s="776">
        <v>4134</v>
      </c>
      <c r="P20" s="668"/>
    </row>
    <row r="21" spans="1:16" x14ac:dyDescent="0.2">
      <c r="A21" s="775"/>
      <c r="B21" s="776"/>
      <c r="C21" s="777"/>
      <c r="D21" s="777"/>
      <c r="E21" s="777"/>
      <c r="F21" s="777"/>
      <c r="G21" s="777"/>
      <c r="H21" s="166">
        <f t="shared" si="0"/>
        <v>0</v>
      </c>
      <c r="I21" s="777"/>
      <c r="K21" s="152" t="e">
        <f t="shared" si="1"/>
        <v>#N/A</v>
      </c>
    </row>
    <row r="22" spans="1:16" x14ac:dyDescent="0.2">
      <c r="A22" s="775"/>
      <c r="B22" s="776"/>
      <c r="C22" s="777"/>
      <c r="D22" s="777"/>
      <c r="E22" s="777"/>
      <c r="F22" s="777"/>
      <c r="G22" s="777"/>
      <c r="H22" s="166">
        <f t="shared" si="0"/>
        <v>0</v>
      </c>
      <c r="I22" s="777"/>
      <c r="K22" s="152" t="e">
        <f t="shared" si="1"/>
        <v>#N/A</v>
      </c>
    </row>
    <row r="23" spans="1:16" x14ac:dyDescent="0.2">
      <c r="A23" s="775"/>
      <c r="B23" s="776"/>
      <c r="C23" s="777"/>
      <c r="D23" s="777"/>
      <c r="E23" s="777"/>
      <c r="F23" s="777"/>
      <c r="G23" s="777"/>
      <c r="H23" s="166">
        <f t="shared" si="0"/>
        <v>0</v>
      </c>
      <c r="I23" s="777"/>
      <c r="K23" s="152" t="e">
        <f t="shared" si="1"/>
        <v>#N/A</v>
      </c>
    </row>
    <row r="24" spans="1:16" x14ac:dyDescent="0.2">
      <c r="A24" s="775"/>
      <c r="B24" s="776"/>
      <c r="C24" s="777"/>
      <c r="D24" s="777"/>
      <c r="E24" s="777"/>
      <c r="F24" s="777"/>
      <c r="G24" s="777"/>
      <c r="H24" s="166">
        <f t="shared" si="0"/>
        <v>0</v>
      </c>
      <c r="I24" s="777"/>
      <c r="K24" s="152" t="e">
        <f t="shared" si="1"/>
        <v>#N/A</v>
      </c>
    </row>
    <row r="25" spans="1:16" x14ac:dyDescent="0.2">
      <c r="A25" s="171" t="s">
        <v>448</v>
      </c>
      <c r="B25" s="152"/>
      <c r="C25" s="173">
        <f>SUM(C10:C24)</f>
        <v>0</v>
      </c>
      <c r="D25" s="173">
        <f t="shared" ref="D25:I25" si="2">SUM(D10:D24)</f>
        <v>0</v>
      </c>
      <c r="E25" s="173">
        <f t="shared" si="2"/>
        <v>686098</v>
      </c>
      <c r="F25" s="173">
        <f t="shared" si="2"/>
        <v>696587.74</v>
      </c>
      <c r="G25" s="173">
        <f t="shared" si="2"/>
        <v>0</v>
      </c>
      <c r="H25" s="173">
        <f t="shared" si="2"/>
        <v>0</v>
      </c>
      <c r="I25" s="173">
        <f t="shared" si="2"/>
        <v>0</v>
      </c>
    </row>
    <row r="26" spans="1:16" x14ac:dyDescent="0.2">
      <c r="B26" s="152"/>
    </row>
    <row r="27" spans="1:16" x14ac:dyDescent="0.2">
      <c r="A27" s="815" t="s">
        <v>449</v>
      </c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</row>
    <row r="28" spans="1:16" x14ac:dyDescent="0.2">
      <c r="A28" s="162"/>
      <c r="B28" s="163" t="s">
        <v>426</v>
      </c>
      <c r="C28" s="163"/>
      <c r="D28" s="163"/>
      <c r="E28" s="163"/>
      <c r="F28" s="163"/>
      <c r="G28" s="163" t="s">
        <v>427</v>
      </c>
      <c r="H28" s="163" t="s">
        <v>428</v>
      </c>
      <c r="I28" s="163" t="s">
        <v>429</v>
      </c>
      <c r="J28" s="163"/>
    </row>
    <row r="29" spans="1:16" ht="16" thickBot="1" x14ac:dyDescent="0.25">
      <c r="A29" s="165" t="s">
        <v>450</v>
      </c>
      <c r="B29" s="164" t="s">
        <v>431</v>
      </c>
      <c r="C29" s="164">
        <f>+D4</f>
        <v>2019</v>
      </c>
      <c r="D29" s="164">
        <f>+C4</f>
        <v>2020</v>
      </c>
      <c r="E29" s="164">
        <f>+B4</f>
        <v>2021</v>
      </c>
      <c r="F29" s="164" t="str">
        <f>+F9</f>
        <v>Trailing 12</v>
      </c>
      <c r="G29" s="164">
        <f>Current_Year</f>
        <v>2022</v>
      </c>
      <c r="H29" s="164">
        <f>Current_Year</f>
        <v>2022</v>
      </c>
      <c r="I29" s="164" t="s">
        <v>432</v>
      </c>
      <c r="J29" s="164"/>
      <c r="K29" s="165" t="s">
        <v>433</v>
      </c>
      <c r="L29" s="165" t="s">
        <v>434</v>
      </c>
    </row>
    <row r="30" spans="1:16" x14ac:dyDescent="0.2">
      <c r="A30" s="167" t="s">
        <v>451</v>
      </c>
      <c r="B30" s="168">
        <v>5001</v>
      </c>
      <c r="C30" s="169"/>
      <c r="D30" s="169"/>
      <c r="E30" s="169">
        <v>0</v>
      </c>
      <c r="F30" s="169"/>
      <c r="G30" s="169"/>
      <c r="H30" s="166">
        <f>+G30/$H$5*12</f>
        <v>0</v>
      </c>
      <c r="I30" s="169"/>
      <c r="K30" s="170" t="str">
        <f t="shared" ref="K30:K100" si="3">VLOOKUP(B30,ChartOfAccounts,2,)</f>
        <v>Advertising</v>
      </c>
      <c r="L30" s="170"/>
      <c r="N30" s="167" t="s">
        <v>452</v>
      </c>
      <c r="O30" s="168">
        <v>5701</v>
      </c>
    </row>
    <row r="31" spans="1:16" x14ac:dyDescent="0.2">
      <c r="A31" s="775" t="s">
        <v>453</v>
      </c>
      <c r="B31" s="776">
        <v>5601</v>
      </c>
      <c r="C31" s="777"/>
      <c r="D31" s="777"/>
      <c r="E31" s="777">
        <v>18872</v>
      </c>
      <c r="F31" s="777"/>
      <c r="G31" s="777"/>
      <c r="H31" s="166">
        <f t="shared" ref="H31:H100" si="4">+G31/$H$5*12</f>
        <v>0</v>
      </c>
      <c r="I31" s="777"/>
      <c r="K31" s="779" t="str">
        <f t="shared" si="3"/>
        <v>Office Supplies, Postage, Pager, Printing, dues, subscr, Misc.</v>
      </c>
      <c r="L31" s="779"/>
      <c r="N31" s="775" t="s">
        <v>154</v>
      </c>
      <c r="O31" s="776">
        <v>5305</v>
      </c>
    </row>
    <row r="32" spans="1:16" x14ac:dyDescent="0.2">
      <c r="A32" s="775" t="s">
        <v>454</v>
      </c>
      <c r="B32" s="776">
        <v>5000</v>
      </c>
      <c r="C32" s="777"/>
      <c r="D32" s="777"/>
      <c r="E32" s="777">
        <v>27466</v>
      </c>
      <c r="F32" s="777"/>
      <c r="G32" s="777"/>
      <c r="H32" s="166">
        <f t="shared" si="4"/>
        <v>0</v>
      </c>
      <c r="I32" s="777"/>
      <c r="K32" s="779" t="str">
        <f t="shared" si="3"/>
        <v>Professional Mgmt ($2,000/mo or 5%)</v>
      </c>
      <c r="L32" s="779"/>
      <c r="N32" s="775" t="s">
        <v>155</v>
      </c>
      <c r="O32" s="776">
        <v>5306</v>
      </c>
    </row>
    <row r="33" spans="1:15" x14ac:dyDescent="0.2">
      <c r="A33" s="775" t="s">
        <v>455</v>
      </c>
      <c r="B33" s="776">
        <v>5601</v>
      </c>
      <c r="C33" s="777"/>
      <c r="D33" s="777"/>
      <c r="E33" s="777">
        <v>4535</v>
      </c>
      <c r="F33" s="777"/>
      <c r="G33" s="777"/>
      <c r="H33" s="166">
        <f t="shared" si="4"/>
        <v>0</v>
      </c>
      <c r="I33" s="777"/>
      <c r="K33" s="779" t="str">
        <f t="shared" si="3"/>
        <v>Office Supplies, Postage, Pager, Printing, dues, subscr, Misc.</v>
      </c>
      <c r="L33" s="779"/>
      <c r="N33" s="775" t="s">
        <v>156</v>
      </c>
      <c r="O33" s="776">
        <v>5404</v>
      </c>
    </row>
    <row r="34" spans="1:15" x14ac:dyDescent="0.2">
      <c r="A34" s="775" t="s">
        <v>456</v>
      </c>
      <c r="B34" s="776">
        <v>5601</v>
      </c>
      <c r="C34" s="777"/>
      <c r="D34" s="777"/>
      <c r="E34" s="777">
        <v>552</v>
      </c>
      <c r="F34" s="777"/>
      <c r="G34" s="777"/>
      <c r="H34" s="166">
        <f t="shared" si="4"/>
        <v>0</v>
      </c>
      <c r="I34" s="777"/>
      <c r="K34" s="779" t="str">
        <f t="shared" si="3"/>
        <v>Office Supplies, Postage, Pager, Printing, dues, subscr, Misc.</v>
      </c>
      <c r="L34" s="779"/>
      <c r="N34" s="775" t="s">
        <v>157</v>
      </c>
      <c r="O34" s="776">
        <v>5401</v>
      </c>
    </row>
    <row r="35" spans="1:15" x14ac:dyDescent="0.2">
      <c r="A35" s="775" t="s">
        <v>457</v>
      </c>
      <c r="B35" s="776">
        <v>5603</v>
      </c>
      <c r="C35" s="777"/>
      <c r="D35" s="777"/>
      <c r="E35" s="777">
        <v>1148</v>
      </c>
      <c r="F35" s="777"/>
      <c r="G35" s="777"/>
      <c r="H35" s="166">
        <f t="shared" si="4"/>
        <v>0</v>
      </c>
      <c r="I35" s="777"/>
      <c r="K35" s="779" t="str">
        <f t="shared" si="3"/>
        <v xml:space="preserve">Phone/Cable </v>
      </c>
      <c r="L35" s="779" t="s">
        <v>458</v>
      </c>
      <c r="N35" s="775" t="s">
        <v>143</v>
      </c>
      <c r="O35" s="776">
        <v>5405</v>
      </c>
    </row>
    <row r="36" spans="1:15" x14ac:dyDescent="0.2">
      <c r="A36" s="775" t="s">
        <v>459</v>
      </c>
      <c r="B36" s="776">
        <v>5701</v>
      </c>
      <c r="C36" s="777"/>
      <c r="D36" s="777"/>
      <c r="E36" s="777">
        <v>33459</v>
      </c>
      <c r="F36" s="777"/>
      <c r="G36" s="777"/>
      <c r="H36" s="166">
        <f t="shared" si="4"/>
        <v>0</v>
      </c>
      <c r="I36" s="777"/>
      <c r="K36" s="779" t="str">
        <f t="shared" si="3"/>
        <v>Manager/Maint Salary Expense</v>
      </c>
      <c r="L36" s="779"/>
      <c r="N36" s="775" t="s">
        <v>158</v>
      </c>
      <c r="O36" s="776">
        <v>5403</v>
      </c>
    </row>
    <row r="37" spans="1:15" x14ac:dyDescent="0.2">
      <c r="A37" s="775" t="s">
        <v>460</v>
      </c>
      <c r="B37" s="776">
        <v>5104</v>
      </c>
      <c r="C37" s="777"/>
      <c r="D37" s="777"/>
      <c r="E37" s="777">
        <v>2055</v>
      </c>
      <c r="F37" s="777"/>
      <c r="G37" s="777"/>
      <c r="H37" s="166">
        <f t="shared" si="4"/>
        <v>0</v>
      </c>
      <c r="I37" s="777"/>
      <c r="K37" s="779" t="str">
        <f t="shared" si="3"/>
        <v>Repairs &amp; Maintenance / Capex Reserve</v>
      </c>
      <c r="L37" s="779"/>
      <c r="N37" s="775" t="s">
        <v>159</v>
      </c>
      <c r="O37" s="776">
        <v>5402</v>
      </c>
    </row>
    <row r="38" spans="1:15" x14ac:dyDescent="0.2">
      <c r="A38" s="775" t="s">
        <v>461</v>
      </c>
      <c r="B38" s="776">
        <v>5104</v>
      </c>
      <c r="C38" s="777"/>
      <c r="D38" s="777"/>
      <c r="E38" s="777">
        <v>2621</v>
      </c>
      <c r="F38" s="777"/>
      <c r="G38" s="777"/>
      <c r="H38" s="166">
        <f t="shared" si="4"/>
        <v>0</v>
      </c>
      <c r="I38" s="777"/>
      <c r="K38" s="779" t="str">
        <f t="shared" si="3"/>
        <v>Repairs &amp; Maintenance / Capex Reserve</v>
      </c>
      <c r="L38" s="779"/>
      <c r="N38" s="775" t="s">
        <v>160</v>
      </c>
      <c r="O38" s="776">
        <v>5603</v>
      </c>
    </row>
    <row r="39" spans="1:15" x14ac:dyDescent="0.2">
      <c r="A39" s="775" t="s">
        <v>462</v>
      </c>
      <c r="B39" s="776">
        <v>5104</v>
      </c>
      <c r="C39" s="777"/>
      <c r="D39" s="777"/>
      <c r="E39" s="777">
        <v>6906</v>
      </c>
      <c r="F39" s="777"/>
      <c r="G39" s="777"/>
      <c r="H39" s="166">
        <f t="shared" si="4"/>
        <v>0</v>
      </c>
      <c r="I39" s="777"/>
      <c r="K39" s="779" t="str">
        <f t="shared" si="3"/>
        <v>Repairs &amp; Maintenance / Capex Reserve</v>
      </c>
      <c r="L39" s="779"/>
      <c r="N39" s="775" t="s">
        <v>161</v>
      </c>
      <c r="O39" s="776">
        <v>5020</v>
      </c>
    </row>
    <row r="40" spans="1:15" x14ac:dyDescent="0.2">
      <c r="A40" s="775" t="s">
        <v>463</v>
      </c>
      <c r="B40" s="776">
        <v>5200</v>
      </c>
      <c r="C40" s="777"/>
      <c r="D40" s="777"/>
      <c r="E40" s="777">
        <v>8459</v>
      </c>
      <c r="F40" s="777"/>
      <c r="G40" s="777"/>
      <c r="H40" s="166">
        <f t="shared" si="4"/>
        <v>0</v>
      </c>
      <c r="I40" s="777"/>
      <c r="K40" s="779" t="str">
        <f t="shared" si="3"/>
        <v>Landscape, pool, &amp; sweeping maintenance &amp; supplies</v>
      </c>
      <c r="L40" s="779"/>
      <c r="N40" s="775" t="s">
        <v>464</v>
      </c>
      <c r="O40" s="776">
        <v>5104</v>
      </c>
    </row>
    <row r="41" spans="1:15" x14ac:dyDescent="0.2">
      <c r="A41" s="775" t="s">
        <v>465</v>
      </c>
      <c r="B41" s="776">
        <v>5104</v>
      </c>
      <c r="C41" s="777"/>
      <c r="D41" s="777"/>
      <c r="E41" s="777">
        <v>1308</v>
      </c>
      <c r="F41" s="777"/>
      <c r="G41" s="777"/>
      <c r="H41" s="166">
        <f t="shared" si="4"/>
        <v>0</v>
      </c>
      <c r="I41" s="777"/>
      <c r="K41" s="779" t="str">
        <f t="shared" si="3"/>
        <v>Repairs &amp; Maintenance / Capex Reserve</v>
      </c>
      <c r="L41" s="779"/>
      <c r="N41" s="775" t="s">
        <v>162</v>
      </c>
      <c r="O41" s="776">
        <v>5109</v>
      </c>
    </row>
    <row r="42" spans="1:15" x14ac:dyDescent="0.2">
      <c r="A42" s="775" t="s">
        <v>466</v>
      </c>
      <c r="B42" s="776">
        <v>5104</v>
      </c>
      <c r="C42" s="777"/>
      <c r="D42" s="777"/>
      <c r="E42" s="777">
        <v>7076</v>
      </c>
      <c r="F42" s="777"/>
      <c r="G42" s="777"/>
      <c r="H42" s="166">
        <f t="shared" si="4"/>
        <v>0</v>
      </c>
      <c r="I42" s="777"/>
      <c r="K42" s="779" t="str">
        <f t="shared" si="3"/>
        <v>Repairs &amp; Maintenance / Capex Reserve</v>
      </c>
      <c r="L42" s="779"/>
      <c r="N42" s="775" t="s">
        <v>163</v>
      </c>
      <c r="O42" s="776">
        <v>5200</v>
      </c>
    </row>
    <row r="43" spans="1:15" x14ac:dyDescent="0.2">
      <c r="A43" s="775" t="s">
        <v>467</v>
      </c>
      <c r="B43" s="776">
        <v>5109</v>
      </c>
      <c r="C43" s="777"/>
      <c r="D43" s="777"/>
      <c r="E43" s="777">
        <v>629</v>
      </c>
      <c r="F43" s="777"/>
      <c r="G43" s="777"/>
      <c r="H43" s="166">
        <f t="shared" si="4"/>
        <v>0</v>
      </c>
      <c r="I43" s="777"/>
      <c r="K43" s="779" t="str">
        <f t="shared" si="3"/>
        <v>Outside Services -plumbing, electrical, etc</v>
      </c>
      <c r="L43" s="779"/>
      <c r="N43" s="775" t="s">
        <v>412</v>
      </c>
      <c r="O43" s="776">
        <v>5301</v>
      </c>
    </row>
    <row r="44" spans="1:15" x14ac:dyDescent="0.2">
      <c r="A44" s="775" t="s">
        <v>468</v>
      </c>
      <c r="B44" s="776">
        <v>5020</v>
      </c>
      <c r="C44" s="777"/>
      <c r="D44" s="777"/>
      <c r="E44" s="777">
        <v>3561</v>
      </c>
      <c r="F44" s="777"/>
      <c r="G44" s="777"/>
      <c r="H44" s="166">
        <f t="shared" si="4"/>
        <v>0</v>
      </c>
      <c r="I44" s="777"/>
      <c r="K44" s="779" t="str">
        <f t="shared" si="3"/>
        <v>Auto expense &amp; travel</v>
      </c>
      <c r="L44" s="779"/>
      <c r="N44" s="775" t="s">
        <v>165</v>
      </c>
      <c r="O44" s="776">
        <v>5053</v>
      </c>
    </row>
    <row r="45" spans="1:15" x14ac:dyDescent="0.2">
      <c r="A45" s="775" t="s">
        <v>469</v>
      </c>
      <c r="B45" s="776">
        <v>5109</v>
      </c>
      <c r="C45" s="777"/>
      <c r="D45" s="777"/>
      <c r="E45" s="777">
        <v>7056</v>
      </c>
      <c r="F45" s="777"/>
      <c r="G45" s="777"/>
      <c r="H45" s="166">
        <f t="shared" si="4"/>
        <v>0</v>
      </c>
      <c r="I45" s="777"/>
      <c r="K45" s="779" t="str">
        <f t="shared" si="3"/>
        <v>Outside Services -plumbing, electrical, etc</v>
      </c>
      <c r="L45" s="779"/>
      <c r="N45" s="775" t="s">
        <v>470</v>
      </c>
      <c r="O45" s="776">
        <v>5604</v>
      </c>
    </row>
    <row r="46" spans="1:15" x14ac:dyDescent="0.2">
      <c r="A46" s="775" t="s">
        <v>471</v>
      </c>
      <c r="B46" s="776">
        <v>5404</v>
      </c>
      <c r="C46" s="777"/>
      <c r="D46" s="777"/>
      <c r="E46" s="777">
        <v>21132</v>
      </c>
      <c r="F46" s="777"/>
      <c r="G46" s="777"/>
      <c r="H46" s="166">
        <f t="shared" si="4"/>
        <v>0</v>
      </c>
      <c r="I46" s="777"/>
      <c r="K46" s="779" t="str">
        <f t="shared" si="3"/>
        <v>Electric</v>
      </c>
      <c r="L46" s="779"/>
      <c r="N46" s="775" t="s">
        <v>167</v>
      </c>
      <c r="O46" s="776">
        <v>5062</v>
      </c>
    </row>
    <row r="47" spans="1:15" x14ac:dyDescent="0.2">
      <c r="A47" s="775" t="s">
        <v>472</v>
      </c>
      <c r="B47" s="776">
        <v>5401</v>
      </c>
      <c r="C47" s="777"/>
      <c r="D47" s="777"/>
      <c r="E47" s="777">
        <v>43079</v>
      </c>
      <c r="F47" s="777"/>
      <c r="G47" s="777"/>
      <c r="H47" s="166">
        <f t="shared" si="4"/>
        <v>0</v>
      </c>
      <c r="I47" s="777"/>
      <c r="K47" s="779" t="str">
        <f t="shared" si="3"/>
        <v>Gas</v>
      </c>
      <c r="L47" s="779"/>
      <c r="N47" s="775" t="s">
        <v>168</v>
      </c>
      <c r="O47" s="776">
        <v>5302</v>
      </c>
    </row>
    <row r="48" spans="1:15" x14ac:dyDescent="0.2">
      <c r="A48" s="775" t="s">
        <v>473</v>
      </c>
      <c r="B48" s="776">
        <v>5402</v>
      </c>
      <c r="C48" s="777"/>
      <c r="D48" s="777"/>
      <c r="E48" s="777">
        <v>33027</v>
      </c>
      <c r="F48" s="777"/>
      <c r="G48" s="777"/>
      <c r="H48" s="166">
        <f t="shared" si="4"/>
        <v>0</v>
      </c>
      <c r="I48" s="777"/>
      <c r="K48" s="779" t="str">
        <f t="shared" si="3"/>
        <v xml:space="preserve">Water </v>
      </c>
      <c r="L48" s="779"/>
      <c r="N48" s="775" t="s">
        <v>169</v>
      </c>
      <c r="O48" s="776">
        <v>5001</v>
      </c>
    </row>
    <row r="49" spans="1:15" x14ac:dyDescent="0.2">
      <c r="A49" s="775" t="s">
        <v>474</v>
      </c>
      <c r="B49" s="776">
        <v>5402</v>
      </c>
      <c r="C49" s="777"/>
      <c r="D49" s="777"/>
      <c r="E49" s="777">
        <v>662</v>
      </c>
      <c r="F49" s="777"/>
      <c r="G49" s="777"/>
      <c r="H49" s="166">
        <f t="shared" si="4"/>
        <v>0</v>
      </c>
      <c r="I49" s="777"/>
      <c r="K49" s="779" t="str">
        <f t="shared" si="3"/>
        <v xml:space="preserve">Water </v>
      </c>
      <c r="L49" s="779"/>
      <c r="N49" s="775" t="s">
        <v>170</v>
      </c>
      <c r="O49" s="776">
        <v>5061</v>
      </c>
    </row>
    <row r="50" spans="1:15" x14ac:dyDescent="0.2">
      <c r="A50" s="775" t="s">
        <v>475</v>
      </c>
      <c r="B50" s="776">
        <v>5403</v>
      </c>
      <c r="C50" s="777"/>
      <c r="D50" s="777"/>
      <c r="E50" s="777">
        <v>8004</v>
      </c>
      <c r="F50" s="777"/>
      <c r="G50" s="777"/>
      <c r="H50" s="166">
        <f t="shared" si="4"/>
        <v>0</v>
      </c>
      <c r="I50" s="777"/>
      <c r="K50" s="779" t="str">
        <f t="shared" si="3"/>
        <v>Sewer-septic</v>
      </c>
      <c r="L50" s="779"/>
      <c r="N50" s="775" t="s">
        <v>171</v>
      </c>
      <c r="O50" s="776">
        <v>5304</v>
      </c>
    </row>
    <row r="51" spans="1:15" x14ac:dyDescent="0.2">
      <c r="A51" s="775" t="s">
        <v>476</v>
      </c>
      <c r="B51" s="776">
        <v>5405</v>
      </c>
      <c r="C51" s="777"/>
      <c r="D51" s="777"/>
      <c r="E51" s="777">
        <v>28598</v>
      </c>
      <c r="F51" s="777"/>
      <c r="G51" s="777"/>
      <c r="H51" s="166">
        <f t="shared" si="4"/>
        <v>0</v>
      </c>
      <c r="I51" s="777"/>
      <c r="K51" s="779" t="str">
        <f t="shared" si="3"/>
        <v>Trash</v>
      </c>
      <c r="L51" s="779"/>
      <c r="N51" s="775" t="s">
        <v>172</v>
      </c>
      <c r="O51" s="776">
        <v>5064</v>
      </c>
    </row>
    <row r="52" spans="1:15" x14ac:dyDescent="0.2">
      <c r="A52" s="775" t="s">
        <v>477</v>
      </c>
      <c r="B52" s="776">
        <v>5053</v>
      </c>
      <c r="C52" s="777"/>
      <c r="D52" s="777"/>
      <c r="E52" s="777">
        <v>12870</v>
      </c>
      <c r="F52" s="777"/>
      <c r="G52" s="777"/>
      <c r="H52" s="166">
        <f t="shared" si="4"/>
        <v>0</v>
      </c>
      <c r="I52" s="777"/>
      <c r="K52" s="779" t="str">
        <f t="shared" si="3"/>
        <v xml:space="preserve">Insurance </v>
      </c>
      <c r="L52" s="779"/>
      <c r="N52" s="775" t="s">
        <v>173</v>
      </c>
      <c r="O52" s="776">
        <v>5601</v>
      </c>
    </row>
    <row r="53" spans="1:15" x14ac:dyDescent="0.2">
      <c r="A53" s="775" t="s">
        <v>478</v>
      </c>
      <c r="B53" s="776">
        <v>5301</v>
      </c>
      <c r="C53" s="777"/>
      <c r="D53" s="777"/>
      <c r="E53" s="777">
        <v>15418</v>
      </c>
      <c r="F53" s="777"/>
      <c r="G53" s="777"/>
      <c r="H53" s="166">
        <f t="shared" si="4"/>
        <v>0</v>
      </c>
      <c r="I53" s="777"/>
      <c r="K53" s="779" t="str">
        <f t="shared" si="3"/>
        <v xml:space="preserve">Property Taxes </v>
      </c>
      <c r="L53" s="779"/>
      <c r="N53" s="775" t="s">
        <v>479</v>
      </c>
      <c r="O53" s="776">
        <v>5000</v>
      </c>
    </row>
    <row r="54" spans="1:15" x14ac:dyDescent="0.2">
      <c r="A54" s="775" t="s">
        <v>480</v>
      </c>
      <c r="B54" s="776">
        <v>5302</v>
      </c>
      <c r="C54" s="777"/>
      <c r="D54" s="777"/>
      <c r="E54" s="777">
        <v>150</v>
      </c>
      <c r="F54" s="777"/>
      <c r="G54" s="777"/>
      <c r="H54" s="166">
        <f t="shared" si="4"/>
        <v>0</v>
      </c>
      <c r="I54" s="777"/>
      <c r="K54" s="779" t="str">
        <f t="shared" si="3"/>
        <v>LLC/LP Tax</v>
      </c>
      <c r="L54" s="779"/>
    </row>
    <row r="55" spans="1:15" x14ac:dyDescent="0.2">
      <c r="A55" s="778" t="s">
        <v>481</v>
      </c>
      <c r="B55" s="776">
        <v>5304</v>
      </c>
      <c r="C55" s="777"/>
      <c r="D55" s="777"/>
      <c r="E55" s="777">
        <v>2860</v>
      </c>
      <c r="F55" s="777"/>
      <c r="G55" s="777"/>
      <c r="H55" s="166">
        <f t="shared" si="4"/>
        <v>0</v>
      </c>
      <c r="I55" s="777"/>
      <c r="K55" s="779" t="str">
        <f t="shared" si="3"/>
        <v>Licenses and Permits</v>
      </c>
      <c r="L55" s="779"/>
      <c r="N55" s="167" t="s">
        <v>452</v>
      </c>
      <c r="O55" s="168">
        <v>5701</v>
      </c>
    </row>
    <row r="56" spans="1:15" x14ac:dyDescent="0.2">
      <c r="A56" s="778"/>
      <c r="B56" s="776"/>
      <c r="C56" s="777"/>
      <c r="D56" s="777"/>
      <c r="E56" s="777"/>
      <c r="F56" s="777"/>
      <c r="G56" s="777"/>
      <c r="H56" s="166">
        <f t="shared" si="4"/>
        <v>0</v>
      </c>
      <c r="I56" s="777"/>
      <c r="K56" s="779" t="e">
        <f t="shared" si="3"/>
        <v>#N/A</v>
      </c>
      <c r="L56" s="779"/>
      <c r="N56" s="775" t="s">
        <v>154</v>
      </c>
      <c r="O56" s="776">
        <v>5305</v>
      </c>
    </row>
    <row r="57" spans="1:15" x14ac:dyDescent="0.2">
      <c r="A57" s="778" t="s">
        <v>482</v>
      </c>
      <c r="B57" s="776">
        <v>5001</v>
      </c>
      <c r="C57" s="777"/>
      <c r="D57" s="777"/>
      <c r="E57" s="777"/>
      <c r="F57" s="777">
        <v>0</v>
      </c>
      <c r="G57" s="777"/>
      <c r="H57" s="166">
        <f t="shared" si="4"/>
        <v>0</v>
      </c>
      <c r="I57" s="777"/>
      <c r="K57" s="779" t="str">
        <f t="shared" si="3"/>
        <v>Advertising</v>
      </c>
      <c r="L57" s="779"/>
      <c r="N57" s="775" t="s">
        <v>155</v>
      </c>
      <c r="O57" s="776">
        <v>5306</v>
      </c>
    </row>
    <row r="58" spans="1:15" x14ac:dyDescent="0.2">
      <c r="A58" s="778" t="s">
        <v>483</v>
      </c>
      <c r="B58" s="776">
        <v>5062</v>
      </c>
      <c r="C58" s="777"/>
      <c r="D58" s="777"/>
      <c r="E58" s="777"/>
      <c r="F58" s="777">
        <v>18665.7</v>
      </c>
      <c r="G58" s="777"/>
      <c r="H58" s="166">
        <f t="shared" si="4"/>
        <v>0</v>
      </c>
      <c r="I58" s="777"/>
      <c r="K58" s="779" t="str">
        <f t="shared" si="3"/>
        <v>Legal Expenses</v>
      </c>
      <c r="L58" s="779"/>
      <c r="N58" s="775" t="s">
        <v>156</v>
      </c>
      <c r="O58" s="776">
        <v>5404</v>
      </c>
    </row>
    <row r="59" spans="1:15" x14ac:dyDescent="0.2">
      <c r="A59" s="778" t="s">
        <v>484</v>
      </c>
      <c r="B59" s="776">
        <v>5000</v>
      </c>
      <c r="C59" s="777"/>
      <c r="D59" s="777"/>
      <c r="E59" s="777"/>
      <c r="F59" s="777">
        <v>27649.23</v>
      </c>
      <c r="G59" s="777"/>
      <c r="H59" s="166">
        <f t="shared" si="4"/>
        <v>0</v>
      </c>
      <c r="I59" s="777"/>
      <c r="K59" s="779" t="str">
        <f t="shared" si="3"/>
        <v>Professional Mgmt ($2,000/mo or 5%)</v>
      </c>
      <c r="L59" s="779"/>
      <c r="N59" s="775" t="s">
        <v>157</v>
      </c>
      <c r="O59" s="776">
        <v>5401</v>
      </c>
    </row>
    <row r="60" spans="1:15" x14ac:dyDescent="0.2">
      <c r="A60" s="778" t="s">
        <v>485</v>
      </c>
      <c r="B60" s="776">
        <v>5601</v>
      </c>
      <c r="C60" s="777"/>
      <c r="D60" s="777"/>
      <c r="E60" s="777"/>
      <c r="F60" s="777">
        <v>4510.2299999999996</v>
      </c>
      <c r="G60" s="777"/>
      <c r="H60" s="166">
        <f t="shared" si="4"/>
        <v>0</v>
      </c>
      <c r="I60" s="777"/>
      <c r="K60" s="779" t="str">
        <f t="shared" si="3"/>
        <v>Office Supplies, Postage, Pager, Printing, dues, subscr, Misc.</v>
      </c>
      <c r="L60" s="779"/>
      <c r="N60" s="775" t="s">
        <v>143</v>
      </c>
      <c r="O60" s="776">
        <v>5405</v>
      </c>
    </row>
    <row r="61" spans="1:15" x14ac:dyDescent="0.2">
      <c r="A61" s="778" t="s">
        <v>456</v>
      </c>
      <c r="B61" s="776">
        <v>5601</v>
      </c>
      <c r="C61" s="777"/>
      <c r="D61" s="777"/>
      <c r="E61" s="777"/>
      <c r="F61" s="777">
        <v>549.26</v>
      </c>
      <c r="G61" s="777"/>
      <c r="H61" s="166">
        <f t="shared" si="4"/>
        <v>0</v>
      </c>
      <c r="I61" s="777"/>
      <c r="K61" s="779" t="str">
        <f t="shared" si="3"/>
        <v>Office Supplies, Postage, Pager, Printing, dues, subscr, Misc.</v>
      </c>
      <c r="L61" s="779"/>
      <c r="N61" s="775" t="s">
        <v>158</v>
      </c>
      <c r="O61" s="776">
        <v>5403</v>
      </c>
    </row>
    <row r="62" spans="1:15" x14ac:dyDescent="0.2">
      <c r="A62" s="778" t="s">
        <v>486</v>
      </c>
      <c r="B62" s="776">
        <v>5603</v>
      </c>
      <c r="C62" s="777"/>
      <c r="D62" s="777"/>
      <c r="E62" s="777"/>
      <c r="F62" s="777">
        <v>1148.28</v>
      </c>
      <c r="G62" s="777"/>
      <c r="H62" s="166">
        <f t="shared" si="4"/>
        <v>0</v>
      </c>
      <c r="I62" s="777"/>
      <c r="K62" s="779" t="str">
        <f t="shared" si="3"/>
        <v xml:space="preserve">Phone/Cable </v>
      </c>
      <c r="L62" s="779"/>
      <c r="N62" s="775" t="s">
        <v>159</v>
      </c>
      <c r="O62" s="776">
        <v>5402</v>
      </c>
    </row>
    <row r="63" spans="1:15" x14ac:dyDescent="0.2">
      <c r="A63" s="778" t="s">
        <v>487</v>
      </c>
      <c r="B63" s="776">
        <v>5701</v>
      </c>
      <c r="C63" s="777"/>
      <c r="D63" s="777"/>
      <c r="E63" s="777"/>
      <c r="F63" s="777">
        <v>33459.599999999999</v>
      </c>
      <c r="G63" s="777"/>
      <c r="H63" s="166">
        <f t="shared" si="4"/>
        <v>0</v>
      </c>
      <c r="I63" s="777"/>
      <c r="K63" s="779" t="str">
        <f t="shared" si="3"/>
        <v>Manager/Maint Salary Expense</v>
      </c>
      <c r="L63" s="779"/>
      <c r="N63" s="775" t="s">
        <v>160</v>
      </c>
      <c r="O63" s="776">
        <v>5603</v>
      </c>
    </row>
    <row r="64" spans="1:15" x14ac:dyDescent="0.2">
      <c r="A64" s="778" t="s">
        <v>488</v>
      </c>
      <c r="B64" s="776">
        <v>5104</v>
      </c>
      <c r="C64" s="777"/>
      <c r="D64" s="777"/>
      <c r="E64" s="777"/>
      <c r="F64" s="777">
        <v>3043.21</v>
      </c>
      <c r="G64" s="777"/>
      <c r="H64" s="166">
        <f t="shared" si="4"/>
        <v>0</v>
      </c>
      <c r="I64" s="777"/>
      <c r="K64" s="779" t="str">
        <f t="shared" si="3"/>
        <v>Repairs &amp; Maintenance / Capex Reserve</v>
      </c>
      <c r="L64" s="779"/>
      <c r="N64" s="775" t="s">
        <v>161</v>
      </c>
      <c r="O64" s="776">
        <v>5020</v>
      </c>
    </row>
    <row r="65" spans="1:15" x14ac:dyDescent="0.2">
      <c r="A65" s="778" t="s">
        <v>489</v>
      </c>
      <c r="B65" s="776">
        <v>5104</v>
      </c>
      <c r="C65" s="777"/>
      <c r="D65" s="777"/>
      <c r="E65" s="777"/>
      <c r="F65" s="777">
        <v>2594.9299999999998</v>
      </c>
      <c r="G65" s="777"/>
      <c r="H65" s="166">
        <f t="shared" si="4"/>
        <v>0</v>
      </c>
      <c r="I65" s="777"/>
      <c r="K65" s="779" t="str">
        <f t="shared" si="3"/>
        <v>Repairs &amp; Maintenance / Capex Reserve</v>
      </c>
      <c r="L65" s="779"/>
      <c r="N65" s="775" t="s">
        <v>464</v>
      </c>
      <c r="O65" s="776">
        <v>5104</v>
      </c>
    </row>
    <row r="66" spans="1:15" x14ac:dyDescent="0.2">
      <c r="A66" s="778" t="s">
        <v>490</v>
      </c>
      <c r="B66" s="776">
        <v>5104</v>
      </c>
      <c r="C66" s="777"/>
      <c r="D66" s="777"/>
      <c r="E66" s="777"/>
      <c r="F66" s="777">
        <v>7885.28</v>
      </c>
      <c r="G66" s="777"/>
      <c r="H66" s="166">
        <f t="shared" si="4"/>
        <v>0</v>
      </c>
      <c r="I66" s="777"/>
      <c r="K66" s="779" t="str">
        <f t="shared" si="3"/>
        <v>Repairs &amp; Maintenance / Capex Reserve</v>
      </c>
      <c r="L66" s="779"/>
      <c r="N66" s="775" t="s">
        <v>162</v>
      </c>
      <c r="O66" s="776">
        <v>5109</v>
      </c>
    </row>
    <row r="67" spans="1:15" x14ac:dyDescent="0.2">
      <c r="A67" s="778" t="s">
        <v>491</v>
      </c>
      <c r="B67" s="776">
        <v>5200</v>
      </c>
      <c r="C67" s="777"/>
      <c r="D67" s="777"/>
      <c r="E67" s="777"/>
      <c r="F67" s="777">
        <v>8459.7900000000009</v>
      </c>
      <c r="G67" s="777"/>
      <c r="H67" s="166">
        <f t="shared" si="4"/>
        <v>0</v>
      </c>
      <c r="I67" s="777"/>
      <c r="K67" s="779" t="str">
        <f t="shared" si="3"/>
        <v>Landscape, pool, &amp; sweeping maintenance &amp; supplies</v>
      </c>
      <c r="L67" s="779"/>
      <c r="N67" s="775" t="s">
        <v>163</v>
      </c>
      <c r="O67" s="776">
        <v>5200</v>
      </c>
    </row>
    <row r="68" spans="1:15" x14ac:dyDescent="0.2">
      <c r="A68" s="778" t="s">
        <v>492</v>
      </c>
      <c r="B68" s="776">
        <v>5200</v>
      </c>
      <c r="C68" s="777"/>
      <c r="D68" s="777"/>
      <c r="E68" s="777"/>
      <c r="F68" s="777">
        <v>1165.03</v>
      </c>
      <c r="G68" s="777"/>
      <c r="H68" s="166">
        <f t="shared" si="4"/>
        <v>0</v>
      </c>
      <c r="I68" s="777"/>
      <c r="K68" s="779" t="str">
        <f t="shared" si="3"/>
        <v>Landscape, pool, &amp; sweeping maintenance &amp; supplies</v>
      </c>
      <c r="L68" s="779"/>
      <c r="N68" s="775" t="s">
        <v>412</v>
      </c>
      <c r="O68" s="776">
        <v>5301</v>
      </c>
    </row>
    <row r="69" spans="1:15" x14ac:dyDescent="0.2">
      <c r="A69" s="778" t="s">
        <v>493</v>
      </c>
      <c r="B69" s="776">
        <v>5104</v>
      </c>
      <c r="C69" s="777"/>
      <c r="D69" s="777"/>
      <c r="E69" s="777"/>
      <c r="F69" s="777">
        <v>8066.85</v>
      </c>
      <c r="G69" s="777"/>
      <c r="H69" s="166">
        <f t="shared" si="4"/>
        <v>0</v>
      </c>
      <c r="I69" s="777"/>
      <c r="K69" s="779" t="str">
        <f t="shared" si="3"/>
        <v>Repairs &amp; Maintenance / Capex Reserve</v>
      </c>
      <c r="L69" s="779"/>
      <c r="N69" s="775" t="s">
        <v>165</v>
      </c>
      <c r="O69" s="776">
        <v>5053</v>
      </c>
    </row>
    <row r="70" spans="1:15" x14ac:dyDescent="0.2">
      <c r="A70" s="778" t="s">
        <v>494</v>
      </c>
      <c r="B70" s="776">
        <v>5109</v>
      </c>
      <c r="C70" s="777"/>
      <c r="D70" s="777"/>
      <c r="E70" s="777"/>
      <c r="F70" s="777">
        <v>1224.76</v>
      </c>
      <c r="G70" s="777"/>
      <c r="H70" s="166">
        <f t="shared" si="4"/>
        <v>0</v>
      </c>
      <c r="I70" s="777"/>
      <c r="K70" s="779" t="str">
        <f t="shared" si="3"/>
        <v>Outside Services -plumbing, electrical, etc</v>
      </c>
      <c r="L70" s="779"/>
      <c r="N70" s="775" t="s">
        <v>470</v>
      </c>
      <c r="O70" s="776">
        <v>5604</v>
      </c>
    </row>
    <row r="71" spans="1:15" x14ac:dyDescent="0.2">
      <c r="A71" s="778" t="s">
        <v>495</v>
      </c>
      <c r="B71" s="776">
        <v>5020</v>
      </c>
      <c r="C71" s="777"/>
      <c r="D71" s="777"/>
      <c r="E71" s="777"/>
      <c r="F71" s="777">
        <v>3647.57</v>
      </c>
      <c r="G71" s="777"/>
      <c r="H71" s="166">
        <f t="shared" si="4"/>
        <v>0</v>
      </c>
      <c r="I71" s="777"/>
      <c r="K71" s="779" t="str">
        <f t="shared" si="3"/>
        <v>Auto expense &amp; travel</v>
      </c>
      <c r="L71" s="779"/>
      <c r="N71" s="775" t="s">
        <v>167</v>
      </c>
      <c r="O71" s="776">
        <v>5062</v>
      </c>
    </row>
    <row r="72" spans="1:15" x14ac:dyDescent="0.2">
      <c r="A72" s="778" t="s">
        <v>496</v>
      </c>
      <c r="B72" s="776">
        <v>5109</v>
      </c>
      <c r="C72" s="777"/>
      <c r="D72" s="777"/>
      <c r="E72" s="777"/>
      <c r="F72" s="777">
        <v>7015.92</v>
      </c>
      <c r="G72" s="777"/>
      <c r="H72" s="166">
        <f t="shared" si="4"/>
        <v>0</v>
      </c>
      <c r="I72" s="777"/>
      <c r="K72" s="779" t="str">
        <f t="shared" si="3"/>
        <v>Outside Services -plumbing, electrical, etc</v>
      </c>
      <c r="L72" s="779"/>
      <c r="N72" s="775" t="s">
        <v>168</v>
      </c>
      <c r="O72" s="776">
        <v>5302</v>
      </c>
    </row>
    <row r="73" spans="1:15" x14ac:dyDescent="0.2">
      <c r="A73" s="778" t="s">
        <v>156</v>
      </c>
      <c r="B73" s="776">
        <v>5404</v>
      </c>
      <c r="C73" s="777"/>
      <c r="D73" s="777"/>
      <c r="E73" s="777"/>
      <c r="F73" s="777">
        <v>19850.37</v>
      </c>
      <c r="G73" s="777"/>
      <c r="H73" s="166">
        <f t="shared" si="4"/>
        <v>0</v>
      </c>
      <c r="I73" s="777"/>
      <c r="K73" s="779" t="str">
        <f t="shared" si="3"/>
        <v>Electric</v>
      </c>
      <c r="L73" s="779"/>
      <c r="N73" s="775" t="s">
        <v>169</v>
      </c>
      <c r="O73" s="776">
        <v>5001</v>
      </c>
    </row>
    <row r="74" spans="1:15" x14ac:dyDescent="0.2">
      <c r="A74" s="778" t="s">
        <v>497</v>
      </c>
      <c r="B74" s="776">
        <v>5401</v>
      </c>
      <c r="C74" s="777"/>
      <c r="D74" s="777"/>
      <c r="E74" s="777"/>
      <c r="F74" s="777">
        <v>64321.55</v>
      </c>
      <c r="G74" s="777"/>
      <c r="H74" s="166">
        <f t="shared" si="4"/>
        <v>0</v>
      </c>
      <c r="I74" s="777"/>
      <c r="K74" s="779" t="str">
        <f t="shared" si="3"/>
        <v>Gas</v>
      </c>
      <c r="L74" s="779"/>
      <c r="N74" s="775" t="s">
        <v>170</v>
      </c>
      <c r="O74" s="776">
        <v>5061</v>
      </c>
    </row>
    <row r="75" spans="1:15" x14ac:dyDescent="0.2">
      <c r="A75" s="778" t="s">
        <v>498</v>
      </c>
      <c r="B75" s="776">
        <v>5402</v>
      </c>
      <c r="C75" s="777"/>
      <c r="D75" s="777"/>
      <c r="E75" s="777"/>
      <c r="F75" s="777">
        <v>34340.129999999997</v>
      </c>
      <c r="G75" s="777"/>
      <c r="H75" s="166">
        <f t="shared" si="4"/>
        <v>0</v>
      </c>
      <c r="I75" s="777"/>
      <c r="K75" s="779" t="str">
        <f t="shared" si="3"/>
        <v xml:space="preserve">Water </v>
      </c>
      <c r="L75" s="779"/>
      <c r="N75" s="775" t="s">
        <v>171</v>
      </c>
      <c r="O75" s="776">
        <v>5304</v>
      </c>
    </row>
    <row r="76" spans="1:15" x14ac:dyDescent="0.2">
      <c r="A76" s="778" t="s">
        <v>499</v>
      </c>
      <c r="B76" s="776">
        <v>5402</v>
      </c>
      <c r="C76" s="777"/>
      <c r="D76" s="777"/>
      <c r="E76" s="777"/>
      <c r="F76" s="777">
        <v>0</v>
      </c>
      <c r="G76" s="777"/>
      <c r="H76" s="166">
        <f t="shared" si="4"/>
        <v>0</v>
      </c>
      <c r="I76" s="777"/>
      <c r="K76" s="779" t="str">
        <f t="shared" si="3"/>
        <v xml:space="preserve">Water </v>
      </c>
      <c r="L76" s="779"/>
      <c r="N76" s="775" t="s">
        <v>172</v>
      </c>
      <c r="O76" s="776">
        <v>5064</v>
      </c>
    </row>
    <row r="77" spans="1:15" x14ac:dyDescent="0.2">
      <c r="A77" s="778" t="s">
        <v>500</v>
      </c>
      <c r="B77" s="776">
        <v>5403</v>
      </c>
      <c r="C77" s="777"/>
      <c r="D77" s="777"/>
      <c r="E77" s="777"/>
      <c r="F77" s="777">
        <v>8298.1</v>
      </c>
      <c r="G77" s="777"/>
      <c r="H77" s="166">
        <f t="shared" si="4"/>
        <v>0</v>
      </c>
      <c r="I77" s="777"/>
      <c r="K77" s="779" t="str">
        <f t="shared" si="3"/>
        <v>Sewer-septic</v>
      </c>
      <c r="L77" s="779"/>
      <c r="N77" s="775" t="s">
        <v>173</v>
      </c>
      <c r="O77" s="776">
        <v>5601</v>
      </c>
    </row>
    <row r="78" spans="1:15" x14ac:dyDescent="0.2">
      <c r="A78" s="778" t="s">
        <v>501</v>
      </c>
      <c r="B78" s="776">
        <v>5405</v>
      </c>
      <c r="C78" s="777"/>
      <c r="D78" s="777"/>
      <c r="E78" s="777"/>
      <c r="F78" s="777">
        <v>29432.37</v>
      </c>
      <c r="G78" s="777"/>
      <c r="H78" s="166">
        <f t="shared" si="4"/>
        <v>0</v>
      </c>
      <c r="I78" s="777"/>
      <c r="K78" s="779" t="str">
        <f t="shared" si="3"/>
        <v>Trash</v>
      </c>
      <c r="L78" s="779"/>
      <c r="N78" s="775" t="s">
        <v>479</v>
      </c>
      <c r="O78" s="776">
        <v>5000</v>
      </c>
    </row>
    <row r="79" spans="1:15" x14ac:dyDescent="0.2">
      <c r="A79" s="778" t="s">
        <v>502</v>
      </c>
      <c r="B79" s="776">
        <v>5053</v>
      </c>
      <c r="C79" s="777"/>
      <c r="D79" s="777"/>
      <c r="E79" s="777"/>
      <c r="F79" s="777">
        <v>13443.8</v>
      </c>
      <c r="G79" s="777"/>
      <c r="H79" s="166">
        <f t="shared" si="4"/>
        <v>0</v>
      </c>
      <c r="I79" s="777"/>
      <c r="K79" s="779" t="str">
        <f t="shared" si="3"/>
        <v xml:space="preserve">Insurance </v>
      </c>
      <c r="L79" s="779"/>
    </row>
    <row r="80" spans="1:15" x14ac:dyDescent="0.2">
      <c r="A80" s="778" t="s">
        <v>503</v>
      </c>
      <c r="B80" s="776">
        <v>5301</v>
      </c>
      <c r="C80" s="777"/>
      <c r="D80" s="777"/>
      <c r="E80" s="777"/>
      <c r="F80" s="777">
        <v>15418.68</v>
      </c>
      <c r="G80" s="777"/>
      <c r="H80" s="166">
        <f t="shared" si="4"/>
        <v>0</v>
      </c>
      <c r="I80" s="777"/>
      <c r="K80" s="779" t="str">
        <f t="shared" si="3"/>
        <v xml:space="preserve">Property Taxes </v>
      </c>
      <c r="L80" s="779"/>
      <c r="N80" s="167" t="s">
        <v>452</v>
      </c>
      <c r="O80" s="168">
        <v>5701</v>
      </c>
    </row>
    <row r="81" spans="1:15" x14ac:dyDescent="0.2">
      <c r="A81" s="778" t="s">
        <v>504</v>
      </c>
      <c r="B81" s="776">
        <v>5302</v>
      </c>
      <c r="C81" s="777"/>
      <c r="D81" s="777"/>
      <c r="E81" s="777"/>
      <c r="F81" s="777">
        <v>150</v>
      </c>
      <c r="G81" s="777"/>
      <c r="H81" s="166">
        <f t="shared" si="4"/>
        <v>0</v>
      </c>
      <c r="I81" s="777"/>
      <c r="K81" s="779" t="str">
        <f t="shared" si="3"/>
        <v>LLC/LP Tax</v>
      </c>
      <c r="L81" s="779"/>
      <c r="N81" s="775" t="s">
        <v>154</v>
      </c>
      <c r="O81" s="776">
        <v>5305</v>
      </c>
    </row>
    <row r="82" spans="1:15" x14ac:dyDescent="0.2">
      <c r="A82" s="775" t="s">
        <v>505</v>
      </c>
      <c r="B82" s="776">
        <v>5304</v>
      </c>
      <c r="C82" s="777"/>
      <c r="D82" s="777"/>
      <c r="E82" s="777"/>
      <c r="F82" s="777">
        <v>2810.47</v>
      </c>
      <c r="G82" s="777"/>
      <c r="H82" s="166">
        <f t="shared" si="4"/>
        <v>0</v>
      </c>
      <c r="I82" s="777"/>
      <c r="K82" s="779" t="str">
        <f t="shared" si="3"/>
        <v>Licenses and Permits</v>
      </c>
      <c r="L82" s="779"/>
      <c r="N82" s="775" t="s">
        <v>155</v>
      </c>
      <c r="O82" s="776">
        <v>5306</v>
      </c>
    </row>
    <row r="83" spans="1:15" x14ac:dyDescent="0.2">
      <c r="A83" s="775"/>
      <c r="B83" s="776"/>
      <c r="C83" s="777"/>
      <c r="D83" s="777"/>
      <c r="E83" s="777"/>
      <c r="F83" s="777"/>
      <c r="G83" s="777"/>
      <c r="H83" s="166">
        <f t="shared" si="4"/>
        <v>0</v>
      </c>
      <c r="I83" s="777"/>
      <c r="K83" s="779" t="e">
        <f t="shared" si="3"/>
        <v>#N/A</v>
      </c>
      <c r="L83" s="779"/>
      <c r="N83" s="775" t="s">
        <v>156</v>
      </c>
      <c r="O83" s="776">
        <v>5404</v>
      </c>
    </row>
    <row r="84" spans="1:15" x14ac:dyDescent="0.2">
      <c r="A84" s="775"/>
      <c r="B84" s="776"/>
      <c r="C84" s="777"/>
      <c r="D84" s="777"/>
      <c r="E84" s="777"/>
      <c r="F84" s="777"/>
      <c r="G84" s="777"/>
      <c r="H84" s="166">
        <f t="shared" si="4"/>
        <v>0</v>
      </c>
      <c r="I84" s="777"/>
      <c r="K84" s="779" t="e">
        <f t="shared" si="3"/>
        <v>#N/A</v>
      </c>
      <c r="L84" s="779"/>
      <c r="N84" s="775" t="s">
        <v>157</v>
      </c>
      <c r="O84" s="776">
        <v>5401</v>
      </c>
    </row>
    <row r="85" spans="1:15" x14ac:dyDescent="0.2">
      <c r="A85" s="775"/>
      <c r="B85" s="776"/>
      <c r="C85" s="777"/>
      <c r="D85" s="777"/>
      <c r="E85" s="777"/>
      <c r="F85" s="777"/>
      <c r="G85" s="777"/>
      <c r="H85" s="166">
        <f t="shared" si="4"/>
        <v>0</v>
      </c>
      <c r="I85" s="777"/>
      <c r="K85" s="779" t="e">
        <f t="shared" si="3"/>
        <v>#N/A</v>
      </c>
      <c r="L85" s="779"/>
      <c r="N85" s="775" t="s">
        <v>143</v>
      </c>
      <c r="O85" s="776">
        <v>5405</v>
      </c>
    </row>
    <row r="86" spans="1:15" x14ac:dyDescent="0.2">
      <c r="A86" s="775"/>
      <c r="B86" s="776"/>
      <c r="C86" s="777"/>
      <c r="D86" s="777"/>
      <c r="E86" s="777"/>
      <c r="F86" s="777"/>
      <c r="G86" s="777"/>
      <c r="H86" s="166">
        <f t="shared" si="4"/>
        <v>0</v>
      </c>
      <c r="I86" s="777"/>
      <c r="K86" s="779" t="e">
        <f t="shared" si="3"/>
        <v>#N/A</v>
      </c>
      <c r="L86" s="779"/>
      <c r="N86" s="775" t="s">
        <v>158</v>
      </c>
      <c r="O86" s="776">
        <v>5403</v>
      </c>
    </row>
    <row r="87" spans="1:15" x14ac:dyDescent="0.2">
      <c r="A87" s="775"/>
      <c r="B87" s="776"/>
      <c r="C87" s="777"/>
      <c r="D87" s="777"/>
      <c r="E87" s="777"/>
      <c r="F87" s="777"/>
      <c r="G87" s="777"/>
      <c r="H87" s="166">
        <f t="shared" si="4"/>
        <v>0</v>
      </c>
      <c r="I87" s="777"/>
      <c r="K87" s="779" t="e">
        <f t="shared" si="3"/>
        <v>#N/A</v>
      </c>
      <c r="L87" s="779"/>
      <c r="N87" s="775" t="s">
        <v>159</v>
      </c>
      <c r="O87" s="776">
        <v>5402</v>
      </c>
    </row>
    <row r="88" spans="1:15" x14ac:dyDescent="0.2">
      <c r="A88" s="775"/>
      <c r="B88" s="776"/>
      <c r="C88" s="777"/>
      <c r="D88" s="777"/>
      <c r="E88" s="777"/>
      <c r="F88" s="777"/>
      <c r="G88" s="777"/>
      <c r="H88" s="166">
        <f t="shared" si="4"/>
        <v>0</v>
      </c>
      <c r="I88" s="777"/>
      <c r="K88" s="779" t="e">
        <f t="shared" si="3"/>
        <v>#N/A</v>
      </c>
      <c r="L88" s="779"/>
      <c r="N88" s="775" t="s">
        <v>160</v>
      </c>
      <c r="O88" s="776">
        <v>5603</v>
      </c>
    </row>
    <row r="89" spans="1:15" x14ac:dyDescent="0.2">
      <c r="A89" s="775"/>
      <c r="B89" s="776"/>
      <c r="C89" s="777"/>
      <c r="D89" s="777"/>
      <c r="E89" s="777"/>
      <c r="F89" s="777"/>
      <c r="G89" s="777"/>
      <c r="H89" s="166">
        <f t="shared" si="4"/>
        <v>0</v>
      </c>
      <c r="I89" s="777"/>
      <c r="K89" s="779" t="e">
        <f t="shared" si="3"/>
        <v>#N/A</v>
      </c>
      <c r="L89" s="779"/>
      <c r="N89" s="775" t="s">
        <v>161</v>
      </c>
      <c r="O89" s="776">
        <v>5020</v>
      </c>
    </row>
    <row r="90" spans="1:15" x14ac:dyDescent="0.2">
      <c r="A90" s="775"/>
      <c r="B90" s="776"/>
      <c r="C90" s="777"/>
      <c r="D90" s="777"/>
      <c r="E90" s="777"/>
      <c r="F90" s="777"/>
      <c r="G90" s="777"/>
      <c r="H90" s="166">
        <f t="shared" si="4"/>
        <v>0</v>
      </c>
      <c r="I90" s="777"/>
      <c r="K90" s="779" t="e">
        <f t="shared" si="3"/>
        <v>#N/A</v>
      </c>
      <c r="L90" s="779"/>
      <c r="N90" s="775" t="s">
        <v>464</v>
      </c>
      <c r="O90" s="776">
        <v>5104</v>
      </c>
    </row>
    <row r="91" spans="1:15" x14ac:dyDescent="0.2">
      <c r="A91" s="775"/>
      <c r="B91" s="776"/>
      <c r="C91" s="777"/>
      <c r="D91" s="777"/>
      <c r="E91" s="777"/>
      <c r="F91" s="777"/>
      <c r="G91" s="777"/>
      <c r="H91" s="166">
        <f t="shared" si="4"/>
        <v>0</v>
      </c>
      <c r="I91" s="777"/>
      <c r="K91" s="779" t="e">
        <f t="shared" si="3"/>
        <v>#N/A</v>
      </c>
      <c r="L91" s="779"/>
      <c r="N91" s="775" t="s">
        <v>162</v>
      </c>
      <c r="O91" s="776">
        <v>5109</v>
      </c>
    </row>
    <row r="92" spans="1:15" x14ac:dyDescent="0.2">
      <c r="A92" s="775"/>
      <c r="B92" s="776"/>
      <c r="C92" s="777"/>
      <c r="D92" s="777"/>
      <c r="E92" s="777"/>
      <c r="F92" s="777"/>
      <c r="G92" s="777"/>
      <c r="H92" s="166">
        <f t="shared" si="4"/>
        <v>0</v>
      </c>
      <c r="I92" s="777"/>
      <c r="K92" s="779" t="e">
        <f t="shared" si="3"/>
        <v>#N/A</v>
      </c>
      <c r="L92" s="779"/>
      <c r="N92" s="775" t="s">
        <v>163</v>
      </c>
      <c r="O92" s="776">
        <v>5200</v>
      </c>
    </row>
    <row r="93" spans="1:15" x14ac:dyDescent="0.2">
      <c r="A93" s="775"/>
      <c r="B93" s="776"/>
      <c r="C93" s="777"/>
      <c r="D93" s="777"/>
      <c r="E93" s="777"/>
      <c r="F93" s="777"/>
      <c r="G93" s="777"/>
      <c r="H93" s="166">
        <f t="shared" si="4"/>
        <v>0</v>
      </c>
      <c r="I93" s="777"/>
      <c r="K93" s="779" t="e">
        <f t="shared" si="3"/>
        <v>#N/A</v>
      </c>
      <c r="L93" s="779"/>
      <c r="N93" s="775" t="s">
        <v>412</v>
      </c>
      <c r="O93" s="776">
        <v>5301</v>
      </c>
    </row>
    <row r="94" spans="1:15" x14ac:dyDescent="0.2">
      <c r="A94" s="775"/>
      <c r="B94" s="776"/>
      <c r="C94" s="777"/>
      <c r="D94" s="777"/>
      <c r="E94" s="777"/>
      <c r="F94" s="777"/>
      <c r="G94" s="777"/>
      <c r="H94" s="166">
        <f t="shared" si="4"/>
        <v>0</v>
      </c>
      <c r="I94" s="777"/>
      <c r="K94" s="779" t="e">
        <f t="shared" si="3"/>
        <v>#N/A</v>
      </c>
      <c r="L94" s="779"/>
      <c r="N94" s="775" t="s">
        <v>165</v>
      </c>
      <c r="O94" s="776">
        <v>5053</v>
      </c>
    </row>
    <row r="95" spans="1:15" x14ac:dyDescent="0.2">
      <c r="A95" s="775"/>
      <c r="B95" s="776"/>
      <c r="C95" s="777"/>
      <c r="D95" s="777"/>
      <c r="E95" s="777"/>
      <c r="F95" s="777"/>
      <c r="G95" s="777"/>
      <c r="H95" s="166">
        <f t="shared" si="4"/>
        <v>0</v>
      </c>
      <c r="I95" s="777"/>
      <c r="K95" s="779" t="e">
        <f t="shared" si="3"/>
        <v>#N/A</v>
      </c>
      <c r="L95" s="779"/>
      <c r="N95" s="775" t="s">
        <v>470</v>
      </c>
      <c r="O95" s="776">
        <v>5604</v>
      </c>
    </row>
    <row r="96" spans="1:15" x14ac:dyDescent="0.2">
      <c r="A96" s="775"/>
      <c r="B96" s="776"/>
      <c r="C96" s="777"/>
      <c r="D96" s="777"/>
      <c r="E96" s="777"/>
      <c r="F96" s="777"/>
      <c r="G96" s="777"/>
      <c r="H96" s="166">
        <f t="shared" si="4"/>
        <v>0</v>
      </c>
      <c r="I96" s="777"/>
      <c r="K96" s="779" t="e">
        <f t="shared" si="3"/>
        <v>#N/A</v>
      </c>
      <c r="L96" s="779"/>
      <c r="N96" s="775" t="s">
        <v>167</v>
      </c>
      <c r="O96" s="776">
        <v>5062</v>
      </c>
    </row>
    <row r="97" spans="1:15" x14ac:dyDescent="0.2">
      <c r="A97" s="775"/>
      <c r="B97" s="776"/>
      <c r="C97" s="777"/>
      <c r="D97" s="777"/>
      <c r="E97" s="777"/>
      <c r="F97" s="777"/>
      <c r="G97" s="777"/>
      <c r="H97" s="166">
        <f t="shared" si="4"/>
        <v>0</v>
      </c>
      <c r="I97" s="777"/>
      <c r="K97" s="779" t="e">
        <f t="shared" si="3"/>
        <v>#N/A</v>
      </c>
      <c r="L97" s="779"/>
      <c r="N97" s="775" t="s">
        <v>168</v>
      </c>
      <c r="O97" s="776">
        <v>5302</v>
      </c>
    </row>
    <row r="98" spans="1:15" x14ac:dyDescent="0.2">
      <c r="A98" s="775"/>
      <c r="B98" s="776"/>
      <c r="C98" s="777"/>
      <c r="D98" s="777"/>
      <c r="E98" s="777"/>
      <c r="F98" s="777"/>
      <c r="G98" s="777"/>
      <c r="H98" s="166">
        <f t="shared" si="4"/>
        <v>0</v>
      </c>
      <c r="I98" s="777"/>
      <c r="K98" s="779" t="e">
        <f t="shared" si="3"/>
        <v>#N/A</v>
      </c>
      <c r="L98" s="779"/>
      <c r="N98" s="775" t="s">
        <v>169</v>
      </c>
      <c r="O98" s="776">
        <v>5001</v>
      </c>
    </row>
    <row r="99" spans="1:15" x14ac:dyDescent="0.2">
      <c r="A99" s="775"/>
      <c r="B99" s="776"/>
      <c r="C99" s="777"/>
      <c r="D99" s="777"/>
      <c r="E99" s="777"/>
      <c r="F99" s="777"/>
      <c r="G99" s="777"/>
      <c r="H99" s="166">
        <f t="shared" si="4"/>
        <v>0</v>
      </c>
      <c r="I99" s="777"/>
      <c r="K99" s="779" t="e">
        <f t="shared" si="3"/>
        <v>#N/A</v>
      </c>
      <c r="L99" s="779"/>
      <c r="N99" s="775" t="s">
        <v>170</v>
      </c>
      <c r="O99" s="776">
        <v>5061</v>
      </c>
    </row>
    <row r="100" spans="1:15" x14ac:dyDescent="0.2">
      <c r="A100" s="775"/>
      <c r="B100" s="776"/>
      <c r="C100" s="777"/>
      <c r="D100" s="777"/>
      <c r="E100" s="777"/>
      <c r="F100" s="777"/>
      <c r="G100" s="777"/>
      <c r="H100" s="166">
        <f t="shared" si="4"/>
        <v>0</v>
      </c>
      <c r="I100" s="777"/>
      <c r="K100" s="779" t="e">
        <f t="shared" si="3"/>
        <v>#N/A</v>
      </c>
      <c r="L100" s="779"/>
      <c r="N100" s="775" t="s">
        <v>171</v>
      </c>
      <c r="O100" s="776">
        <v>5304</v>
      </c>
    </row>
    <row r="101" spans="1:15" s="171" customFormat="1" x14ac:dyDescent="0.2">
      <c r="A101" s="171" t="s">
        <v>448</v>
      </c>
      <c r="B101" s="172"/>
      <c r="C101" s="173">
        <f>SUM(C30:C100)</f>
        <v>0</v>
      </c>
      <c r="D101" s="173">
        <f t="shared" ref="D101:I101" si="5">SUM(D30:D100)</f>
        <v>0</v>
      </c>
      <c r="E101" s="173">
        <f t="shared" si="5"/>
        <v>291503</v>
      </c>
      <c r="F101" s="173">
        <f t="shared" si="5"/>
        <v>317151.11</v>
      </c>
      <c r="G101" s="173">
        <f t="shared" si="5"/>
        <v>0</v>
      </c>
      <c r="H101" s="173">
        <f t="shared" si="5"/>
        <v>0</v>
      </c>
      <c r="I101" s="173">
        <f t="shared" si="5"/>
        <v>0</v>
      </c>
      <c r="N101" s="775" t="s">
        <v>172</v>
      </c>
      <c r="O101" s="776">
        <v>5064</v>
      </c>
    </row>
    <row r="102" spans="1:15" x14ac:dyDescent="0.2">
      <c r="N102" s="775" t="s">
        <v>173</v>
      </c>
      <c r="O102" s="776">
        <v>5601</v>
      </c>
    </row>
    <row r="103" spans="1:15" x14ac:dyDescent="0.2">
      <c r="N103" s="775" t="s">
        <v>479</v>
      </c>
      <c r="O103" s="776">
        <v>5000</v>
      </c>
    </row>
  </sheetData>
  <mergeCells count="4">
    <mergeCell ref="A1:L1"/>
    <mergeCell ref="A7:L7"/>
    <mergeCell ref="A27:L27"/>
    <mergeCell ref="O1:R1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033F9-CD85-4464-8D5C-662985727A34}">
  <sheetPr codeName="Sheet11">
    <tabColor rgb="FF7030A0"/>
  </sheetPr>
  <dimension ref="A1:U110"/>
  <sheetViews>
    <sheetView workbookViewId="0">
      <selection sqref="A1:N1"/>
    </sheetView>
  </sheetViews>
  <sheetFormatPr baseColWidth="10" defaultColWidth="9.1640625" defaultRowHeight="15" x14ac:dyDescent="0.2"/>
  <cols>
    <col min="1" max="1" width="53.6640625" style="152" bestFit="1" customWidth="1"/>
    <col min="2" max="2" width="10.33203125" style="152" bestFit="1" customWidth="1"/>
    <col min="3" max="3" width="9" style="152" bestFit="1" customWidth="1"/>
    <col min="4" max="5" width="11.83203125" style="152" bestFit="1" customWidth="1"/>
    <col min="6" max="6" width="15.33203125" style="152" bestFit="1" customWidth="1"/>
    <col min="7" max="7" width="16.5" style="152" bestFit="1" customWidth="1"/>
    <col min="8" max="8" width="18.5" style="152" bestFit="1" customWidth="1"/>
    <col min="9" max="10" width="18.5" style="152" customWidth="1"/>
    <col min="11" max="16384" width="9.1640625" style="152"/>
  </cols>
  <sheetData>
    <row r="1" spans="1:21" x14ac:dyDescent="0.2">
      <c r="A1" s="805" t="str">
        <f>"Historical Financial Analysis Summary - "&amp;'IE Data Entry'!B2</f>
        <v xml:space="preserve">Historical Financial Analysis Summary - </v>
      </c>
      <c r="B1" s="805"/>
      <c r="C1" s="805"/>
      <c r="D1" s="805"/>
      <c r="E1" s="805"/>
      <c r="F1" s="805"/>
      <c r="G1" s="805"/>
      <c r="H1" s="174"/>
      <c r="I1" s="174"/>
      <c r="J1" s="174"/>
      <c r="K1" s="175"/>
      <c r="L1" s="175"/>
      <c r="M1" s="175"/>
      <c r="N1" s="175"/>
      <c r="O1" s="175"/>
      <c r="P1" s="175"/>
      <c r="Q1" s="175"/>
      <c r="R1" s="175"/>
      <c r="S1" s="174"/>
      <c r="T1" s="174"/>
      <c r="U1" s="174"/>
    </row>
    <row r="2" spans="1:21" ht="9" customHeight="1" x14ac:dyDescent="0.2">
      <c r="A2" s="154"/>
      <c r="B2" s="154"/>
      <c r="C2" s="154"/>
      <c r="D2" s="154"/>
      <c r="E2" s="154"/>
      <c r="F2" s="154"/>
      <c r="G2" s="174"/>
      <c r="H2" s="174"/>
      <c r="I2" s="174"/>
      <c r="J2" s="174"/>
      <c r="K2" s="175"/>
      <c r="L2" s="175"/>
      <c r="M2" s="175"/>
      <c r="N2" s="175"/>
      <c r="O2" s="175"/>
      <c r="P2" s="175"/>
      <c r="Q2" s="175"/>
      <c r="R2" s="175"/>
      <c r="S2" s="174"/>
      <c r="T2" s="174"/>
      <c r="U2" s="174"/>
    </row>
    <row r="3" spans="1:21" x14ac:dyDescent="0.2">
      <c r="A3" s="815" t="s">
        <v>506</v>
      </c>
      <c r="B3" s="815"/>
      <c r="C3" s="815"/>
      <c r="D3" s="815"/>
      <c r="E3" s="815"/>
      <c r="F3" s="815"/>
      <c r="G3" s="815"/>
      <c r="H3" s="174"/>
      <c r="I3" s="174"/>
      <c r="J3" s="174"/>
      <c r="K3" s="175"/>
      <c r="L3" s="175"/>
      <c r="M3" s="175"/>
      <c r="N3" s="175"/>
      <c r="O3" s="175"/>
      <c r="P3" s="175"/>
      <c r="Q3" s="175"/>
      <c r="R3" s="175"/>
      <c r="S3" s="176"/>
      <c r="T3" s="174"/>
      <c r="U3" s="174"/>
    </row>
    <row r="4" spans="1:21" x14ac:dyDescent="0.2">
      <c r="A4" s="162"/>
      <c r="B4" s="163"/>
      <c r="C4" s="163"/>
      <c r="D4" s="163"/>
      <c r="E4" s="163"/>
      <c r="F4" s="819" t="str">
        <f>Current_Year&amp;" Annualized"</f>
        <v>2022 Annualized</v>
      </c>
      <c r="G4" s="819" t="s">
        <v>507</v>
      </c>
      <c r="H4" s="163" t="s">
        <v>406</v>
      </c>
      <c r="I4" s="583" t="s">
        <v>508</v>
      </c>
      <c r="J4" s="163"/>
      <c r="K4" s="175"/>
      <c r="L4" s="175"/>
      <c r="M4" s="175"/>
      <c r="N4" s="177"/>
      <c r="O4" s="175"/>
      <c r="P4" s="175"/>
      <c r="Q4" s="175"/>
      <c r="R4" s="175"/>
      <c r="S4" s="178"/>
      <c r="T4" s="174"/>
      <c r="U4" s="174"/>
    </row>
    <row r="5" spans="1:21" ht="16" thickBot="1" x14ac:dyDescent="0.25">
      <c r="A5" s="165" t="s">
        <v>509</v>
      </c>
      <c r="B5" s="164">
        <f>+B31</f>
        <v>2019</v>
      </c>
      <c r="C5" s="164">
        <f t="shared" ref="C5:E5" si="0">+C31</f>
        <v>2020</v>
      </c>
      <c r="D5" s="164">
        <f t="shared" si="0"/>
        <v>2021</v>
      </c>
      <c r="E5" s="164" t="str">
        <f t="shared" si="0"/>
        <v>Trailing 12</v>
      </c>
      <c r="F5" s="820"/>
      <c r="G5" s="820"/>
      <c r="H5" s="164" t="s">
        <v>432</v>
      </c>
      <c r="I5" s="584" t="s">
        <v>510</v>
      </c>
      <c r="J5" s="163"/>
      <c r="K5" s="175"/>
      <c r="L5" s="175"/>
      <c r="M5" s="175"/>
      <c r="N5" s="177"/>
      <c r="O5" s="175"/>
      <c r="P5" s="175"/>
      <c r="Q5" s="175"/>
      <c r="R5" s="175"/>
      <c r="S5" s="178"/>
      <c r="T5" s="174"/>
      <c r="U5" s="174"/>
    </row>
    <row r="6" spans="1:21" x14ac:dyDescent="0.2">
      <c r="A6" s="162" t="s">
        <v>511</v>
      </c>
      <c r="B6" s="163"/>
      <c r="C6" s="163"/>
      <c r="D6" s="163"/>
      <c r="E6" s="163"/>
      <c r="F6" s="163"/>
      <c r="G6" s="163"/>
      <c r="H6" s="163"/>
      <c r="I6" s="582"/>
      <c r="J6" s="163"/>
      <c r="K6" s="175" t="s">
        <v>512</v>
      </c>
      <c r="L6" s="175"/>
      <c r="M6" s="175"/>
      <c r="N6" s="177"/>
      <c r="O6" s="175"/>
      <c r="P6" s="175"/>
      <c r="Q6" s="175"/>
      <c r="R6" s="175"/>
      <c r="S6" s="178"/>
      <c r="T6" s="174"/>
      <c r="U6" s="174"/>
    </row>
    <row r="7" spans="1:21" x14ac:dyDescent="0.2">
      <c r="A7" s="668" t="s">
        <v>436</v>
      </c>
      <c r="B7" s="179">
        <f>SUMIF('IE Data Entry'!$B$10:$B$24,'IE SUMMARY'!$S7,'IE Data Entry'!C$10:C$24)</f>
        <v>0</v>
      </c>
      <c r="C7" s="180">
        <f>SUMIF('IE Data Entry'!$B$10:$B$24,'IE SUMMARY'!$S7,'IE Data Entry'!D$10:D$24)</f>
        <v>0</v>
      </c>
      <c r="D7" s="180">
        <f>SUMIF('IE Data Entry'!$B$10:$B$24,'IE SUMMARY'!$S7,'IE Data Entry'!E$10:E$24)</f>
        <v>525033</v>
      </c>
      <c r="E7" s="180">
        <f>SUMIF('IE Data Entry'!$B$10:$B$24,'IE SUMMARY'!$S7,'IE Data Entry'!F$10:F$24)</f>
        <v>530572.66</v>
      </c>
      <c r="F7" s="180">
        <f>SUMIF('IE Data Entry'!$B$10:$B$24,'IE SUMMARY'!$S7,'IE Data Entry'!H$10:H$24)</f>
        <v>0</v>
      </c>
      <c r="G7" s="180">
        <f>SUMIF('IE Data Entry'!$B$10:$B$24,'IE SUMMARY'!$S7,'IE Data Entry'!I$10:I$24)</f>
        <v>0</v>
      </c>
      <c r="H7" s="181">
        <f>+Proforma!F34*12</f>
        <v>686352</v>
      </c>
      <c r="I7" s="588">
        <f>IFERROR(H7-(AVERAGEIF(B7:G7,"&gt;0",B7:G7)),H7)</f>
        <v>158549.16999999993</v>
      </c>
      <c r="J7" s="577"/>
      <c r="K7" s="175"/>
      <c r="L7" s="175"/>
      <c r="M7" s="175"/>
      <c r="N7" s="177"/>
      <c r="O7" s="175"/>
      <c r="P7" s="175"/>
      <c r="Q7" s="175"/>
      <c r="R7" s="175"/>
      <c r="S7" s="178">
        <v>1</v>
      </c>
      <c r="T7" s="174"/>
      <c r="U7" s="174"/>
    </row>
    <row r="8" spans="1:21" x14ac:dyDescent="0.2">
      <c r="A8" s="668" t="s">
        <v>438</v>
      </c>
      <c r="B8" s="180">
        <f>SUMIF('IE Data Entry'!$B$10:$B$24,'IE SUMMARY'!$S8,'IE Data Entry'!C$10:C$24)</f>
        <v>0</v>
      </c>
      <c r="C8" s="180">
        <f>SUMIF('IE Data Entry'!$B$10:$B$24,'IE SUMMARY'!$S8,'IE Data Entry'!D$10:D$24)</f>
        <v>0</v>
      </c>
      <c r="D8" s="180">
        <f>SUMIF('IE Data Entry'!$B$10:$B$24,'IE SUMMARY'!$S8,'IE Data Entry'!E$10:E$24)</f>
        <v>0</v>
      </c>
      <c r="E8" s="180">
        <f>SUMIF('IE Data Entry'!$B$10:$B$24,'IE SUMMARY'!$S8,'IE Data Entry'!F$10:F$24)</f>
        <v>0</v>
      </c>
      <c r="F8" s="180">
        <f>SUMIF('IE Data Entry'!$B$10:$B$24,'IE SUMMARY'!$S8,'IE Data Entry'!H$10:H$24)</f>
        <v>0</v>
      </c>
      <c r="G8" s="180">
        <f>SUMIF('IE Data Entry'!$B$10:$B$24,'IE SUMMARY'!$S8,'IE Data Entry'!I$10:I$24)</f>
        <v>0</v>
      </c>
      <c r="H8" s="181">
        <f>+Proforma!F35*12</f>
        <v>0</v>
      </c>
      <c r="I8" s="588">
        <f t="shared" ref="I8:I61" si="1">IFERROR(H8-(AVERAGEIF(B8:G8,"&gt;0",B8:G8)),H8)</f>
        <v>0</v>
      </c>
      <c r="J8" s="577"/>
      <c r="K8" s="175"/>
      <c r="L8" s="175"/>
      <c r="M8" s="175"/>
      <c r="N8" s="177"/>
      <c r="O8" s="175"/>
      <c r="P8" s="175"/>
      <c r="Q8" s="175"/>
      <c r="R8" s="175"/>
      <c r="S8" s="178">
        <v>2</v>
      </c>
      <c r="T8" s="174"/>
      <c r="U8" s="174"/>
    </row>
    <row r="9" spans="1:21" x14ac:dyDescent="0.2">
      <c r="A9" s="668" t="s">
        <v>440</v>
      </c>
      <c r="B9" s="180">
        <f>SUMIF('IE Data Entry'!$B$10:$B$24,'IE SUMMARY'!$S9,'IE Data Entry'!C$10:C$24)</f>
        <v>0</v>
      </c>
      <c r="C9" s="180">
        <f>SUMIF('IE Data Entry'!$B$10:$B$24,'IE SUMMARY'!$S9,'IE Data Entry'!D$10:D$24)</f>
        <v>0</v>
      </c>
      <c r="D9" s="180">
        <f>SUMIF('IE Data Entry'!$B$10:$B$24,'IE SUMMARY'!$S9,'IE Data Entry'!E$10:E$24)</f>
        <v>0</v>
      </c>
      <c r="E9" s="180">
        <f>SUMIF('IE Data Entry'!$B$10:$B$24,'IE SUMMARY'!$S9,'IE Data Entry'!F$10:F$24)</f>
        <v>0</v>
      </c>
      <c r="F9" s="180">
        <f>SUMIF('IE Data Entry'!$B$10:$B$24,'IE SUMMARY'!$S9,'IE Data Entry'!H$10:H$24)</f>
        <v>0</v>
      </c>
      <c r="G9" s="180">
        <f>SUMIF('IE Data Entry'!$B$10:$B$24,'IE SUMMARY'!$S9,'IE Data Entry'!I$10:I$24)</f>
        <v>0</v>
      </c>
      <c r="H9" s="181">
        <f>+Proforma!F36*12</f>
        <v>0</v>
      </c>
      <c r="I9" s="588">
        <f t="shared" si="1"/>
        <v>0</v>
      </c>
      <c r="J9" s="577"/>
      <c r="K9" s="174">
        <f>IF(ISERROR((+(G11-E11)/E11)),"",(+(G11-E11)/E11))</f>
        <v>-1</v>
      </c>
      <c r="L9" s="182" t="s">
        <v>513</v>
      </c>
      <c r="M9" s="174"/>
      <c r="O9" s="174"/>
      <c r="P9" s="174"/>
      <c r="Q9" s="174"/>
      <c r="R9" s="174"/>
      <c r="S9" s="178">
        <v>3</v>
      </c>
      <c r="T9" s="174"/>
      <c r="U9" s="174"/>
    </row>
    <row r="10" spans="1:21" x14ac:dyDescent="0.2">
      <c r="A10" s="668" t="s">
        <v>514</v>
      </c>
      <c r="B10" s="180">
        <f>SUMIF('IE Data Entry'!$B$10:$B$24,'IE SUMMARY'!$S10,'IE Data Entry'!C$10:C$24)</f>
        <v>0</v>
      </c>
      <c r="C10" s="180">
        <f>SUMIF('IE Data Entry'!$B$10:$B$24,'IE SUMMARY'!$S10,'IE Data Entry'!D$10:D$24)</f>
        <v>0</v>
      </c>
      <c r="D10" s="180">
        <f>SUMIF('IE Data Entry'!$B$10:$B$24,'IE SUMMARY'!$S10,'IE Data Entry'!E$10:E$24)</f>
        <v>0</v>
      </c>
      <c r="E10" s="180">
        <f>SUMIF('IE Data Entry'!$B$10:$B$24,'IE SUMMARY'!$S10,'IE Data Entry'!F$10:F$24)</f>
        <v>0</v>
      </c>
      <c r="F10" s="180">
        <f>SUMIF('IE Data Entry'!$B$10:$B$24,'IE SUMMARY'!$S10,'IE Data Entry'!H$10:H$24)</f>
        <v>0</v>
      </c>
      <c r="G10" s="180">
        <f>SUMIF('IE Data Entry'!$B$10:$B$24,'IE SUMMARY'!$S10,'IE Data Entry'!I$10:I$24)</f>
        <v>0</v>
      </c>
      <c r="H10" s="183">
        <f>SUM(Proforma!F38:F40)*12</f>
        <v>-156384</v>
      </c>
      <c r="I10" s="589">
        <f t="shared" si="1"/>
        <v>-156384</v>
      </c>
      <c r="J10" s="577"/>
      <c r="K10" s="184" t="str">
        <f>IF(ISERROR((+(G11-F11)/F11)),"",(+(G11-F11)/F11))</f>
        <v/>
      </c>
      <c r="L10" s="182" t="s">
        <v>515</v>
      </c>
      <c r="M10" s="174"/>
      <c r="O10" s="175"/>
      <c r="P10" s="174"/>
      <c r="Q10" s="174"/>
      <c r="R10" s="174"/>
      <c r="S10" s="178">
        <v>4</v>
      </c>
      <c r="T10" s="174"/>
      <c r="U10" s="174"/>
    </row>
    <row r="11" spans="1:21" x14ac:dyDescent="0.2">
      <c r="A11" s="185" t="s">
        <v>138</v>
      </c>
      <c r="B11" s="780">
        <f>SUM(B7:B10)</f>
        <v>0</v>
      </c>
      <c r="C11" s="780">
        <f t="shared" ref="C11:H11" si="2">SUM(C7:C10)</f>
        <v>0</v>
      </c>
      <c r="D11" s="780">
        <f t="shared" si="2"/>
        <v>525033</v>
      </c>
      <c r="E11" s="780">
        <f t="shared" si="2"/>
        <v>530572.66</v>
      </c>
      <c r="F11" s="780">
        <f t="shared" si="2"/>
        <v>0</v>
      </c>
      <c r="G11" s="780">
        <f t="shared" si="2"/>
        <v>0</v>
      </c>
      <c r="H11" s="780">
        <f t="shared" si="2"/>
        <v>529968</v>
      </c>
      <c r="I11" s="588">
        <f t="shared" si="1"/>
        <v>2165.1699999999255</v>
      </c>
      <c r="J11" s="577"/>
      <c r="K11" s="184">
        <f>IF(ISERROR((+(G11-D11)/D11)),"",(+(G11-D11)/D11))</f>
        <v>-1</v>
      </c>
      <c r="L11" s="182" t="str">
        <f>"Broker Compared to "&amp;'IE Data Entry'!$B$4</f>
        <v>Broker Compared to 2021</v>
      </c>
      <c r="M11" s="186"/>
      <c r="O11" s="175"/>
      <c r="P11" s="174"/>
      <c r="Q11" s="174"/>
      <c r="R11" s="174"/>
      <c r="S11" s="178"/>
      <c r="T11" s="174"/>
      <c r="U11" s="174"/>
    </row>
    <row r="12" spans="1:21" x14ac:dyDescent="0.2">
      <c r="A12" s="187" t="s">
        <v>516</v>
      </c>
      <c r="B12" s="182"/>
      <c r="C12" s="184" t="str">
        <f>IF(ISERROR((+(C11-B11)/B11)),"",(+(C11-B11)/B11))</f>
        <v/>
      </c>
      <c r="D12" s="184" t="str">
        <f>IF(ISERROR((+(D11-C11)/C11)),"",(+(D11-C11)/C11))</f>
        <v/>
      </c>
      <c r="E12" s="184">
        <f>IF(ISERROR((+(E11-D11)/D11)),"",(+(E11-D11)/D11))</f>
        <v>1.0551070123211366E-2</v>
      </c>
      <c r="F12" s="184">
        <f>IF(ISERROR((+(F11-D11)/D11)),"",(+(F11-D11)/D11))</f>
        <v>-1</v>
      </c>
      <c r="G12" s="184"/>
      <c r="I12" s="588">
        <f t="shared" si="1"/>
        <v>-1.0551070123211366E-2</v>
      </c>
      <c r="L12" s="184"/>
      <c r="M12" s="184"/>
      <c r="N12" s="184"/>
      <c r="O12" s="174"/>
      <c r="P12" s="174"/>
      <c r="Q12" s="174"/>
      <c r="R12" s="174"/>
      <c r="S12" s="178"/>
      <c r="T12" s="174"/>
      <c r="U12" s="174"/>
    </row>
    <row r="13" spans="1:21" ht="10.25" customHeight="1" x14ac:dyDescent="0.2">
      <c r="A13" s="668"/>
      <c r="B13" s="188"/>
      <c r="C13" s="188"/>
      <c r="D13" s="188"/>
      <c r="E13" s="188"/>
      <c r="F13" s="188"/>
      <c r="G13" s="188"/>
      <c r="H13" s="184"/>
      <c r="I13" s="588">
        <f t="shared" si="1"/>
        <v>0</v>
      </c>
      <c r="J13" s="184"/>
      <c r="K13" s="182"/>
      <c r="L13" s="174"/>
      <c r="M13" s="174"/>
      <c r="N13" s="188"/>
      <c r="O13" s="174"/>
      <c r="P13" s="174"/>
      <c r="Q13" s="174"/>
      <c r="R13" s="174"/>
      <c r="S13" s="178"/>
      <c r="T13" s="174"/>
      <c r="U13" s="174"/>
    </row>
    <row r="14" spans="1:21" x14ac:dyDescent="0.2">
      <c r="A14" s="189" t="s">
        <v>139</v>
      </c>
      <c r="B14" s="188"/>
      <c r="C14" s="188"/>
      <c r="D14" s="188"/>
      <c r="E14" s="188"/>
      <c r="F14" s="188"/>
      <c r="G14" s="188"/>
      <c r="H14" s="174"/>
      <c r="I14" s="588">
        <f t="shared" si="1"/>
        <v>0</v>
      </c>
      <c r="J14" s="174"/>
      <c r="K14" s="174"/>
      <c r="L14" s="174"/>
      <c r="M14" s="174"/>
      <c r="N14" s="188"/>
      <c r="O14" s="174"/>
      <c r="P14" s="174"/>
      <c r="Q14" s="174"/>
      <c r="R14" s="174"/>
      <c r="S14" s="178"/>
      <c r="T14" s="174"/>
      <c r="U14" s="174"/>
    </row>
    <row r="15" spans="1:21" x14ac:dyDescent="0.2">
      <c r="A15" s="668" t="s">
        <v>156</v>
      </c>
      <c r="B15" s="180">
        <f>SUMIF('IE Data Entry'!$B$10:$B$24,'IE SUMMARY'!$S15,'IE Data Entry'!C$10:C$24)</f>
        <v>0</v>
      </c>
      <c r="C15" s="180">
        <f>SUMIF('IE Data Entry'!$B$10:$B$24,'IE SUMMARY'!$S15,'IE Data Entry'!D$10:D$24)</f>
        <v>0</v>
      </c>
      <c r="D15" s="180">
        <f>SUMIF('IE Data Entry'!$B$10:$B$24,'IE SUMMARY'!$S15,'IE Data Entry'!E$10:E$24)</f>
        <v>0</v>
      </c>
      <c r="E15" s="180">
        <f>SUMIF('IE Data Entry'!$B$10:$B$24,'IE SUMMARY'!$S15,'IE Data Entry'!F$10:F$24)</f>
        <v>0</v>
      </c>
      <c r="F15" s="180">
        <f>SUMIF('IE Data Entry'!$B$10:$B$24,'IE SUMMARY'!$S15,'IE Data Entry'!H$10:H$24)</f>
        <v>0</v>
      </c>
      <c r="G15" s="180">
        <f>SUMIF('IE Data Entry'!$B$10:$B$24,'IE SUMMARY'!$S15,'IE Data Entry'!I$10:I$24)</f>
        <v>0</v>
      </c>
      <c r="H15" s="181">
        <f>+Proforma!F44*12</f>
        <v>137658</v>
      </c>
      <c r="I15" s="588">
        <f t="shared" si="1"/>
        <v>137658</v>
      </c>
      <c r="J15" s="577"/>
      <c r="K15" s="174"/>
      <c r="L15" s="174"/>
      <c r="M15" s="174"/>
      <c r="O15" s="175"/>
      <c r="P15" s="174"/>
      <c r="Q15" s="174"/>
      <c r="R15" s="174"/>
      <c r="S15" s="178">
        <v>4403</v>
      </c>
      <c r="T15" s="174"/>
      <c r="U15" s="174"/>
    </row>
    <row r="16" spans="1:21" x14ac:dyDescent="0.2">
      <c r="A16" s="668" t="s">
        <v>142</v>
      </c>
      <c r="B16" s="180">
        <f>SUMIF('IE Data Entry'!$B$10:$B$24,'IE SUMMARY'!$S16,'IE Data Entry'!C$10:C$24)</f>
        <v>0</v>
      </c>
      <c r="C16" s="180">
        <f>SUMIF('IE Data Entry'!$B$10:$B$24,'IE SUMMARY'!$S16,'IE Data Entry'!D$10:D$24)</f>
        <v>0</v>
      </c>
      <c r="D16" s="180">
        <f>SUMIF('IE Data Entry'!$B$10:$B$24,'IE SUMMARY'!$S16,'IE Data Entry'!E$10:E$24)</f>
        <v>0</v>
      </c>
      <c r="E16" s="180">
        <f>SUMIF('IE Data Entry'!$B$10:$B$24,'IE SUMMARY'!$S16,'IE Data Entry'!F$10:F$24)</f>
        <v>0</v>
      </c>
      <c r="F16" s="180">
        <f>SUMIF('IE Data Entry'!$B$10:$B$24,'IE SUMMARY'!$S16,'IE Data Entry'!H$10:H$24)</f>
        <v>0</v>
      </c>
      <c r="G16" s="180">
        <f>SUMIF('IE Data Entry'!$B$10:$B$24,'IE SUMMARY'!$S16,'IE Data Entry'!I$10:I$24)</f>
        <v>0</v>
      </c>
      <c r="H16" s="181">
        <f>+Proforma!F45*12</f>
        <v>0</v>
      </c>
      <c r="I16" s="588">
        <f t="shared" si="1"/>
        <v>0</v>
      </c>
      <c r="J16" s="577"/>
      <c r="K16" s="174"/>
      <c r="L16" s="174"/>
      <c r="M16" s="174"/>
      <c r="O16" s="175"/>
      <c r="P16" s="174"/>
      <c r="Q16" s="174"/>
      <c r="R16" s="174"/>
      <c r="S16" s="178">
        <v>4401</v>
      </c>
      <c r="T16" s="174"/>
      <c r="U16" s="174"/>
    </row>
    <row r="17" spans="1:21" x14ac:dyDescent="0.2">
      <c r="A17" s="668" t="s">
        <v>143</v>
      </c>
      <c r="B17" s="180">
        <f>SUMIF('IE Data Entry'!$B$10:$B$24,'IE SUMMARY'!$S17,'IE Data Entry'!C$10:C$24)</f>
        <v>0</v>
      </c>
      <c r="C17" s="180">
        <f>SUMIF('IE Data Entry'!$B$10:$B$24,'IE SUMMARY'!$S17,'IE Data Entry'!D$10:D$24)</f>
        <v>0</v>
      </c>
      <c r="D17" s="180">
        <f>SUMIF('IE Data Entry'!$B$10:$B$24,'IE SUMMARY'!$S17,'IE Data Entry'!E$10:E$24)</f>
        <v>0</v>
      </c>
      <c r="E17" s="180">
        <f>SUMIF('IE Data Entry'!$B$10:$B$24,'IE SUMMARY'!$S17,'IE Data Entry'!F$10:F$24)</f>
        <v>0</v>
      </c>
      <c r="F17" s="180">
        <f>SUMIF('IE Data Entry'!$B$10:$B$24,'IE SUMMARY'!$S17,'IE Data Entry'!H$10:H$24)</f>
        <v>0</v>
      </c>
      <c r="G17" s="180">
        <f>SUMIF('IE Data Entry'!$B$10:$B$24,'IE SUMMARY'!$S17,'IE Data Entry'!I$10:I$24)</f>
        <v>0</v>
      </c>
      <c r="H17" s="181">
        <f>+Proforma!F46*12</f>
        <v>0</v>
      </c>
      <c r="I17" s="588">
        <f t="shared" si="1"/>
        <v>0</v>
      </c>
      <c r="J17" s="577"/>
      <c r="K17" s="174"/>
      <c r="L17" s="174"/>
      <c r="M17" s="174"/>
      <c r="O17" s="175"/>
      <c r="P17" s="174"/>
      <c r="Q17" s="174"/>
      <c r="R17" s="174"/>
      <c r="S17" s="178">
        <v>4404</v>
      </c>
      <c r="T17" s="174"/>
      <c r="U17" s="174"/>
    </row>
    <row r="18" spans="1:21" x14ac:dyDescent="0.2">
      <c r="A18" s="668" t="s">
        <v>144</v>
      </c>
      <c r="B18" s="180">
        <f>SUMIF('IE Data Entry'!$B$10:$B$24,'IE SUMMARY'!$S18,'IE Data Entry'!C$10:C$24)</f>
        <v>0</v>
      </c>
      <c r="C18" s="180">
        <f>SUMIF('IE Data Entry'!$B$10:$B$24,'IE SUMMARY'!$S18,'IE Data Entry'!D$10:D$24)</f>
        <v>0</v>
      </c>
      <c r="D18" s="180">
        <f>SUMIF('IE Data Entry'!$B$10:$B$24,'IE SUMMARY'!$S18,'IE Data Entry'!E$10:E$24)</f>
        <v>0</v>
      </c>
      <c r="E18" s="180">
        <f>SUMIF('IE Data Entry'!$B$10:$B$24,'IE SUMMARY'!$S18,'IE Data Entry'!F$10:F$24)</f>
        <v>0</v>
      </c>
      <c r="F18" s="180">
        <f>SUMIF('IE Data Entry'!$B$10:$B$24,'IE SUMMARY'!$S18,'IE Data Entry'!H$10:H$24)</f>
        <v>0</v>
      </c>
      <c r="G18" s="180">
        <f>SUMIF('IE Data Entry'!$B$10:$B$24,'IE SUMMARY'!$S18,'IE Data Entry'!I$10:I$24)</f>
        <v>0</v>
      </c>
      <c r="H18" s="181">
        <f>+Proforma!F47*12</f>
        <v>0</v>
      </c>
      <c r="I18" s="588">
        <f t="shared" si="1"/>
        <v>0</v>
      </c>
      <c r="J18" s="577"/>
      <c r="K18" s="174"/>
      <c r="L18" s="174"/>
      <c r="M18" s="174"/>
      <c r="O18" s="175"/>
      <c r="P18" s="174"/>
      <c r="Q18" s="174"/>
      <c r="R18" s="174"/>
      <c r="S18" s="178">
        <v>4405</v>
      </c>
      <c r="T18" s="174"/>
      <c r="U18" s="174"/>
    </row>
    <row r="19" spans="1:21" x14ac:dyDescent="0.2">
      <c r="A19" s="668" t="s">
        <v>145</v>
      </c>
      <c r="B19" s="180">
        <f>SUMIF('IE Data Entry'!$B$10:$B$24,'IE SUMMARY'!$S19,'IE Data Entry'!C$10:C$24)</f>
        <v>0</v>
      </c>
      <c r="C19" s="180">
        <f>SUMIF('IE Data Entry'!$B$10:$B$24,'IE SUMMARY'!$S19,'IE Data Entry'!D$10:D$24)</f>
        <v>0</v>
      </c>
      <c r="D19" s="180">
        <f>SUMIF('IE Data Entry'!$B$10:$B$24,'IE SUMMARY'!$S19,'IE Data Entry'!E$10:E$24)</f>
        <v>137658</v>
      </c>
      <c r="E19" s="180">
        <f>SUMIF('IE Data Entry'!$B$10:$B$24,'IE SUMMARY'!$S19,'IE Data Entry'!F$10:F$24)</f>
        <v>142661.07</v>
      </c>
      <c r="F19" s="180">
        <f>SUMIF('IE Data Entry'!$B$10:$B$24,'IE SUMMARY'!$S19,'IE Data Entry'!H$10:H$24)</f>
        <v>0</v>
      </c>
      <c r="G19" s="180">
        <f>SUMIF('IE Data Entry'!$B$10:$B$24,'IE SUMMARY'!$S19,'IE Data Entry'!I$10:I$24)</f>
        <v>0</v>
      </c>
      <c r="H19" s="181">
        <f>+Proforma!F48*12</f>
        <v>0</v>
      </c>
      <c r="I19" s="588">
        <f t="shared" si="1"/>
        <v>-140159.535</v>
      </c>
      <c r="J19" s="577"/>
      <c r="K19" s="174">
        <f>IF(ISERROR((+(G21-E21)/E21)),"",(+(G21-E21)/E21))</f>
        <v>-1</v>
      </c>
      <c r="L19" s="182" t="s">
        <v>513</v>
      </c>
      <c r="M19" s="174"/>
      <c r="O19" s="175"/>
      <c r="P19" s="174"/>
      <c r="Q19" s="174"/>
      <c r="R19" s="174"/>
      <c r="S19" s="178">
        <v>4402</v>
      </c>
      <c r="T19" s="174"/>
      <c r="U19" s="174"/>
    </row>
    <row r="20" spans="1:21" x14ac:dyDescent="0.2">
      <c r="A20" s="668" t="s">
        <v>146</v>
      </c>
      <c r="B20" s="180">
        <f>SUMIF('IE Data Entry'!$B$10:$B$24,'IE SUMMARY'!$S20,'IE Data Entry'!C$10:C$24)</f>
        <v>0</v>
      </c>
      <c r="C20" s="180">
        <f>SUMIF('IE Data Entry'!$B$10:$B$24,'IE SUMMARY'!$S20,'IE Data Entry'!D$10:D$24)</f>
        <v>0</v>
      </c>
      <c r="D20" s="180">
        <f>SUMIF('IE Data Entry'!$B$10:$B$24,'IE SUMMARY'!$S20,'IE Data Entry'!E$10:E$24)</f>
        <v>0</v>
      </c>
      <c r="E20" s="180">
        <f>SUMIF('IE Data Entry'!$B$10:$B$24,'IE SUMMARY'!$S20,'IE Data Entry'!F$10:F$24)</f>
        <v>0</v>
      </c>
      <c r="F20" s="180">
        <f>SUMIF('IE Data Entry'!$B$10:$B$24,'IE SUMMARY'!$S20,'IE Data Entry'!H$10:H$24)</f>
        <v>0</v>
      </c>
      <c r="G20" s="180">
        <f>SUMIF('IE Data Entry'!$B$10:$B$24,'IE SUMMARY'!$S20,'IE Data Entry'!I$10:I$24)</f>
        <v>0</v>
      </c>
      <c r="H20" s="183">
        <f>+Proforma!F49*12</f>
        <v>0</v>
      </c>
      <c r="I20" s="588">
        <f t="shared" si="1"/>
        <v>0</v>
      </c>
      <c r="J20" s="577"/>
      <c r="K20" s="184" t="str">
        <f>IF(ISERROR((+(G21-F21)/F21)),"",(+(G21-F21)/F21))</f>
        <v/>
      </c>
      <c r="L20" s="182" t="s">
        <v>515</v>
      </c>
      <c r="M20" s="174"/>
      <c r="O20" s="175"/>
      <c r="P20" s="174"/>
      <c r="Q20" s="174"/>
      <c r="R20" s="174"/>
      <c r="S20" s="178">
        <v>4998</v>
      </c>
      <c r="T20" s="174"/>
      <c r="U20" s="174"/>
    </row>
    <row r="21" spans="1:21" x14ac:dyDescent="0.2">
      <c r="A21" s="185" t="s">
        <v>147</v>
      </c>
      <c r="B21" s="780">
        <f>SUM(B15:B20)</f>
        <v>0</v>
      </c>
      <c r="C21" s="780">
        <f t="shared" ref="C21:G21" si="3">SUM(C15:C20)</f>
        <v>0</v>
      </c>
      <c r="D21" s="780">
        <f t="shared" si="3"/>
        <v>137658</v>
      </c>
      <c r="E21" s="780">
        <f t="shared" si="3"/>
        <v>142661.07</v>
      </c>
      <c r="F21" s="780">
        <f t="shared" si="3"/>
        <v>0</v>
      </c>
      <c r="G21" s="780">
        <f t="shared" si="3"/>
        <v>0</v>
      </c>
      <c r="H21" s="780">
        <f>SUM(H15:H20)</f>
        <v>137658</v>
      </c>
      <c r="I21" s="588">
        <f t="shared" si="1"/>
        <v>-2501.5350000000035</v>
      </c>
      <c r="J21" s="577"/>
      <c r="K21" s="184">
        <f>IF(ISERROR((+(G21-D21)/D21)),"",(+(G21-D21)/D21))</f>
        <v>-1</v>
      </c>
      <c r="L21" s="182" t="str">
        <f>"Broker Compared to "&amp;'IE Data Entry'!$B$4</f>
        <v>Broker Compared to 2021</v>
      </c>
      <c r="M21" s="174"/>
      <c r="O21" s="190"/>
      <c r="P21" s="174"/>
      <c r="Q21" s="174"/>
      <c r="R21" s="174"/>
      <c r="S21" s="178"/>
      <c r="T21" s="174"/>
      <c r="U21" s="174"/>
    </row>
    <row r="22" spans="1:21" x14ac:dyDescent="0.2">
      <c r="A22" s="187" t="s">
        <v>516</v>
      </c>
      <c r="B22" s="182"/>
      <c r="C22" s="184" t="str">
        <f>IF(ISERROR((+(C21-B21)/B21)),"",(+(C21-B21)/B21))</f>
        <v/>
      </c>
      <c r="D22" s="184" t="str">
        <f>IF(ISERROR((+(D21-C21)/C21)),"",(+(D21-C21)/C21))</f>
        <v/>
      </c>
      <c r="E22" s="184">
        <f>IF(ISERROR((+(E21-D21)/D21)),"",(+(E21-D21)/D21))</f>
        <v>3.6344200845573861E-2</v>
      </c>
      <c r="F22" s="184">
        <f>IF(ISERROR((+(F21-D21)/D21)),"",(+(F21-D21)/D21))</f>
        <v>-1</v>
      </c>
      <c r="G22" s="184"/>
      <c r="I22" s="595"/>
      <c r="L22" s="174"/>
      <c r="M22" s="174"/>
      <c r="N22" s="184"/>
      <c r="O22" s="175"/>
      <c r="P22" s="174"/>
      <c r="Q22" s="174"/>
      <c r="R22" s="174"/>
      <c r="S22" s="178"/>
      <c r="T22" s="174"/>
      <c r="U22" s="174"/>
    </row>
    <row r="23" spans="1:21" ht="6.75" customHeight="1" x14ac:dyDescent="0.2">
      <c r="A23" s="187"/>
      <c r="B23" s="182"/>
      <c r="C23" s="184"/>
      <c r="D23" s="184"/>
      <c r="E23" s="184"/>
      <c r="F23" s="184"/>
      <c r="G23" s="184"/>
      <c r="H23" s="184"/>
      <c r="I23" s="595"/>
      <c r="J23" s="184"/>
      <c r="K23" s="182"/>
      <c r="L23" s="174"/>
      <c r="M23" s="174"/>
      <c r="N23" s="184"/>
      <c r="O23" s="175"/>
      <c r="P23" s="174"/>
      <c r="Q23" s="174"/>
      <c r="R23" s="174"/>
      <c r="S23" s="178"/>
      <c r="T23" s="174"/>
      <c r="U23" s="174"/>
    </row>
    <row r="24" spans="1:21" x14ac:dyDescent="0.2">
      <c r="A24" s="668" t="s">
        <v>517</v>
      </c>
      <c r="B24" s="180">
        <f>SUMIF('IE Data Entry'!$B$10:$B$24,'IE SUMMARY'!$S24,'IE Data Entry'!C$10:C$24)</f>
        <v>0</v>
      </c>
      <c r="C24" s="180">
        <f>SUMIF('IE Data Entry'!$B$10:$B$24,'IE SUMMARY'!$S24,'IE Data Entry'!D$10:D$24)</f>
        <v>0</v>
      </c>
      <c r="D24" s="180">
        <f>SUMIF('IE Data Entry'!$B$10:$B$24,'IE SUMMARY'!$S24,'IE Data Entry'!E$10:E$24)</f>
        <v>0</v>
      </c>
      <c r="E24" s="180">
        <f>SUMIF('IE Data Entry'!$B$10:$B$24,'IE SUMMARY'!$S24,'IE Data Entry'!F$10:F$24)</f>
        <v>0</v>
      </c>
      <c r="F24" s="180">
        <f>SUMIF('IE Data Entry'!$B$10:$B$24,'IE SUMMARY'!$S24,'IE Data Entry'!H$10:H$24)</f>
        <v>0</v>
      </c>
      <c r="G24" s="180">
        <f>SUMIF('IE Data Entry'!$B$10:$B$24,'IE SUMMARY'!$S24,'IE Data Entry'!I$10:I$24)</f>
        <v>0</v>
      </c>
      <c r="H24" s="191">
        <f>+Proforma!F51*12</f>
        <v>0</v>
      </c>
      <c r="I24" s="588">
        <f t="shared" si="1"/>
        <v>0</v>
      </c>
      <c r="J24" s="180"/>
      <c r="K24" s="182"/>
      <c r="L24" s="174"/>
      <c r="M24" s="174"/>
      <c r="O24" s="175"/>
      <c r="P24" s="174"/>
      <c r="Q24" s="174"/>
      <c r="R24" s="174"/>
      <c r="S24" s="178">
        <v>4134</v>
      </c>
      <c r="T24" s="174"/>
      <c r="U24" s="174"/>
    </row>
    <row r="25" spans="1:21" ht="9" customHeight="1" x14ac:dyDescent="0.2">
      <c r="A25" s="668"/>
      <c r="B25" s="180"/>
      <c r="C25" s="180"/>
      <c r="D25" s="180"/>
      <c r="E25" s="180"/>
      <c r="F25" s="180"/>
      <c r="G25" s="180"/>
      <c r="H25" s="180"/>
      <c r="I25" s="595"/>
      <c r="J25" s="180"/>
      <c r="K25" s="174">
        <f>IF(ISERROR((+(G27-E27)/E27)),"",(+(G27-E27)/E27))</f>
        <v>-1</v>
      </c>
      <c r="L25" s="182" t="s">
        <v>513</v>
      </c>
      <c r="M25" s="174"/>
      <c r="O25" s="175"/>
      <c r="P25" s="174"/>
      <c r="Q25" s="174"/>
      <c r="R25" s="174"/>
      <c r="S25" s="178"/>
      <c r="T25" s="174"/>
      <c r="U25" s="174"/>
    </row>
    <row r="26" spans="1:21" x14ac:dyDescent="0.2">
      <c r="A26" s="189" t="s">
        <v>409</v>
      </c>
      <c r="B26" s="781">
        <f>+B11+B21+B24</f>
        <v>0</v>
      </c>
      <c r="C26" s="781">
        <f t="shared" ref="C26:H26" si="4">+C11+C21+C24</f>
        <v>0</v>
      </c>
      <c r="D26" s="781">
        <f t="shared" si="4"/>
        <v>662691</v>
      </c>
      <c r="E26" s="781">
        <f t="shared" si="4"/>
        <v>673233.73</v>
      </c>
      <c r="F26" s="781">
        <f t="shared" si="4"/>
        <v>0</v>
      </c>
      <c r="G26" s="781">
        <f t="shared" si="4"/>
        <v>0</v>
      </c>
      <c r="H26" s="781">
        <f t="shared" si="4"/>
        <v>667626</v>
      </c>
      <c r="I26" s="588">
        <f t="shared" si="1"/>
        <v>-336.36499999999069</v>
      </c>
      <c r="J26" s="577"/>
      <c r="K26" s="184" t="str">
        <f>IF(ISERROR((+(G26-F26)/F26)),"",(+(G26-F26)/F26))</f>
        <v/>
      </c>
      <c r="L26" s="182" t="s">
        <v>515</v>
      </c>
      <c r="M26" s="174"/>
      <c r="O26" s="175"/>
      <c r="P26" s="174"/>
      <c r="Q26" s="174"/>
      <c r="R26" s="174"/>
      <c r="S26" s="178"/>
      <c r="T26" s="174"/>
      <c r="U26" s="174"/>
    </row>
    <row r="27" spans="1:21" x14ac:dyDescent="0.2">
      <c r="A27" s="187" t="s">
        <v>516</v>
      </c>
      <c r="B27" s="182"/>
      <c r="C27" s="184" t="str">
        <f>IF(ISERROR((+(C26-B26)/B26)),"",(+(C26-B26)/B26))</f>
        <v/>
      </c>
      <c r="D27" s="184" t="str">
        <f>IF(ISERROR((+(D26-C26)/C26)),"",(+(D26-C26)/C26))</f>
        <v/>
      </c>
      <c r="E27" s="184">
        <f>IF(ISERROR((+(E26-D26)/D26)),"",(+(E26-D26)/D26))</f>
        <v>1.5908968131451887E-2</v>
      </c>
      <c r="F27" s="184">
        <f>IF(ISERROR((+(F26-D26)/D26)),"",(+(F26-D26)/D26))</f>
        <v>-1</v>
      </c>
      <c r="G27" s="184"/>
      <c r="I27" s="595"/>
      <c r="K27" s="184">
        <f>IF(ISERROR((+(G26-D26)/D26)),"",(+(G26-D26)/D26))</f>
        <v>-1</v>
      </c>
      <c r="L27" s="182" t="str">
        <f>"Broker Compared to "&amp;'IE Data Entry'!$B$4</f>
        <v>Broker Compared to 2021</v>
      </c>
      <c r="M27" s="174"/>
      <c r="N27" s="184"/>
      <c r="O27" s="174"/>
      <c r="P27" s="174"/>
      <c r="Q27" s="174"/>
      <c r="R27" s="174"/>
      <c r="S27" s="178"/>
      <c r="T27" s="174"/>
      <c r="U27" s="174"/>
    </row>
    <row r="28" spans="1:21" ht="10" customHeight="1" x14ac:dyDescent="0.2">
      <c r="A28" s="668"/>
      <c r="B28" s="154"/>
      <c r="C28" s="154"/>
      <c r="D28" s="154"/>
      <c r="E28" s="154"/>
      <c r="F28" s="154"/>
      <c r="G28" s="174"/>
      <c r="H28" s="184"/>
      <c r="I28" s="595"/>
      <c r="J28" s="184"/>
      <c r="K28" s="192"/>
      <c r="L28" s="175"/>
      <c r="M28" s="175"/>
      <c r="N28" s="175"/>
      <c r="O28" s="175"/>
      <c r="P28" s="175"/>
      <c r="Q28" s="175"/>
      <c r="R28" s="175"/>
      <c r="S28" s="176"/>
      <c r="T28" s="174"/>
      <c r="U28" s="174"/>
    </row>
    <row r="29" spans="1:21" x14ac:dyDescent="0.2">
      <c r="A29" s="815" t="s">
        <v>518</v>
      </c>
      <c r="B29" s="815"/>
      <c r="C29" s="815"/>
      <c r="D29" s="815"/>
      <c r="E29" s="815"/>
      <c r="F29" s="815"/>
      <c r="G29" s="815"/>
      <c r="H29" s="174"/>
      <c r="I29" s="595"/>
      <c r="J29" s="174"/>
      <c r="K29" s="175"/>
      <c r="L29" s="175"/>
      <c r="M29" s="175"/>
      <c r="N29" s="175"/>
      <c r="O29" s="175"/>
      <c r="P29" s="175"/>
      <c r="Q29" s="175"/>
      <c r="R29" s="175"/>
      <c r="S29" s="174"/>
      <c r="T29" s="174"/>
      <c r="U29" s="174"/>
    </row>
    <row r="30" spans="1:21" ht="15" customHeight="1" x14ac:dyDescent="0.2">
      <c r="A30" s="162"/>
      <c r="B30" s="163"/>
      <c r="C30" s="163"/>
      <c r="D30" s="163"/>
      <c r="E30" s="163"/>
      <c r="H30" s="163"/>
      <c r="I30" s="595"/>
      <c r="J30" s="163"/>
      <c r="K30" s="193"/>
      <c r="L30" s="193"/>
      <c r="M30" s="193"/>
      <c r="N30" s="177"/>
      <c r="O30" s="193"/>
      <c r="P30" s="193"/>
      <c r="Q30" s="193"/>
      <c r="R30" s="193"/>
    </row>
    <row r="31" spans="1:21" ht="17" thickBot="1" x14ac:dyDescent="0.25">
      <c r="A31" s="162" t="s">
        <v>519</v>
      </c>
      <c r="B31" s="164">
        <f>+'IE Data Entry'!C29</f>
        <v>2019</v>
      </c>
      <c r="C31" s="164">
        <f>+'IE Data Entry'!D29</f>
        <v>2020</v>
      </c>
      <c r="D31" s="164">
        <f>+'IE Data Entry'!E29</f>
        <v>2021</v>
      </c>
      <c r="E31" s="164" t="str">
        <f>+'IE Data Entry'!F29</f>
        <v>Trailing 12</v>
      </c>
      <c r="F31" s="194" t="str">
        <f>Current_Year&amp;" Annualized"</f>
        <v>2022 Annualized</v>
      </c>
      <c r="G31" s="194" t="s">
        <v>507</v>
      </c>
      <c r="H31" s="164" t="s">
        <v>520</v>
      </c>
      <c r="I31" s="596" t="str">
        <f t="shared" si="1"/>
        <v>BVG Yr 1 Projection</v>
      </c>
      <c r="J31" s="163"/>
      <c r="K31" s="193"/>
      <c r="L31" s="193"/>
      <c r="M31" s="193"/>
      <c r="N31" s="177"/>
      <c r="O31" s="193"/>
      <c r="P31" s="193"/>
      <c r="Q31" s="193"/>
      <c r="R31" s="193"/>
      <c r="S31" s="176" t="s">
        <v>521</v>
      </c>
    </row>
    <row r="32" spans="1:21" x14ac:dyDescent="0.2">
      <c r="A32" s="669" t="s">
        <v>522</v>
      </c>
      <c r="B32" s="195">
        <f>SUMIF('IE Data Entry'!$B$30:$B$100,'IE SUMMARY'!$S32,'IE Data Entry'!C$30:C$100)</f>
        <v>0</v>
      </c>
      <c r="C32" s="195">
        <f>SUMIF('IE Data Entry'!$B$30:$B$100,'IE SUMMARY'!$S32,'IE Data Entry'!D$30:D$100)</f>
        <v>0</v>
      </c>
      <c r="D32" s="195">
        <f>SUMIF('IE Data Entry'!$B$30:$B$100,'IE SUMMARY'!$S32,'IE Data Entry'!E$30:E$100)</f>
        <v>33459</v>
      </c>
      <c r="E32" s="195">
        <f>SUMIF('IE Data Entry'!$B$30:$B$100,'IE SUMMARY'!$S32,'IE Data Entry'!F$30:F$100)</f>
        <v>33459.599999999999</v>
      </c>
      <c r="F32" s="195">
        <f>SUMIF('IE Data Entry'!$B$30:$B$100,'IE SUMMARY'!$S32,'IE Data Entry'!H$30:H$100)</f>
        <v>0</v>
      </c>
      <c r="G32" s="195">
        <f>SUMIF('IE Data Entry'!$B$30:$B$100,'IE SUMMARY'!$S32,'IE Data Entry'!I$30:I$100)</f>
        <v>0</v>
      </c>
      <c r="H32" s="196">
        <f>+Proforma!F56*12</f>
        <v>33456</v>
      </c>
      <c r="I32" s="588">
        <f t="shared" si="1"/>
        <v>-3.3000000000029104</v>
      </c>
      <c r="J32" s="201"/>
      <c r="K32" s="197"/>
      <c r="L32" s="197"/>
      <c r="M32" s="197"/>
      <c r="N32" s="177"/>
      <c r="O32" s="197"/>
      <c r="P32" s="197"/>
      <c r="Q32" s="197"/>
      <c r="R32" s="197"/>
      <c r="S32" s="178">
        <v>5701</v>
      </c>
    </row>
    <row r="33" spans="1:19" x14ac:dyDescent="0.2">
      <c r="A33" s="669" t="s">
        <v>154</v>
      </c>
      <c r="B33" s="198">
        <f>SUMIF('IE Data Entry'!$B$30:$B$100,'IE SUMMARY'!$S33,'IE Data Entry'!C$30:C$100)</f>
        <v>0</v>
      </c>
      <c r="C33" s="198">
        <f>SUMIF('IE Data Entry'!$B$30:$B$100,'IE SUMMARY'!$S33,'IE Data Entry'!D$30:D$100)</f>
        <v>0</v>
      </c>
      <c r="D33" s="198">
        <f>SUMIF('IE Data Entry'!$B$30:$B$100,'IE SUMMARY'!$S33,'IE Data Entry'!E$30:E$100)</f>
        <v>0</v>
      </c>
      <c r="E33" s="198">
        <f>SUMIF('IE Data Entry'!$B$30:$B$100,'IE SUMMARY'!$S33,'IE Data Entry'!F$30:F$100)</f>
        <v>0</v>
      </c>
      <c r="F33" s="198">
        <f>SUMIF('IE Data Entry'!$B$30:$B$100,'IE SUMMARY'!$S33,'IE Data Entry'!H$30:H$100)</f>
        <v>0</v>
      </c>
      <c r="G33" s="198">
        <f>SUMIF('IE Data Entry'!$B$30:$B$100,'IE SUMMARY'!$S33,'IE Data Entry'!I$30:I$100)</f>
        <v>0</v>
      </c>
      <c r="H33" s="199">
        <f>+Proforma!F57*12</f>
        <v>4641</v>
      </c>
      <c r="I33" s="588">
        <f t="shared" si="1"/>
        <v>4641</v>
      </c>
      <c r="J33" s="201"/>
      <c r="K33" s="197"/>
      <c r="L33" s="197"/>
      <c r="M33" s="197"/>
      <c r="N33" s="177"/>
      <c r="O33" s="197"/>
      <c r="P33" s="197"/>
      <c r="Q33" s="197"/>
      <c r="R33" s="197"/>
      <c r="S33" s="178">
        <v>5305</v>
      </c>
    </row>
    <row r="34" spans="1:19" x14ac:dyDescent="0.2">
      <c r="A34" s="669" t="s">
        <v>155</v>
      </c>
      <c r="B34" s="198">
        <f>SUMIF('IE Data Entry'!$B$30:$B$100,'IE SUMMARY'!$S34,'IE Data Entry'!C$30:C$100)</f>
        <v>0</v>
      </c>
      <c r="C34" s="198">
        <f>SUMIF('IE Data Entry'!$B$30:$B$100,'IE SUMMARY'!$S34,'IE Data Entry'!D$30:D$100)</f>
        <v>0</v>
      </c>
      <c r="D34" s="198">
        <f>SUMIF('IE Data Entry'!$B$30:$B$100,'IE SUMMARY'!$S34,'IE Data Entry'!E$30:E$100)</f>
        <v>0</v>
      </c>
      <c r="E34" s="198">
        <f>SUMIF('IE Data Entry'!$B$30:$B$100,'IE SUMMARY'!$S34,'IE Data Entry'!F$30:F$100)</f>
        <v>0</v>
      </c>
      <c r="F34" s="198">
        <f>SUMIF('IE Data Entry'!$B$30:$B$100,'IE SUMMARY'!$S34,'IE Data Entry'!H$30:H$100)</f>
        <v>0</v>
      </c>
      <c r="G34" s="198">
        <f>SUMIF('IE Data Entry'!$B$30:$B$100,'IE SUMMARY'!$S34,'IE Data Entry'!I$30:I$100)</f>
        <v>0</v>
      </c>
      <c r="H34" s="199">
        <f>+Proforma!F58*12</f>
        <v>1638</v>
      </c>
      <c r="I34" s="588">
        <f t="shared" si="1"/>
        <v>1638</v>
      </c>
      <c r="J34" s="201"/>
      <c r="K34" s="197"/>
      <c r="L34" s="197"/>
      <c r="M34" s="197"/>
      <c r="N34" s="177"/>
      <c r="O34" s="197"/>
      <c r="P34" s="197"/>
      <c r="Q34" s="197"/>
      <c r="R34" s="197"/>
      <c r="S34" s="178">
        <v>5306</v>
      </c>
    </row>
    <row r="35" spans="1:19" x14ac:dyDescent="0.2">
      <c r="A35" s="669" t="s">
        <v>156</v>
      </c>
      <c r="B35" s="198">
        <f>SUMIF('IE Data Entry'!$B$30:$B$100,'IE SUMMARY'!$S35,'IE Data Entry'!C$30:C$100)</f>
        <v>0</v>
      </c>
      <c r="C35" s="198">
        <f>SUMIF('IE Data Entry'!$B$30:$B$100,'IE SUMMARY'!$S35,'IE Data Entry'!D$30:D$100)</f>
        <v>0</v>
      </c>
      <c r="D35" s="198">
        <f>SUMIF('IE Data Entry'!$B$30:$B$100,'IE SUMMARY'!$S35,'IE Data Entry'!E$30:E$100)</f>
        <v>21132</v>
      </c>
      <c r="E35" s="198">
        <f>SUMIF('IE Data Entry'!$B$30:$B$100,'IE SUMMARY'!$S35,'IE Data Entry'!F$30:F$100)</f>
        <v>19850.37</v>
      </c>
      <c r="F35" s="198">
        <f>SUMIF('IE Data Entry'!$B$30:$B$100,'IE SUMMARY'!$S35,'IE Data Entry'!H$30:H$100)</f>
        <v>0</v>
      </c>
      <c r="G35" s="198">
        <f>SUMIF('IE Data Entry'!$B$30:$B$100,'IE SUMMARY'!$S35,'IE Data Entry'!I$30:I$100)</f>
        <v>0</v>
      </c>
      <c r="H35" s="199">
        <f>+Proforma!F59*12</f>
        <v>21554.639999999999</v>
      </c>
      <c r="I35" s="588">
        <f t="shared" si="1"/>
        <v>1063.4550000000017</v>
      </c>
      <c r="J35" s="201"/>
      <c r="K35" s="197"/>
      <c r="L35" s="197"/>
      <c r="M35" s="197"/>
      <c r="N35" s="177"/>
      <c r="O35" s="197"/>
      <c r="P35" s="197"/>
      <c r="Q35" s="197"/>
      <c r="R35" s="197"/>
      <c r="S35" s="178">
        <v>5404</v>
      </c>
    </row>
    <row r="36" spans="1:19" x14ac:dyDescent="0.2">
      <c r="A36" s="669" t="s">
        <v>497</v>
      </c>
      <c r="B36" s="198">
        <f>SUMIF('IE Data Entry'!$B$30:$B$100,'IE SUMMARY'!$S36,'IE Data Entry'!C$30:C$100)</f>
        <v>0</v>
      </c>
      <c r="C36" s="198">
        <f>SUMIF('IE Data Entry'!$B$30:$B$100,'IE SUMMARY'!$S36,'IE Data Entry'!D$30:D$100)</f>
        <v>0</v>
      </c>
      <c r="D36" s="198">
        <f>SUMIF('IE Data Entry'!$B$30:$B$100,'IE SUMMARY'!$S36,'IE Data Entry'!E$30:E$100)</f>
        <v>43079</v>
      </c>
      <c r="E36" s="198">
        <f>SUMIF('IE Data Entry'!$B$30:$B$100,'IE SUMMARY'!$S36,'IE Data Entry'!F$30:F$100)</f>
        <v>64321.55</v>
      </c>
      <c r="F36" s="198">
        <f>SUMIF('IE Data Entry'!$B$30:$B$100,'IE SUMMARY'!$S36,'IE Data Entry'!H$30:H$100)</f>
        <v>0</v>
      </c>
      <c r="G36" s="198">
        <f>SUMIF('IE Data Entry'!$B$30:$B$100,'IE SUMMARY'!$S36,'IE Data Entry'!I$30:I$100)</f>
        <v>0</v>
      </c>
      <c r="H36" s="199">
        <f>+Proforma!F60*12</f>
        <v>43940.58</v>
      </c>
      <c r="I36" s="588">
        <f t="shared" si="1"/>
        <v>-9759.6949999999997</v>
      </c>
      <c r="J36" s="201"/>
      <c r="K36" s="197"/>
      <c r="L36" s="197"/>
      <c r="M36" s="197"/>
      <c r="N36" s="177"/>
      <c r="O36" s="197"/>
      <c r="P36" s="197"/>
      <c r="Q36" s="197"/>
      <c r="R36" s="197"/>
      <c r="S36" s="178">
        <v>5401</v>
      </c>
    </row>
    <row r="37" spans="1:19" x14ac:dyDescent="0.2">
      <c r="A37" s="669" t="s">
        <v>143</v>
      </c>
      <c r="B37" s="198">
        <f>SUMIF('IE Data Entry'!$B$30:$B$100,'IE SUMMARY'!$S37,'IE Data Entry'!C$30:C$100)</f>
        <v>0</v>
      </c>
      <c r="C37" s="198">
        <f>SUMIF('IE Data Entry'!$B$30:$B$100,'IE SUMMARY'!$S37,'IE Data Entry'!D$30:D$100)</f>
        <v>0</v>
      </c>
      <c r="D37" s="198">
        <f>SUMIF('IE Data Entry'!$B$30:$B$100,'IE SUMMARY'!$S37,'IE Data Entry'!E$30:E$100)</f>
        <v>28598</v>
      </c>
      <c r="E37" s="198">
        <f>SUMIF('IE Data Entry'!$B$30:$B$100,'IE SUMMARY'!$S37,'IE Data Entry'!F$30:F$100)</f>
        <v>29432.37</v>
      </c>
      <c r="F37" s="198">
        <f>SUMIF('IE Data Entry'!$B$30:$B$100,'IE SUMMARY'!$S37,'IE Data Entry'!H$30:H$100)</f>
        <v>0</v>
      </c>
      <c r="G37" s="198">
        <f>SUMIF('IE Data Entry'!$B$30:$B$100,'IE SUMMARY'!$S37,'IE Data Entry'!I$30:I$100)</f>
        <v>0</v>
      </c>
      <c r="H37" s="199">
        <f>+Proforma!F61*12</f>
        <v>29169.96</v>
      </c>
      <c r="I37" s="588">
        <f t="shared" si="1"/>
        <v>154.77500000000146</v>
      </c>
      <c r="J37" s="201"/>
      <c r="K37" s="197"/>
      <c r="L37" s="197"/>
      <c r="M37" s="197"/>
      <c r="N37" s="177"/>
      <c r="O37" s="197"/>
      <c r="P37" s="197"/>
      <c r="Q37" s="197"/>
      <c r="R37" s="197"/>
      <c r="S37" s="178">
        <v>5405</v>
      </c>
    </row>
    <row r="38" spans="1:19" x14ac:dyDescent="0.2">
      <c r="A38" s="669" t="s">
        <v>158</v>
      </c>
      <c r="B38" s="198">
        <f>SUMIF('IE Data Entry'!$B$30:$B$100,'IE SUMMARY'!$S38,'IE Data Entry'!C$30:C$100)</f>
        <v>0</v>
      </c>
      <c r="C38" s="198">
        <f>SUMIF('IE Data Entry'!$B$30:$B$100,'IE SUMMARY'!$S38,'IE Data Entry'!D$30:D$100)</f>
        <v>0</v>
      </c>
      <c r="D38" s="198">
        <f>SUMIF('IE Data Entry'!$B$30:$B$100,'IE SUMMARY'!$S38,'IE Data Entry'!E$30:E$100)</f>
        <v>8004</v>
      </c>
      <c r="E38" s="198">
        <f>SUMIF('IE Data Entry'!$B$30:$B$100,'IE SUMMARY'!$S38,'IE Data Entry'!F$30:F$100)</f>
        <v>8298.1</v>
      </c>
      <c r="F38" s="198">
        <f>SUMIF('IE Data Entry'!$B$30:$B$100,'IE SUMMARY'!$S38,'IE Data Entry'!H$30:H$100)</f>
        <v>0</v>
      </c>
      <c r="G38" s="198">
        <f>SUMIF('IE Data Entry'!$B$30:$B$100,'IE SUMMARY'!$S38,'IE Data Entry'!I$30:I$100)</f>
        <v>0</v>
      </c>
      <c r="H38" s="199">
        <f>+Proforma!F62*12</f>
        <v>8164.08</v>
      </c>
      <c r="I38" s="588">
        <f t="shared" si="1"/>
        <v>13.029999999999745</v>
      </c>
      <c r="J38" s="201"/>
      <c r="K38" s="197"/>
      <c r="L38" s="197"/>
      <c r="M38" s="197"/>
      <c r="N38" s="177"/>
      <c r="O38" s="197"/>
      <c r="P38" s="197"/>
      <c r="Q38" s="197"/>
      <c r="R38" s="197"/>
      <c r="S38" s="178">
        <v>5403</v>
      </c>
    </row>
    <row r="39" spans="1:19" x14ac:dyDescent="0.2">
      <c r="A39" s="669" t="s">
        <v>159</v>
      </c>
      <c r="B39" s="198">
        <f>SUMIF('IE Data Entry'!$B$30:$B$100,'IE SUMMARY'!$S39,'IE Data Entry'!C$30:C$100)</f>
        <v>0</v>
      </c>
      <c r="C39" s="198">
        <f>SUMIF('IE Data Entry'!$B$30:$B$100,'IE SUMMARY'!$S39,'IE Data Entry'!D$30:D$100)</f>
        <v>0</v>
      </c>
      <c r="D39" s="198">
        <f>SUMIF('IE Data Entry'!$B$30:$B$100,'IE SUMMARY'!$S39,'IE Data Entry'!E$30:E$100)</f>
        <v>33689</v>
      </c>
      <c r="E39" s="198">
        <f>SUMIF('IE Data Entry'!$B$30:$B$100,'IE SUMMARY'!$S39,'IE Data Entry'!F$30:F$100)</f>
        <v>34340.129999999997</v>
      </c>
      <c r="F39" s="198">
        <f>SUMIF('IE Data Entry'!$B$30:$B$100,'IE SUMMARY'!$S39,'IE Data Entry'!H$30:H$100)</f>
        <v>0</v>
      </c>
      <c r="G39" s="198">
        <f>SUMIF('IE Data Entry'!$B$30:$B$100,'IE SUMMARY'!$S39,'IE Data Entry'!I$30:I$100)</f>
        <v>0</v>
      </c>
      <c r="H39" s="199">
        <f>+Proforma!F63*12</f>
        <v>34362.78</v>
      </c>
      <c r="I39" s="588">
        <f t="shared" si="1"/>
        <v>348.21499999999651</v>
      </c>
      <c r="J39" s="201"/>
      <c r="K39" s="197"/>
      <c r="L39" s="197"/>
      <c r="M39" s="197"/>
      <c r="N39" s="177"/>
      <c r="O39" s="197"/>
      <c r="P39" s="197"/>
      <c r="Q39" s="197"/>
      <c r="R39" s="197"/>
      <c r="S39" s="178">
        <v>5402</v>
      </c>
    </row>
    <row r="40" spans="1:19" x14ac:dyDescent="0.2">
      <c r="A40" s="669" t="s">
        <v>523</v>
      </c>
      <c r="B40" s="198">
        <f>SUMIF('IE Data Entry'!$B$30:$B$100,'IE SUMMARY'!$S40,'IE Data Entry'!C$30:C$100)</f>
        <v>0</v>
      </c>
      <c r="C40" s="198">
        <f>SUMIF('IE Data Entry'!$B$30:$B$100,'IE SUMMARY'!$S40,'IE Data Entry'!D$30:D$100)</f>
        <v>0</v>
      </c>
      <c r="D40" s="198">
        <f>SUMIF('IE Data Entry'!$B$30:$B$100,'IE SUMMARY'!$S40,'IE Data Entry'!E$30:E$100)</f>
        <v>1148</v>
      </c>
      <c r="E40" s="198">
        <f>SUMIF('IE Data Entry'!$B$30:$B$100,'IE SUMMARY'!$S40,'IE Data Entry'!F$30:F$100)</f>
        <v>1148.28</v>
      </c>
      <c r="F40" s="198">
        <f>SUMIF('IE Data Entry'!$B$30:$B$100,'IE SUMMARY'!$S40,'IE Data Entry'!H$30:H$100)</f>
        <v>0</v>
      </c>
      <c r="G40" s="198">
        <f>SUMIF('IE Data Entry'!$B$30:$B$100,'IE SUMMARY'!$S40,'IE Data Entry'!I$30:I$100)</f>
        <v>0</v>
      </c>
      <c r="H40" s="199">
        <f>+Proforma!F64*12</f>
        <v>1080</v>
      </c>
      <c r="I40" s="588">
        <f t="shared" si="1"/>
        <v>-68.139999999999873</v>
      </c>
      <c r="J40" s="201"/>
      <c r="K40" s="197"/>
      <c r="L40" s="197"/>
      <c r="M40" s="197"/>
      <c r="N40" s="177"/>
      <c r="O40" s="197"/>
      <c r="P40" s="197"/>
      <c r="Q40" s="197"/>
      <c r="R40" s="197"/>
      <c r="S40" s="178">
        <v>5603</v>
      </c>
    </row>
    <row r="41" spans="1:19" x14ac:dyDescent="0.2">
      <c r="A41" s="669" t="s">
        <v>161</v>
      </c>
      <c r="B41" s="198">
        <f>SUMIF('IE Data Entry'!$B$30:$B$100,'IE SUMMARY'!$S41,'IE Data Entry'!C$30:C$100)</f>
        <v>0</v>
      </c>
      <c r="C41" s="198">
        <f>SUMIF('IE Data Entry'!$B$30:$B$100,'IE SUMMARY'!$S41,'IE Data Entry'!D$30:D$100)</f>
        <v>0</v>
      </c>
      <c r="D41" s="198">
        <f>SUMIF('IE Data Entry'!$B$30:$B$100,'IE SUMMARY'!$S41,'IE Data Entry'!E$30:E$100)</f>
        <v>3561</v>
      </c>
      <c r="E41" s="198">
        <f>SUMIF('IE Data Entry'!$B$30:$B$100,'IE SUMMARY'!$S41,'IE Data Entry'!F$30:F$100)</f>
        <v>3647.57</v>
      </c>
      <c r="F41" s="198">
        <f>SUMIF('IE Data Entry'!$B$30:$B$100,'IE SUMMARY'!$S41,'IE Data Entry'!H$30:H$100)</f>
        <v>0</v>
      </c>
      <c r="G41" s="198">
        <f>SUMIF('IE Data Entry'!$B$30:$B$100,'IE SUMMARY'!$S41,'IE Data Entry'!I$30:I$100)</f>
        <v>0</v>
      </c>
      <c r="H41" s="199">
        <f>+Proforma!F65*12</f>
        <v>1500</v>
      </c>
      <c r="I41" s="588">
        <f t="shared" si="1"/>
        <v>-2104.2849999999999</v>
      </c>
      <c r="J41" s="201"/>
      <c r="K41" s="197"/>
      <c r="L41" s="197"/>
      <c r="M41" s="197"/>
      <c r="N41" s="177"/>
      <c r="O41" s="197"/>
      <c r="P41" s="197"/>
      <c r="Q41" s="197"/>
      <c r="R41" s="197"/>
      <c r="S41" s="178">
        <v>5020</v>
      </c>
    </row>
    <row r="42" spans="1:19" x14ac:dyDescent="0.2">
      <c r="A42" s="669" t="s">
        <v>464</v>
      </c>
      <c r="B42" s="198">
        <f>SUMIF('IE Data Entry'!$B$30:$B$100,'IE SUMMARY'!$S42,'IE Data Entry'!C$30:C$100)</f>
        <v>0</v>
      </c>
      <c r="C42" s="198">
        <f>SUMIF('IE Data Entry'!$B$30:$B$100,'IE SUMMARY'!$S42,'IE Data Entry'!D$30:D$100)</f>
        <v>0</v>
      </c>
      <c r="D42" s="198">
        <f>SUMIF('IE Data Entry'!$B$30:$B$100,'IE SUMMARY'!$S42,'IE Data Entry'!E$30:E$100)</f>
        <v>19966</v>
      </c>
      <c r="E42" s="198">
        <f>SUMIF('IE Data Entry'!$B$30:$B$100,'IE SUMMARY'!$S42,'IE Data Entry'!F$30:F$100)</f>
        <v>21590.269999999997</v>
      </c>
      <c r="F42" s="198">
        <f>SUMIF('IE Data Entry'!$B$30:$B$100,'IE SUMMARY'!$S42,'IE Data Entry'!H$30:H$100)</f>
        <v>0</v>
      </c>
      <c r="G42" s="198">
        <f>SUMIF('IE Data Entry'!$B$30:$B$100,'IE SUMMARY'!$S42,'IE Data Entry'!I$30:I$100)</f>
        <v>0</v>
      </c>
      <c r="H42" s="199">
        <f>+Proforma!F66*12</f>
        <v>31600</v>
      </c>
      <c r="I42" s="588">
        <f t="shared" si="1"/>
        <v>10821.865000000002</v>
      </c>
      <c r="J42" s="201"/>
      <c r="K42" s="197"/>
      <c r="L42" s="197"/>
      <c r="M42" s="197"/>
      <c r="N42" s="177"/>
      <c r="O42" s="197"/>
      <c r="P42" s="197"/>
      <c r="Q42" s="197"/>
      <c r="R42" s="197"/>
      <c r="S42" s="178">
        <v>5104</v>
      </c>
    </row>
    <row r="43" spans="1:19" x14ac:dyDescent="0.2">
      <c r="A43" s="669" t="s">
        <v>162</v>
      </c>
      <c r="B43" s="198">
        <f>SUMIF('IE Data Entry'!$B$30:$B$100,'IE SUMMARY'!$S43,'IE Data Entry'!C$30:C$100)</f>
        <v>0</v>
      </c>
      <c r="C43" s="198">
        <f>SUMIF('IE Data Entry'!$B$30:$B$100,'IE SUMMARY'!$S43,'IE Data Entry'!D$30:D$100)</f>
        <v>0</v>
      </c>
      <c r="D43" s="198">
        <f>SUMIF('IE Data Entry'!$B$30:$B$100,'IE SUMMARY'!$S43,'IE Data Entry'!E$30:E$100)</f>
        <v>7685</v>
      </c>
      <c r="E43" s="198">
        <f>SUMIF('IE Data Entry'!$B$30:$B$100,'IE SUMMARY'!$S43,'IE Data Entry'!F$30:F$100)</f>
        <v>8240.68</v>
      </c>
      <c r="F43" s="198">
        <f>SUMIF('IE Data Entry'!$B$30:$B$100,'IE SUMMARY'!$S43,'IE Data Entry'!H$30:H$100)</f>
        <v>0</v>
      </c>
      <c r="G43" s="198">
        <f>SUMIF('IE Data Entry'!$B$30:$B$100,'IE SUMMARY'!$S43,'IE Data Entry'!I$30:I$100)</f>
        <v>0</v>
      </c>
      <c r="H43" s="199">
        <f>+Proforma!F67*12</f>
        <v>7000</v>
      </c>
      <c r="I43" s="588">
        <f t="shared" si="1"/>
        <v>-962.84000000000015</v>
      </c>
      <c r="J43" s="201"/>
      <c r="K43" s="197"/>
      <c r="L43" s="197"/>
      <c r="M43" s="197"/>
      <c r="N43" s="177"/>
      <c r="O43" s="197"/>
      <c r="P43" s="197"/>
      <c r="Q43" s="197"/>
      <c r="R43" s="197"/>
      <c r="S43" s="178">
        <v>5109</v>
      </c>
    </row>
    <row r="44" spans="1:19" x14ac:dyDescent="0.2">
      <c r="A44" s="669" t="s">
        <v>163</v>
      </c>
      <c r="B44" s="198">
        <f>SUMIF('IE Data Entry'!$B$30:$B$100,'IE SUMMARY'!$S44,'IE Data Entry'!C$30:C$100)</f>
        <v>0</v>
      </c>
      <c r="C44" s="198">
        <f>SUMIF('IE Data Entry'!$B$30:$B$100,'IE SUMMARY'!$S44,'IE Data Entry'!D$30:D$100)</f>
        <v>0</v>
      </c>
      <c r="D44" s="198">
        <f>SUMIF('IE Data Entry'!$B$30:$B$100,'IE SUMMARY'!$S44,'IE Data Entry'!E$30:E$100)</f>
        <v>8459</v>
      </c>
      <c r="E44" s="198">
        <f>SUMIF('IE Data Entry'!$B$30:$B$100,'IE SUMMARY'!$S44,'IE Data Entry'!F$30:F$100)</f>
        <v>9624.8200000000015</v>
      </c>
      <c r="F44" s="198">
        <f>SUMIF('IE Data Entry'!$B$30:$B$100,'IE SUMMARY'!$S44,'IE Data Entry'!H$30:H$100)</f>
        <v>0</v>
      </c>
      <c r="G44" s="198">
        <f>SUMIF('IE Data Entry'!$B$30:$B$100,'IE SUMMARY'!$S44,'IE Data Entry'!I$30:I$100)</f>
        <v>0</v>
      </c>
      <c r="H44" s="199">
        <f>+Proforma!F68*12</f>
        <v>7488</v>
      </c>
      <c r="I44" s="588">
        <f t="shared" si="1"/>
        <v>-1553.9099999999999</v>
      </c>
      <c r="J44" s="201"/>
      <c r="K44" s="197"/>
      <c r="L44" s="197"/>
      <c r="M44" s="197"/>
      <c r="N44" s="177"/>
      <c r="O44" s="197"/>
      <c r="P44" s="197"/>
      <c r="Q44" s="197"/>
      <c r="R44" s="197"/>
      <c r="S44" s="178">
        <v>5200</v>
      </c>
    </row>
    <row r="45" spans="1:19" x14ac:dyDescent="0.2">
      <c r="A45" s="200" t="s">
        <v>524</v>
      </c>
      <c r="B45" s="198">
        <f>SUMIF('IE Data Entry'!$B$30:$B$100,'IE SUMMARY'!$S45,'IE Data Entry'!C$30:C$100)</f>
        <v>0</v>
      </c>
      <c r="C45" s="198">
        <f>SUMIF('IE Data Entry'!$B$30:$B$100,'IE SUMMARY'!$S45,'IE Data Entry'!D$30:D$100)</f>
        <v>0</v>
      </c>
      <c r="D45" s="198">
        <f>SUMIF('IE Data Entry'!$B$30:$B$100,'IE SUMMARY'!$S45,'IE Data Entry'!E$30:E$100)</f>
        <v>15418</v>
      </c>
      <c r="E45" s="198">
        <f>SUMIF('IE Data Entry'!$B$30:$B$100,'IE SUMMARY'!$S45,'IE Data Entry'!F$30:F$100)</f>
        <v>15418.68</v>
      </c>
      <c r="F45" s="198">
        <f>SUMIF('IE Data Entry'!$B$30:$B$100,'IE SUMMARY'!$S45,'IE Data Entry'!H$30:H$100)</f>
        <v>0</v>
      </c>
      <c r="G45" s="198">
        <f>SUMIF('IE Data Entry'!$B$30:$B$100,'IE SUMMARY'!$S45,'IE Data Entry'!I$30:I$100)</f>
        <v>0</v>
      </c>
      <c r="H45" s="199">
        <f>+Proforma!F69*12</f>
        <v>17946.72</v>
      </c>
      <c r="I45" s="588">
        <f t="shared" si="1"/>
        <v>2528.380000000001</v>
      </c>
      <c r="J45" s="201"/>
      <c r="K45" s="197"/>
      <c r="L45" s="197"/>
      <c r="M45" s="197"/>
      <c r="N45" s="177"/>
      <c r="O45" s="197"/>
      <c r="P45" s="197"/>
      <c r="Q45" s="197"/>
      <c r="R45" s="197"/>
      <c r="S45" s="178">
        <v>5301</v>
      </c>
    </row>
    <row r="46" spans="1:19" x14ac:dyDescent="0.2">
      <c r="A46" s="669" t="s">
        <v>165</v>
      </c>
      <c r="B46" s="198">
        <f>SUMIF('IE Data Entry'!$B$30:$B$100,'IE SUMMARY'!$S46,'IE Data Entry'!C$30:C$100)</f>
        <v>0</v>
      </c>
      <c r="C46" s="198">
        <f>SUMIF('IE Data Entry'!$B$30:$B$100,'IE SUMMARY'!$S46,'IE Data Entry'!D$30:D$100)</f>
        <v>0</v>
      </c>
      <c r="D46" s="198">
        <f>SUMIF('IE Data Entry'!$B$30:$B$100,'IE SUMMARY'!$S46,'IE Data Entry'!E$30:E$100)</f>
        <v>12870</v>
      </c>
      <c r="E46" s="198">
        <f>SUMIF('IE Data Entry'!$B$30:$B$100,'IE SUMMARY'!$S46,'IE Data Entry'!F$30:F$100)</f>
        <v>13443.8</v>
      </c>
      <c r="F46" s="198">
        <f>SUMIF('IE Data Entry'!$B$30:$B$100,'IE SUMMARY'!$S46,'IE Data Entry'!H$30:H$100)</f>
        <v>0</v>
      </c>
      <c r="G46" s="198">
        <f>SUMIF('IE Data Entry'!$B$30:$B$100,'IE SUMMARY'!$S46,'IE Data Entry'!I$30:I$100)</f>
        <v>0</v>
      </c>
      <c r="H46" s="199">
        <f>+Proforma!F70*12</f>
        <v>13513.5</v>
      </c>
      <c r="I46" s="588">
        <f t="shared" si="1"/>
        <v>356.60000000000036</v>
      </c>
      <c r="J46" s="201"/>
      <c r="K46" s="197"/>
      <c r="L46" s="197"/>
      <c r="M46" s="197"/>
      <c r="N46" s="177"/>
      <c r="O46" s="197"/>
      <c r="P46" s="197"/>
      <c r="Q46" s="197"/>
      <c r="R46" s="197"/>
      <c r="S46" s="178">
        <v>5053</v>
      </c>
    </row>
    <row r="47" spans="1:19" x14ac:dyDescent="0.2">
      <c r="A47" s="669" t="s">
        <v>166</v>
      </c>
      <c r="B47" s="198">
        <f>SUMIF('IE Data Entry'!$B$30:$B$100,'IE SUMMARY'!$S47,'IE Data Entry'!C$30:C$100)</f>
        <v>0</v>
      </c>
      <c r="C47" s="198">
        <f>SUMIF('IE Data Entry'!$B$30:$B$100,'IE SUMMARY'!$S47,'IE Data Entry'!D$30:D$100)</f>
        <v>0</v>
      </c>
      <c r="D47" s="198">
        <f>SUMIF('IE Data Entry'!$B$30:$B$100,'IE SUMMARY'!$S47,'IE Data Entry'!E$30:E$100)</f>
        <v>0</v>
      </c>
      <c r="E47" s="198">
        <f>SUMIF('IE Data Entry'!$B$30:$B$100,'IE SUMMARY'!$S47,'IE Data Entry'!F$30:F$100)</f>
        <v>0</v>
      </c>
      <c r="F47" s="198">
        <f>SUMIF('IE Data Entry'!$B$30:$B$100,'IE SUMMARY'!$S47,'IE Data Entry'!H$30:H$100)</f>
        <v>0</v>
      </c>
      <c r="G47" s="198">
        <f>SUMIF('IE Data Entry'!$B$30:$B$100,'IE SUMMARY'!$S47,'IE Data Entry'!I$30:I$100)</f>
        <v>0</v>
      </c>
      <c r="H47" s="199">
        <f>+Proforma!F71*12</f>
        <v>1095</v>
      </c>
      <c r="I47" s="588">
        <f t="shared" si="1"/>
        <v>1095</v>
      </c>
      <c r="J47" s="201"/>
      <c r="K47" s="197"/>
      <c r="L47" s="197"/>
      <c r="M47" s="197"/>
      <c r="N47" s="177"/>
      <c r="O47" s="197"/>
      <c r="P47" s="197"/>
      <c r="Q47" s="197"/>
      <c r="R47" s="197"/>
      <c r="S47" s="178">
        <v>5604</v>
      </c>
    </row>
    <row r="48" spans="1:19" x14ac:dyDescent="0.2">
      <c r="A48" s="669" t="s">
        <v>167</v>
      </c>
      <c r="B48" s="198">
        <f>SUMIF('IE Data Entry'!$B$30:$B$100,'IE SUMMARY'!$S48,'IE Data Entry'!C$30:C$100)</f>
        <v>0</v>
      </c>
      <c r="C48" s="198">
        <f>SUMIF('IE Data Entry'!$B$30:$B$100,'IE SUMMARY'!$S48,'IE Data Entry'!D$30:D$100)</f>
        <v>0</v>
      </c>
      <c r="D48" s="198">
        <f>SUMIF('IE Data Entry'!$B$30:$B$100,'IE SUMMARY'!$S48,'IE Data Entry'!E$30:E$100)</f>
        <v>0</v>
      </c>
      <c r="E48" s="198">
        <f>SUMIF('IE Data Entry'!$B$30:$B$100,'IE SUMMARY'!$S48,'IE Data Entry'!F$30:F$100)</f>
        <v>18665.7</v>
      </c>
      <c r="F48" s="198">
        <f>SUMIF('IE Data Entry'!$B$30:$B$100,'IE SUMMARY'!$S48,'IE Data Entry'!H$30:H$100)</f>
        <v>0</v>
      </c>
      <c r="G48" s="198">
        <f>SUMIF('IE Data Entry'!$B$30:$B$100,'IE SUMMARY'!$S48,'IE Data Entry'!I$30:I$100)</f>
        <v>0</v>
      </c>
      <c r="H48" s="199">
        <f>+Proforma!F72*12</f>
        <v>2500</v>
      </c>
      <c r="I48" s="588">
        <f t="shared" si="1"/>
        <v>-16165.7</v>
      </c>
      <c r="J48" s="201"/>
      <c r="K48" s="197"/>
      <c r="L48" s="197"/>
      <c r="M48" s="197"/>
      <c r="N48" s="177"/>
      <c r="O48" s="197"/>
      <c r="P48" s="197"/>
      <c r="Q48" s="197"/>
      <c r="R48" s="197"/>
      <c r="S48" s="178">
        <v>5062</v>
      </c>
    </row>
    <row r="49" spans="1:19" x14ac:dyDescent="0.2">
      <c r="A49" s="669" t="s">
        <v>168</v>
      </c>
      <c r="B49" s="198">
        <f>SUMIF('IE Data Entry'!$B$30:$B$100,'IE SUMMARY'!$S49,'IE Data Entry'!C$30:C$100)</f>
        <v>0</v>
      </c>
      <c r="C49" s="198">
        <f>SUMIF('IE Data Entry'!$B$30:$B$100,'IE SUMMARY'!$S49,'IE Data Entry'!D$30:D$100)</f>
        <v>0</v>
      </c>
      <c r="D49" s="198">
        <f>SUMIF('IE Data Entry'!$B$30:$B$100,'IE SUMMARY'!$S49,'IE Data Entry'!E$30:E$100)</f>
        <v>150</v>
      </c>
      <c r="E49" s="198">
        <f>SUMIF('IE Data Entry'!$B$30:$B$100,'IE SUMMARY'!$S49,'IE Data Entry'!F$30:F$100)</f>
        <v>150</v>
      </c>
      <c r="F49" s="198">
        <f>SUMIF('IE Data Entry'!$B$30:$B$100,'IE SUMMARY'!$S49,'IE Data Entry'!H$30:H$100)</f>
        <v>0</v>
      </c>
      <c r="G49" s="198">
        <f>SUMIF('IE Data Entry'!$B$30:$B$100,'IE SUMMARY'!$S49,'IE Data Entry'!I$30:I$100)</f>
        <v>0</v>
      </c>
      <c r="H49" s="199">
        <f>+Proforma!F73*12</f>
        <v>1700</v>
      </c>
      <c r="I49" s="588">
        <f t="shared" si="1"/>
        <v>1550</v>
      </c>
      <c r="J49" s="201"/>
      <c r="K49" s="197"/>
      <c r="L49" s="197"/>
      <c r="M49" s="197"/>
      <c r="N49" s="177"/>
      <c r="O49" s="197"/>
      <c r="P49" s="197"/>
      <c r="Q49" s="197"/>
      <c r="R49" s="197"/>
      <c r="S49" s="178">
        <v>5302</v>
      </c>
    </row>
    <row r="50" spans="1:19" x14ac:dyDescent="0.2">
      <c r="A50" s="669" t="s">
        <v>169</v>
      </c>
      <c r="B50" s="198">
        <f>SUMIF('IE Data Entry'!$B$30:$B$100,'IE SUMMARY'!$S50,'IE Data Entry'!C$30:C$100)</f>
        <v>0</v>
      </c>
      <c r="C50" s="198">
        <f>SUMIF('IE Data Entry'!$B$30:$B$100,'IE SUMMARY'!$S50,'IE Data Entry'!D$30:D$100)</f>
        <v>0</v>
      </c>
      <c r="D50" s="198">
        <f>SUMIF('IE Data Entry'!$B$30:$B$100,'IE SUMMARY'!$S50,'IE Data Entry'!E$30:E$100)</f>
        <v>0</v>
      </c>
      <c r="E50" s="198">
        <f>SUMIF('IE Data Entry'!$B$30:$B$100,'IE SUMMARY'!$S50,'IE Data Entry'!F$30:F$100)</f>
        <v>0</v>
      </c>
      <c r="F50" s="198">
        <f>SUMIF('IE Data Entry'!$B$30:$B$100,'IE SUMMARY'!$S50,'IE Data Entry'!H$30:H$100)</f>
        <v>0</v>
      </c>
      <c r="G50" s="198">
        <f>SUMIF('IE Data Entry'!$B$30:$B$100,'IE SUMMARY'!$S50,'IE Data Entry'!I$30:I$100)</f>
        <v>0</v>
      </c>
      <c r="H50" s="199">
        <f>+Proforma!F74*12</f>
        <v>0</v>
      </c>
      <c r="I50" s="588">
        <f t="shared" si="1"/>
        <v>0</v>
      </c>
      <c r="J50" s="201"/>
      <c r="K50" s="197"/>
      <c r="L50" s="197"/>
      <c r="M50" s="197"/>
      <c r="N50" s="177"/>
      <c r="O50" s="197"/>
      <c r="P50" s="197"/>
      <c r="Q50" s="197"/>
      <c r="R50" s="197"/>
      <c r="S50" s="178">
        <v>5001</v>
      </c>
    </row>
    <row r="51" spans="1:19" x14ac:dyDescent="0.2">
      <c r="A51" s="669" t="s">
        <v>170</v>
      </c>
      <c r="B51" s="198">
        <f>SUMIF('IE Data Entry'!$B$30:$B$100,'IE SUMMARY'!$S51,'IE Data Entry'!C$30:C$100)</f>
        <v>0</v>
      </c>
      <c r="C51" s="198">
        <f>SUMIF('IE Data Entry'!$B$30:$B$100,'IE SUMMARY'!$S51,'IE Data Entry'!D$30:D$100)</f>
        <v>0</v>
      </c>
      <c r="D51" s="198">
        <f>SUMIF('IE Data Entry'!$B$30:$B$100,'IE SUMMARY'!$S51,'IE Data Entry'!E$30:E$100)</f>
        <v>0</v>
      </c>
      <c r="E51" s="198">
        <f>SUMIF('IE Data Entry'!$B$30:$B$100,'IE SUMMARY'!$S51,'IE Data Entry'!F$30:F$100)</f>
        <v>0</v>
      </c>
      <c r="F51" s="198">
        <f>SUMIF('IE Data Entry'!$B$30:$B$100,'IE SUMMARY'!$S51,'IE Data Entry'!H$30:H$100)</f>
        <v>0</v>
      </c>
      <c r="G51" s="198">
        <f>SUMIF('IE Data Entry'!$B$30:$B$100,'IE SUMMARY'!$S51,'IE Data Entry'!I$30:I$100)</f>
        <v>0</v>
      </c>
      <c r="H51" s="199">
        <f>+Proforma!F75*12</f>
        <v>2450</v>
      </c>
      <c r="I51" s="588">
        <f t="shared" si="1"/>
        <v>2450</v>
      </c>
      <c r="J51" s="201"/>
      <c r="K51" s="197"/>
      <c r="L51" s="197"/>
      <c r="M51" s="197"/>
      <c r="N51" s="177"/>
      <c r="O51" s="197"/>
      <c r="P51" s="197"/>
      <c r="Q51" s="197"/>
      <c r="R51" s="197"/>
      <c r="S51" s="178">
        <v>5061</v>
      </c>
    </row>
    <row r="52" spans="1:19" x14ac:dyDescent="0.2">
      <c r="A52" s="669" t="s">
        <v>171</v>
      </c>
      <c r="B52" s="198">
        <f>SUMIF('IE Data Entry'!$B$30:$B$100,'IE SUMMARY'!$S52,'IE Data Entry'!C$30:C$100)</f>
        <v>0</v>
      </c>
      <c r="C52" s="198">
        <f>SUMIF('IE Data Entry'!$B$30:$B$100,'IE SUMMARY'!$S52,'IE Data Entry'!D$30:D$100)</f>
        <v>0</v>
      </c>
      <c r="D52" s="198">
        <f>SUMIF('IE Data Entry'!$B$30:$B$100,'IE SUMMARY'!$S52,'IE Data Entry'!E$30:E$100)</f>
        <v>2860</v>
      </c>
      <c r="E52" s="198">
        <f>SUMIF('IE Data Entry'!$B$30:$B$100,'IE SUMMARY'!$S52,'IE Data Entry'!F$30:F$100)</f>
        <v>2810.47</v>
      </c>
      <c r="F52" s="198">
        <f>SUMIF('IE Data Entry'!$B$30:$B$100,'IE SUMMARY'!$S52,'IE Data Entry'!H$30:H$100)</f>
        <v>0</v>
      </c>
      <c r="G52" s="198">
        <f>SUMIF('IE Data Entry'!$B$30:$B$100,'IE SUMMARY'!$S52,'IE Data Entry'!I$30:I$100)</f>
        <v>0</v>
      </c>
      <c r="H52" s="199">
        <f>+Proforma!F76*12</f>
        <v>2917.2000000000003</v>
      </c>
      <c r="I52" s="588">
        <f t="shared" si="1"/>
        <v>81.9650000000006</v>
      </c>
      <c r="J52" s="201"/>
      <c r="K52" s="197"/>
      <c r="L52" s="197"/>
      <c r="M52" s="197"/>
      <c r="N52" s="177"/>
      <c r="O52" s="197"/>
      <c r="P52" s="197"/>
      <c r="Q52" s="197"/>
      <c r="R52" s="197"/>
      <c r="S52" s="178">
        <v>5304</v>
      </c>
    </row>
    <row r="53" spans="1:19" x14ac:dyDescent="0.2">
      <c r="A53" s="669" t="s">
        <v>172</v>
      </c>
      <c r="B53" s="198">
        <f>SUMIF('IE Data Entry'!$B$30:$B$100,'IE SUMMARY'!$S53,'IE Data Entry'!C$30:C$100)</f>
        <v>0</v>
      </c>
      <c r="C53" s="198">
        <f>SUMIF('IE Data Entry'!$B$30:$B$100,'IE SUMMARY'!$S53,'IE Data Entry'!D$30:D$100)</f>
        <v>0</v>
      </c>
      <c r="D53" s="198">
        <f>SUMIF('IE Data Entry'!$B$30:$B$100,'IE SUMMARY'!$S53,'IE Data Entry'!E$30:E$100)</f>
        <v>0</v>
      </c>
      <c r="E53" s="198">
        <f>SUMIF('IE Data Entry'!$B$30:$B$100,'IE SUMMARY'!$S53,'IE Data Entry'!F$30:F$100)</f>
        <v>0</v>
      </c>
      <c r="F53" s="198">
        <f>SUMIF('IE Data Entry'!$B$30:$B$100,'IE SUMMARY'!$S53,'IE Data Entry'!H$30:H$100)</f>
        <v>0</v>
      </c>
      <c r="G53" s="198">
        <f>SUMIF('IE Data Entry'!$B$30:$B$100,'IE SUMMARY'!$S53,'IE Data Entry'!I$30:I$100)</f>
        <v>0</v>
      </c>
      <c r="H53" s="199">
        <f>+Proforma!F77*12</f>
        <v>0</v>
      </c>
      <c r="I53" s="588">
        <f t="shared" si="1"/>
        <v>0</v>
      </c>
      <c r="J53" s="201"/>
      <c r="K53" s="197"/>
      <c r="L53" s="197"/>
      <c r="M53" s="197"/>
      <c r="N53" s="177"/>
      <c r="O53" s="197"/>
      <c r="P53" s="197"/>
      <c r="Q53" s="197"/>
      <c r="R53" s="197"/>
      <c r="S53" s="178">
        <v>5064</v>
      </c>
    </row>
    <row r="54" spans="1:19" x14ac:dyDescent="0.2">
      <c r="A54" s="669" t="s">
        <v>173</v>
      </c>
      <c r="B54" s="198">
        <f>SUMIF('IE Data Entry'!$B$30:$B$100,'IE SUMMARY'!$S54,'IE Data Entry'!C$30:C$100)</f>
        <v>0</v>
      </c>
      <c r="C54" s="198">
        <f>SUMIF('IE Data Entry'!$B$30:$B$100,'IE SUMMARY'!$S54,'IE Data Entry'!D$30:D$100)</f>
        <v>0</v>
      </c>
      <c r="D54" s="198">
        <f>SUMIF('IE Data Entry'!$B$30:$B$100,'IE SUMMARY'!$S54,'IE Data Entry'!E$30:E$100)</f>
        <v>23959</v>
      </c>
      <c r="E54" s="198">
        <f>SUMIF('IE Data Entry'!$B$30:$B$100,'IE SUMMARY'!$S54,'IE Data Entry'!F$30:F$100)</f>
        <v>5059.49</v>
      </c>
      <c r="F54" s="198">
        <f>SUMIF('IE Data Entry'!$B$30:$B$100,'IE SUMMARY'!$S54,'IE Data Entry'!H$30:H$100)</f>
        <v>0</v>
      </c>
      <c r="G54" s="198">
        <f>SUMIF('IE Data Entry'!$B$30:$B$100,'IE SUMMARY'!$S54,'IE Data Entry'!I$30:I$100)</f>
        <v>0</v>
      </c>
      <c r="H54" s="199">
        <f>+Proforma!F78*12</f>
        <v>2500</v>
      </c>
      <c r="I54" s="588">
        <f t="shared" si="1"/>
        <v>-12009.244999999999</v>
      </c>
      <c r="J54" s="201"/>
      <c r="K54" s="174">
        <f>IF(ISERROR((+(G56-E56)/E56)),"",(+(G56-E56)/E56))</f>
        <v>-1</v>
      </c>
      <c r="L54" s="182" t="s">
        <v>513</v>
      </c>
      <c r="M54" s="201"/>
      <c r="O54" s="201"/>
      <c r="P54" s="201"/>
      <c r="Q54" s="201"/>
      <c r="R54" s="201"/>
      <c r="S54" s="178">
        <v>5601</v>
      </c>
    </row>
    <row r="55" spans="1:19" x14ac:dyDescent="0.2">
      <c r="A55" s="669" t="s">
        <v>525</v>
      </c>
      <c r="B55" s="202">
        <f>SUMIF('IE Data Entry'!$B$30:$B$100,'IE SUMMARY'!$S55,'IE Data Entry'!C$30:C$100)</f>
        <v>0</v>
      </c>
      <c r="C55" s="202">
        <f>SUMIF('IE Data Entry'!$B$30:$B$100,'IE SUMMARY'!$S55,'IE Data Entry'!D$30:D$100)</f>
        <v>0</v>
      </c>
      <c r="D55" s="202">
        <f>SUMIF('IE Data Entry'!$B$30:$B$100,'IE SUMMARY'!$S55,'IE Data Entry'!E$30:E$100)</f>
        <v>27466</v>
      </c>
      <c r="E55" s="202">
        <f>SUMIF('IE Data Entry'!$B$30:$B$100,'IE SUMMARY'!$S55,'IE Data Entry'!F$30:F$100)</f>
        <v>27649.23</v>
      </c>
      <c r="F55" s="202">
        <f>SUMIF('IE Data Entry'!$B$30:$B$100,'IE SUMMARY'!$S55,'IE Data Entry'!H$30:H$100)</f>
        <v>0</v>
      </c>
      <c r="G55" s="202">
        <f>SUMIF('IE Data Entry'!$B$30:$B$100,'IE SUMMARY'!$S55,'IE Data Entry'!I$30:I$100)</f>
        <v>0</v>
      </c>
      <c r="H55" s="203">
        <f>+Proforma!F79*12</f>
        <v>33381.300000000003</v>
      </c>
      <c r="I55" s="589">
        <f t="shared" si="1"/>
        <v>5823.6850000000049</v>
      </c>
      <c r="J55" s="201"/>
      <c r="K55" s="184" t="str">
        <f>IF(ISERROR((+(G56-F56)/F56)),"",(+(G56-F56)/F56))</f>
        <v/>
      </c>
      <c r="L55" s="182" t="s">
        <v>515</v>
      </c>
      <c r="M55" s="201"/>
      <c r="O55" s="201"/>
      <c r="P55" s="201"/>
      <c r="Q55" s="201"/>
      <c r="R55" s="201"/>
      <c r="S55" s="178">
        <v>5000</v>
      </c>
    </row>
    <row r="56" spans="1:19" x14ac:dyDescent="0.2">
      <c r="A56" s="204" t="s">
        <v>526</v>
      </c>
      <c r="B56" s="782">
        <f>SUM(B32:B55)</f>
        <v>0</v>
      </c>
      <c r="C56" s="782">
        <f t="shared" ref="C56:H56" si="5">SUM(C32:C55)</f>
        <v>0</v>
      </c>
      <c r="D56" s="782">
        <f t="shared" si="5"/>
        <v>291503</v>
      </c>
      <c r="E56" s="782">
        <f t="shared" si="5"/>
        <v>317151.11</v>
      </c>
      <c r="F56" s="782">
        <f t="shared" si="5"/>
        <v>0</v>
      </c>
      <c r="G56" s="782">
        <f t="shared" si="5"/>
        <v>0</v>
      </c>
      <c r="H56" s="782">
        <f t="shared" si="5"/>
        <v>303598.76</v>
      </c>
      <c r="I56" s="783">
        <f t="shared" si="1"/>
        <v>-728.2949999999837</v>
      </c>
      <c r="J56" s="578"/>
      <c r="K56" s="184">
        <f>IF(ISERROR((+(G56-D56)/D56)),"",(+(G56-D56)/D56))</f>
        <v>-1</v>
      </c>
      <c r="L56" s="182" t="str">
        <f>"Broker Compared to "&amp;'IE Data Entry'!$B$4</f>
        <v>Broker Compared to 2021</v>
      </c>
      <c r="M56" s="205"/>
      <c r="P56" s="201"/>
      <c r="Q56" s="201"/>
      <c r="R56" s="201"/>
    </row>
    <row r="57" spans="1:19" x14ac:dyDescent="0.2">
      <c r="A57" s="206" t="s">
        <v>516</v>
      </c>
      <c r="B57" s="182"/>
      <c r="C57" s="184" t="str">
        <f>IF(ISERROR((+(C56-B56)/B56)),"",(+(C56-B56)/B56))</f>
        <v/>
      </c>
      <c r="D57" s="184" t="str">
        <f>IF(ISERROR((+(D56-C56)/C56)),"",(+(D56-C56)/C56))</f>
        <v/>
      </c>
      <c r="E57" s="184">
        <f>IF(ISERROR((+(E56-D56)/D56)),"",(+(E56-D56)/D56))</f>
        <v>8.7985749717841621E-2</v>
      </c>
      <c r="F57" s="184">
        <f>IF(ISERROR((+(F56-D56)/D56)),"",(+(F56-D56)/D56))</f>
        <v>-1</v>
      </c>
      <c r="G57" s="207"/>
      <c r="I57" s="595"/>
      <c r="M57" s="207"/>
      <c r="N57" s="207"/>
      <c r="P57" s="208"/>
      <c r="Q57" s="208"/>
      <c r="R57" s="208"/>
    </row>
    <row r="58" spans="1:19" x14ac:dyDescent="0.2">
      <c r="A58" s="209" t="s">
        <v>527</v>
      </c>
      <c r="B58" s="210" t="str">
        <f>IF(ISERROR((+B56/B26)),"",(+B56/B26))</f>
        <v/>
      </c>
      <c r="C58" s="210" t="str">
        <f t="shared" ref="C58:H58" si="6">IF(ISERROR((+C56/C26)),"",(+C56/C26))</f>
        <v/>
      </c>
      <c r="D58" s="210">
        <f t="shared" si="6"/>
        <v>0.43987771072792597</v>
      </c>
      <c r="E58" s="210">
        <f t="shared" si="6"/>
        <v>0.47108618577384709</v>
      </c>
      <c r="F58" s="210" t="str">
        <f t="shared" si="6"/>
        <v/>
      </c>
      <c r="G58" s="211"/>
      <c r="H58" s="210">
        <f t="shared" si="6"/>
        <v>0.45474376372400116</v>
      </c>
      <c r="I58" s="595"/>
      <c r="J58" s="210"/>
      <c r="K58" s="182"/>
      <c r="L58" s="207"/>
      <c r="M58" s="207"/>
      <c r="N58" s="207"/>
      <c r="O58" s="208"/>
      <c r="P58" s="208"/>
      <c r="Q58" s="208"/>
      <c r="R58" s="208"/>
    </row>
    <row r="59" spans="1:19" x14ac:dyDescent="0.2">
      <c r="A59" s="206"/>
      <c r="B59" s="163"/>
      <c r="C59" s="163"/>
      <c r="D59" s="163"/>
      <c r="E59" s="163"/>
      <c r="F59" s="819" t="str">
        <f>Current_Year&amp;" Annualized"</f>
        <v>2022 Annualized</v>
      </c>
      <c r="G59" s="819" t="s">
        <v>507</v>
      </c>
      <c r="H59" s="184"/>
      <c r="I59" s="595"/>
      <c r="J59" s="184"/>
      <c r="K59" s="182"/>
      <c r="L59" s="207"/>
      <c r="M59" s="207"/>
      <c r="N59" s="207"/>
      <c r="O59" s="208"/>
      <c r="P59" s="208"/>
      <c r="Q59" s="208"/>
      <c r="R59" s="208"/>
    </row>
    <row r="60" spans="1:19" ht="16" thickBot="1" x14ac:dyDescent="0.25">
      <c r="B60" s="164">
        <f>+B31</f>
        <v>2019</v>
      </c>
      <c r="C60" s="164">
        <f t="shared" ref="C60:E60" si="7">+C31</f>
        <v>2020</v>
      </c>
      <c r="D60" s="164">
        <f t="shared" si="7"/>
        <v>2021</v>
      </c>
      <c r="E60" s="164" t="str">
        <f t="shared" si="7"/>
        <v>Trailing 12</v>
      </c>
      <c r="F60" s="820"/>
      <c r="G60" s="820"/>
      <c r="H60" s="342" t="str">
        <f>+H31</f>
        <v>BVG Yr 1 Projection</v>
      </c>
      <c r="I60" s="588" t="str">
        <f t="shared" si="1"/>
        <v>BVG Yr 1 Projection</v>
      </c>
      <c r="J60" s="579"/>
      <c r="K60" s="174">
        <f>IF(ISERROR((+(G62-E62)/E62)),"",(+(G62-E62)/E62))</f>
        <v>-1</v>
      </c>
      <c r="L60" s="182" t="s">
        <v>513</v>
      </c>
    </row>
    <row r="61" spans="1:19" ht="16" thickBot="1" x14ac:dyDescent="0.25">
      <c r="A61" s="189" t="s">
        <v>415</v>
      </c>
      <c r="B61" s="701">
        <f t="shared" ref="B61:H61" si="8">+B26-B56</f>
        <v>0</v>
      </c>
      <c r="C61" s="701">
        <f t="shared" si="8"/>
        <v>0</v>
      </c>
      <c r="D61" s="701">
        <f t="shared" si="8"/>
        <v>371188</v>
      </c>
      <c r="E61" s="701">
        <f t="shared" si="8"/>
        <v>356082.62</v>
      </c>
      <c r="F61" s="701">
        <f t="shared" si="8"/>
        <v>0</v>
      </c>
      <c r="G61" s="701">
        <f t="shared" si="8"/>
        <v>0</v>
      </c>
      <c r="H61" s="341">
        <f t="shared" si="8"/>
        <v>364027.24</v>
      </c>
      <c r="I61" s="588">
        <f t="shared" si="1"/>
        <v>391.92999999999302</v>
      </c>
      <c r="J61" s="201"/>
      <c r="K61" s="184" t="str">
        <f>IF(ISERROR((+(G61-F61)/F61)),"",(+(G61-F61)/F61))</f>
        <v/>
      </c>
      <c r="L61" s="182" t="s">
        <v>515</v>
      </c>
    </row>
    <row r="62" spans="1:19" ht="16" thickTop="1" x14ac:dyDescent="0.2">
      <c r="A62" s="206" t="s">
        <v>516</v>
      </c>
      <c r="B62" s="182"/>
      <c r="C62" s="184" t="str">
        <f>IF(ISERROR((+(C61-B61)/B61)),"",(+(C61-B61)/B61))</f>
        <v/>
      </c>
      <c r="D62" s="184" t="str">
        <f>IF(ISERROR((+(D61-C61)/C61)),"",(+(D61-C61)/C61))</f>
        <v/>
      </c>
      <c r="E62" s="184">
        <f>IF(ISERROR((+(E61-D61)/D61)),"",(+(E61-D61)/D61))</f>
        <v>-4.0694688405875201E-2</v>
      </c>
      <c r="F62" s="184">
        <f>IF(ISERROR((+(F61-D61)/D61)),"",(+(F61-D61)/D61))</f>
        <v>-1</v>
      </c>
      <c r="G62" s="207"/>
      <c r="K62" s="184">
        <f>IF(ISERROR((+(G61-D61)/D61)),"",(+(G61-D61)/D61))</f>
        <v>-1</v>
      </c>
      <c r="L62" s="182" t="str">
        <f>"Broker Compared to "&amp;'IE Data Entry'!$B$4</f>
        <v>Broker Compared to 2021</v>
      </c>
    </row>
    <row r="64" spans="1:19" x14ac:dyDescent="0.2">
      <c r="A64" s="815" t="s">
        <v>528</v>
      </c>
      <c r="B64" s="815"/>
      <c r="C64" s="815"/>
      <c r="D64" s="815"/>
      <c r="E64" s="815"/>
      <c r="F64" s="815"/>
      <c r="G64" s="815"/>
      <c r="H64" s="815"/>
      <c r="I64" s="580"/>
      <c r="J64" s="580"/>
    </row>
    <row r="65" spans="1:10" x14ac:dyDescent="0.2">
      <c r="A65" s="222" t="s">
        <v>529</v>
      </c>
      <c r="B65" s="222">
        <f>+B60</f>
        <v>2019</v>
      </c>
      <c r="C65" s="222">
        <f t="shared" ref="C65:H65" si="9">+C60</f>
        <v>2020</v>
      </c>
      <c r="D65" s="222">
        <f t="shared" si="9"/>
        <v>2021</v>
      </c>
      <c r="E65" s="222" t="str">
        <f t="shared" si="9"/>
        <v>Trailing 12</v>
      </c>
      <c r="F65" s="222" t="str">
        <f>+F59</f>
        <v>2022 Annualized</v>
      </c>
      <c r="G65" s="222" t="str">
        <f>+G59</f>
        <v>Broker Projection</v>
      </c>
      <c r="H65" s="222" t="str">
        <f t="shared" si="9"/>
        <v>BVG Yr 1 Projection</v>
      </c>
      <c r="I65" s="162"/>
      <c r="J65" s="162"/>
    </row>
    <row r="66" spans="1:10" x14ac:dyDescent="0.2">
      <c r="A66" s="670" t="s">
        <v>530</v>
      </c>
      <c r="B66" s="220">
        <f>SUM(B15:B19)</f>
        <v>0</v>
      </c>
      <c r="C66" s="220">
        <f t="shared" ref="C66:H66" si="10">SUM(C15:C19)</f>
        <v>0</v>
      </c>
      <c r="D66" s="220">
        <f t="shared" si="10"/>
        <v>137658</v>
      </c>
      <c r="E66" s="220">
        <f t="shared" si="10"/>
        <v>142661.07</v>
      </c>
      <c r="F66" s="220">
        <f t="shared" si="10"/>
        <v>0</v>
      </c>
      <c r="G66" s="220">
        <f t="shared" si="10"/>
        <v>0</v>
      </c>
      <c r="H66" s="220">
        <f t="shared" si="10"/>
        <v>137658</v>
      </c>
      <c r="I66" s="581"/>
      <c r="J66" s="220"/>
    </row>
    <row r="67" spans="1:10" x14ac:dyDescent="0.2">
      <c r="A67" s="670" t="s">
        <v>531</v>
      </c>
      <c r="B67" s="220">
        <f>SUM(B35:B39)</f>
        <v>0</v>
      </c>
      <c r="C67" s="220">
        <f t="shared" ref="C67:H67" si="11">SUM(C35:C39)</f>
        <v>0</v>
      </c>
      <c r="D67" s="220">
        <f t="shared" si="11"/>
        <v>134502</v>
      </c>
      <c r="E67" s="220">
        <f t="shared" si="11"/>
        <v>156242.51999999999</v>
      </c>
      <c r="F67" s="220">
        <f t="shared" si="11"/>
        <v>0</v>
      </c>
      <c r="G67" s="220">
        <f t="shared" si="11"/>
        <v>0</v>
      </c>
      <c r="H67" s="220">
        <f t="shared" si="11"/>
        <v>137192.03999999998</v>
      </c>
      <c r="I67" s="581"/>
      <c r="J67" s="220"/>
    </row>
    <row r="68" spans="1:10" x14ac:dyDescent="0.2">
      <c r="A68" s="670" t="s">
        <v>532</v>
      </c>
      <c r="B68" s="784">
        <f>+B66-B67</f>
        <v>0</v>
      </c>
      <c r="C68" s="784">
        <f t="shared" ref="C68:H68" si="12">+C66-C67</f>
        <v>0</v>
      </c>
      <c r="D68" s="784">
        <f t="shared" si="12"/>
        <v>3156</v>
      </c>
      <c r="E68" s="784">
        <f t="shared" si="12"/>
        <v>-13581.449999999983</v>
      </c>
      <c r="F68" s="784">
        <f t="shared" si="12"/>
        <v>0</v>
      </c>
      <c r="G68" s="784">
        <f t="shared" si="12"/>
        <v>0</v>
      </c>
      <c r="H68" s="784">
        <f t="shared" si="12"/>
        <v>465.96000000002095</v>
      </c>
      <c r="I68" s="581"/>
      <c r="J68" s="220"/>
    </row>
    <row r="69" spans="1:10" x14ac:dyDescent="0.2">
      <c r="A69" s="670" t="s">
        <v>533</v>
      </c>
      <c r="B69" s="221" t="str">
        <f>IF(ISERROR((+B66/B67)),"",(+B66/B67))</f>
        <v/>
      </c>
      <c r="C69" s="221" t="str">
        <f t="shared" ref="C69:H69" si="13">IF(ISERROR((+C66/C67)),"",(+C66/C67))</f>
        <v/>
      </c>
      <c r="D69" s="221">
        <f t="shared" si="13"/>
        <v>1.0234643351028236</v>
      </c>
      <c r="E69" s="221">
        <f t="shared" si="13"/>
        <v>0.91307455870527443</v>
      </c>
      <c r="F69" s="221" t="str">
        <f t="shared" si="13"/>
        <v/>
      </c>
      <c r="G69" s="221" t="str">
        <f t="shared" si="13"/>
        <v/>
      </c>
      <c r="H69" s="221">
        <f t="shared" si="13"/>
        <v>1.0033964069635528</v>
      </c>
      <c r="I69" s="581"/>
      <c r="J69" s="221"/>
    </row>
    <row r="70" spans="1:10" x14ac:dyDescent="0.2">
      <c r="I70" s="581"/>
    </row>
    <row r="71" spans="1:10" x14ac:dyDescent="0.2">
      <c r="A71" s="162" t="s">
        <v>534</v>
      </c>
      <c r="B71" s="159"/>
      <c r="I71" s="581"/>
    </row>
    <row r="72" spans="1:10" x14ac:dyDescent="0.2">
      <c r="A72" s="670" t="s">
        <v>535</v>
      </c>
      <c r="B72" s="220">
        <f>B15</f>
        <v>0</v>
      </c>
      <c r="C72" s="220">
        <f t="shared" ref="C72:H72" si="14">C15</f>
        <v>0</v>
      </c>
      <c r="D72" s="220">
        <f t="shared" si="14"/>
        <v>0</v>
      </c>
      <c r="E72" s="220">
        <f t="shared" si="14"/>
        <v>0</v>
      </c>
      <c r="F72" s="220">
        <f t="shared" si="14"/>
        <v>0</v>
      </c>
      <c r="G72" s="220">
        <f t="shared" si="14"/>
        <v>0</v>
      </c>
      <c r="H72" s="220">
        <f t="shared" si="14"/>
        <v>137658</v>
      </c>
      <c r="I72" s="581"/>
      <c r="J72" s="220"/>
    </row>
    <row r="73" spans="1:10" x14ac:dyDescent="0.2">
      <c r="A73" s="670" t="s">
        <v>536</v>
      </c>
      <c r="B73" s="220">
        <f>B35</f>
        <v>0</v>
      </c>
      <c r="C73" s="220">
        <f t="shared" ref="C73:H73" si="15">C35</f>
        <v>0</v>
      </c>
      <c r="D73" s="220">
        <f t="shared" si="15"/>
        <v>21132</v>
      </c>
      <c r="E73" s="220">
        <f t="shared" si="15"/>
        <v>19850.37</v>
      </c>
      <c r="F73" s="220">
        <f t="shared" si="15"/>
        <v>0</v>
      </c>
      <c r="G73" s="220">
        <f t="shared" si="15"/>
        <v>0</v>
      </c>
      <c r="H73" s="220">
        <f t="shared" si="15"/>
        <v>21554.639999999999</v>
      </c>
      <c r="I73" s="581"/>
      <c r="J73" s="220"/>
    </row>
    <row r="74" spans="1:10" x14ac:dyDescent="0.2">
      <c r="A74" s="670" t="s">
        <v>537</v>
      </c>
      <c r="B74" s="784">
        <f>+B72-B73</f>
        <v>0</v>
      </c>
      <c r="C74" s="784">
        <f t="shared" ref="C74:H74" si="16">+C72-C73</f>
        <v>0</v>
      </c>
      <c r="D74" s="784">
        <f t="shared" si="16"/>
        <v>-21132</v>
      </c>
      <c r="E74" s="784">
        <f t="shared" si="16"/>
        <v>-19850.37</v>
      </c>
      <c r="F74" s="784">
        <f t="shared" si="16"/>
        <v>0</v>
      </c>
      <c r="G74" s="784">
        <f t="shared" si="16"/>
        <v>0</v>
      </c>
      <c r="H74" s="784">
        <f t="shared" si="16"/>
        <v>116103.36</v>
      </c>
      <c r="I74" s="581"/>
      <c r="J74" s="220"/>
    </row>
    <row r="75" spans="1:10" x14ac:dyDescent="0.2">
      <c r="A75" s="670" t="s">
        <v>538</v>
      </c>
      <c r="B75" s="221" t="str">
        <f>IF(ISERROR((+B72/B73)),"",(+B72/B73))</f>
        <v/>
      </c>
      <c r="C75" s="221" t="str">
        <f t="shared" ref="C75:H75" si="17">IF(ISERROR((+C72/C73)),"",(+C72/C73))</f>
        <v/>
      </c>
      <c r="D75" s="221">
        <f t="shared" si="17"/>
        <v>0</v>
      </c>
      <c r="E75" s="221">
        <f t="shared" si="17"/>
        <v>0</v>
      </c>
      <c r="F75" s="221" t="str">
        <f t="shared" si="17"/>
        <v/>
      </c>
      <c r="G75" s="221" t="str">
        <f t="shared" si="17"/>
        <v/>
      </c>
      <c r="H75" s="221">
        <f t="shared" si="17"/>
        <v>6.3864671365422945</v>
      </c>
      <c r="I75" s="581"/>
      <c r="J75" s="221"/>
    </row>
    <row r="76" spans="1:10" x14ac:dyDescent="0.2">
      <c r="I76" s="581"/>
    </row>
    <row r="77" spans="1:10" x14ac:dyDescent="0.2">
      <c r="A77" s="162" t="s">
        <v>539</v>
      </c>
      <c r="B77" s="159"/>
      <c r="I77" s="581"/>
    </row>
    <row r="78" spans="1:10" x14ac:dyDescent="0.2">
      <c r="A78" s="670" t="s">
        <v>540</v>
      </c>
      <c r="B78" s="220">
        <f>B16</f>
        <v>0</v>
      </c>
      <c r="C78" s="220">
        <f t="shared" ref="C78:H78" si="18">C16</f>
        <v>0</v>
      </c>
      <c r="D78" s="220">
        <f t="shared" si="18"/>
        <v>0</v>
      </c>
      <c r="E78" s="220">
        <f t="shared" si="18"/>
        <v>0</v>
      </c>
      <c r="F78" s="220">
        <f t="shared" si="18"/>
        <v>0</v>
      </c>
      <c r="G78" s="220">
        <f t="shared" si="18"/>
        <v>0</v>
      </c>
      <c r="H78" s="220">
        <f t="shared" si="18"/>
        <v>0</v>
      </c>
      <c r="I78" s="581"/>
      <c r="J78" s="220"/>
    </row>
    <row r="79" spans="1:10" x14ac:dyDescent="0.2">
      <c r="A79" s="670" t="s">
        <v>541</v>
      </c>
      <c r="B79" s="220">
        <f>B36</f>
        <v>0</v>
      </c>
      <c r="C79" s="220">
        <f t="shared" ref="C79:H79" si="19">C36</f>
        <v>0</v>
      </c>
      <c r="D79" s="220">
        <f t="shared" si="19"/>
        <v>43079</v>
      </c>
      <c r="E79" s="220">
        <f t="shared" si="19"/>
        <v>64321.55</v>
      </c>
      <c r="F79" s="220">
        <f t="shared" si="19"/>
        <v>0</v>
      </c>
      <c r="G79" s="220">
        <f t="shared" si="19"/>
        <v>0</v>
      </c>
      <c r="H79" s="220">
        <f t="shared" si="19"/>
        <v>43940.58</v>
      </c>
      <c r="I79" s="581"/>
      <c r="J79" s="220"/>
    </row>
    <row r="80" spans="1:10" x14ac:dyDescent="0.2">
      <c r="A80" s="670" t="s">
        <v>539</v>
      </c>
      <c r="B80" s="784">
        <f>+B78-B79</f>
        <v>0</v>
      </c>
      <c r="C80" s="784">
        <f t="shared" ref="C80:H80" si="20">+C78-C79</f>
        <v>0</v>
      </c>
      <c r="D80" s="784">
        <f t="shared" si="20"/>
        <v>-43079</v>
      </c>
      <c r="E80" s="784">
        <f t="shared" si="20"/>
        <v>-64321.55</v>
      </c>
      <c r="F80" s="784">
        <f t="shared" si="20"/>
        <v>0</v>
      </c>
      <c r="G80" s="784">
        <f t="shared" si="20"/>
        <v>0</v>
      </c>
      <c r="H80" s="784">
        <f t="shared" si="20"/>
        <v>-43940.58</v>
      </c>
      <c r="I80" s="581"/>
      <c r="J80" s="220"/>
    </row>
    <row r="81" spans="1:10" x14ac:dyDescent="0.2">
      <c r="A81" s="670" t="s">
        <v>542</v>
      </c>
      <c r="B81" s="221" t="str">
        <f>IF(ISERROR((+B78/B79)),"",(+B78/B79))</f>
        <v/>
      </c>
      <c r="C81" s="221" t="str">
        <f t="shared" ref="C81:H81" si="21">IF(ISERROR((+C78/C79)),"",(+C78/C79))</f>
        <v/>
      </c>
      <c r="D81" s="221">
        <f t="shared" si="21"/>
        <v>0</v>
      </c>
      <c r="E81" s="221">
        <f t="shared" si="21"/>
        <v>0</v>
      </c>
      <c r="F81" s="221" t="str">
        <f t="shared" si="21"/>
        <v/>
      </c>
      <c r="G81" s="221" t="str">
        <f t="shared" si="21"/>
        <v/>
      </c>
      <c r="H81" s="221">
        <f t="shared" si="21"/>
        <v>0</v>
      </c>
      <c r="I81" s="581"/>
      <c r="J81" s="221"/>
    </row>
    <row r="82" spans="1:10" x14ac:dyDescent="0.2">
      <c r="I82" s="581"/>
    </row>
    <row r="83" spans="1:10" x14ac:dyDescent="0.2">
      <c r="A83" s="162" t="s">
        <v>543</v>
      </c>
      <c r="B83" s="159"/>
      <c r="I83" s="581"/>
    </row>
    <row r="84" spans="1:10" x14ac:dyDescent="0.2">
      <c r="A84" s="670" t="s">
        <v>544</v>
      </c>
      <c r="B84" s="220">
        <f>B17</f>
        <v>0</v>
      </c>
      <c r="C84" s="220">
        <f t="shared" ref="C84:H84" si="22">C17</f>
        <v>0</v>
      </c>
      <c r="D84" s="220">
        <f t="shared" si="22"/>
        <v>0</v>
      </c>
      <c r="E84" s="220">
        <f t="shared" si="22"/>
        <v>0</v>
      </c>
      <c r="F84" s="220">
        <f t="shared" si="22"/>
        <v>0</v>
      </c>
      <c r="G84" s="220">
        <f t="shared" si="22"/>
        <v>0</v>
      </c>
      <c r="H84" s="220">
        <f t="shared" si="22"/>
        <v>0</v>
      </c>
      <c r="I84" s="581"/>
      <c r="J84" s="220"/>
    </row>
    <row r="85" spans="1:10" x14ac:dyDescent="0.2">
      <c r="A85" s="670" t="s">
        <v>545</v>
      </c>
      <c r="B85" s="220">
        <f>B37</f>
        <v>0</v>
      </c>
      <c r="C85" s="220">
        <f t="shared" ref="C85:H85" si="23">C37</f>
        <v>0</v>
      </c>
      <c r="D85" s="220">
        <f t="shared" si="23"/>
        <v>28598</v>
      </c>
      <c r="E85" s="220">
        <f t="shared" si="23"/>
        <v>29432.37</v>
      </c>
      <c r="F85" s="220">
        <f t="shared" si="23"/>
        <v>0</v>
      </c>
      <c r="G85" s="220">
        <f t="shared" si="23"/>
        <v>0</v>
      </c>
      <c r="H85" s="220">
        <f t="shared" si="23"/>
        <v>29169.96</v>
      </c>
      <c r="I85" s="581"/>
      <c r="J85" s="220"/>
    </row>
    <row r="86" spans="1:10" x14ac:dyDescent="0.2">
      <c r="A86" s="670" t="s">
        <v>543</v>
      </c>
      <c r="B86" s="784">
        <f>+B84-B85</f>
        <v>0</v>
      </c>
      <c r="C86" s="784">
        <f t="shared" ref="C86:H86" si="24">+C84-C85</f>
        <v>0</v>
      </c>
      <c r="D86" s="784">
        <f t="shared" si="24"/>
        <v>-28598</v>
      </c>
      <c r="E86" s="784">
        <f t="shared" si="24"/>
        <v>-29432.37</v>
      </c>
      <c r="F86" s="784">
        <f t="shared" si="24"/>
        <v>0</v>
      </c>
      <c r="G86" s="784">
        <f t="shared" si="24"/>
        <v>0</v>
      </c>
      <c r="H86" s="784">
        <f t="shared" si="24"/>
        <v>-29169.96</v>
      </c>
      <c r="I86" s="581"/>
      <c r="J86" s="220"/>
    </row>
    <row r="87" spans="1:10" x14ac:dyDescent="0.2">
      <c r="A87" s="670" t="s">
        <v>546</v>
      </c>
      <c r="B87" s="221" t="str">
        <f>IF(ISERROR((+B84/B85)),"",(+B84/B85))</f>
        <v/>
      </c>
      <c r="C87" s="221" t="str">
        <f t="shared" ref="C87:H87" si="25">IF(ISERROR((+C84/C85)),"",(+C84/C85))</f>
        <v/>
      </c>
      <c r="D87" s="221">
        <f t="shared" si="25"/>
        <v>0</v>
      </c>
      <c r="E87" s="221">
        <f t="shared" si="25"/>
        <v>0</v>
      </c>
      <c r="F87" s="221" t="str">
        <f t="shared" si="25"/>
        <v/>
      </c>
      <c r="G87" s="221" t="str">
        <f t="shared" si="25"/>
        <v/>
      </c>
      <c r="H87" s="221">
        <f t="shared" si="25"/>
        <v>0</v>
      </c>
      <c r="I87" s="581"/>
      <c r="J87" s="221"/>
    </row>
    <row r="88" spans="1:10" x14ac:dyDescent="0.2">
      <c r="I88" s="581"/>
    </row>
    <row r="89" spans="1:10" x14ac:dyDescent="0.2">
      <c r="A89" s="162" t="s">
        <v>547</v>
      </c>
      <c r="B89" s="159"/>
      <c r="I89" s="581"/>
    </row>
    <row r="90" spans="1:10" x14ac:dyDescent="0.2">
      <c r="A90" s="670" t="s">
        <v>548</v>
      </c>
      <c r="B90" s="220">
        <f>B18</f>
        <v>0</v>
      </c>
      <c r="C90" s="220">
        <f t="shared" ref="C90:H90" si="26">C18</f>
        <v>0</v>
      </c>
      <c r="D90" s="220">
        <f t="shared" si="26"/>
        <v>0</v>
      </c>
      <c r="E90" s="220">
        <f t="shared" si="26"/>
        <v>0</v>
      </c>
      <c r="F90" s="220">
        <f t="shared" si="26"/>
        <v>0</v>
      </c>
      <c r="G90" s="220">
        <f t="shared" si="26"/>
        <v>0</v>
      </c>
      <c r="H90" s="220">
        <f t="shared" si="26"/>
        <v>0</v>
      </c>
      <c r="I90" s="581"/>
      <c r="J90" s="220"/>
    </row>
    <row r="91" spans="1:10" x14ac:dyDescent="0.2">
      <c r="A91" s="670" t="s">
        <v>549</v>
      </c>
      <c r="B91" s="220">
        <f>B38</f>
        <v>0</v>
      </c>
      <c r="C91" s="220">
        <f t="shared" ref="C91:H91" si="27">C38</f>
        <v>0</v>
      </c>
      <c r="D91" s="220">
        <f t="shared" si="27"/>
        <v>8004</v>
      </c>
      <c r="E91" s="220">
        <f t="shared" si="27"/>
        <v>8298.1</v>
      </c>
      <c r="F91" s="220">
        <f t="shared" si="27"/>
        <v>0</v>
      </c>
      <c r="G91" s="220">
        <f t="shared" si="27"/>
        <v>0</v>
      </c>
      <c r="H91" s="220">
        <f t="shared" si="27"/>
        <v>8164.08</v>
      </c>
      <c r="I91" s="581"/>
      <c r="J91" s="220"/>
    </row>
    <row r="92" spans="1:10" x14ac:dyDescent="0.2">
      <c r="A92" s="670" t="s">
        <v>547</v>
      </c>
      <c r="B92" s="784">
        <f>+B90-B91</f>
        <v>0</v>
      </c>
      <c r="C92" s="784">
        <f t="shared" ref="C92" si="28">+C90-C91</f>
        <v>0</v>
      </c>
      <c r="D92" s="784">
        <f t="shared" ref="D92" si="29">+D90-D91</f>
        <v>-8004</v>
      </c>
      <c r="E92" s="784">
        <f t="shared" ref="E92" si="30">+E90-E91</f>
        <v>-8298.1</v>
      </c>
      <c r="F92" s="784">
        <f t="shared" ref="F92" si="31">+F90-F91</f>
        <v>0</v>
      </c>
      <c r="G92" s="784">
        <f t="shared" ref="G92" si="32">+G90-G91</f>
        <v>0</v>
      </c>
      <c r="H92" s="784">
        <f t="shared" ref="H92" si="33">+H90-H91</f>
        <v>-8164.08</v>
      </c>
      <c r="I92" s="581"/>
      <c r="J92" s="220"/>
    </row>
    <row r="93" spans="1:10" x14ac:dyDescent="0.2">
      <c r="A93" s="670" t="s">
        <v>550</v>
      </c>
      <c r="B93" s="221" t="str">
        <f>IF(ISERROR((+B90/B91)),"",(+B90/B91))</f>
        <v/>
      </c>
      <c r="C93" s="221" t="str">
        <f t="shared" ref="C93:H93" si="34">IF(ISERROR((+C90/C91)),"",(+C90/C91))</f>
        <v/>
      </c>
      <c r="D93" s="221">
        <f t="shared" si="34"/>
        <v>0</v>
      </c>
      <c r="E93" s="221">
        <f t="shared" si="34"/>
        <v>0</v>
      </c>
      <c r="F93" s="221" t="str">
        <f t="shared" si="34"/>
        <v/>
      </c>
      <c r="G93" s="221" t="str">
        <f t="shared" si="34"/>
        <v/>
      </c>
      <c r="H93" s="221">
        <f t="shared" si="34"/>
        <v>0</v>
      </c>
      <c r="I93" s="581"/>
      <c r="J93" s="221"/>
    </row>
    <row r="94" spans="1:10" x14ac:dyDescent="0.2">
      <c r="I94" s="581"/>
    </row>
    <row r="95" spans="1:10" x14ac:dyDescent="0.2">
      <c r="A95" s="162" t="s">
        <v>551</v>
      </c>
      <c r="B95" s="159"/>
      <c r="I95" s="581"/>
    </row>
    <row r="96" spans="1:10" x14ac:dyDescent="0.2">
      <c r="A96" s="670" t="s">
        <v>552</v>
      </c>
      <c r="B96" s="220">
        <f>B19</f>
        <v>0</v>
      </c>
      <c r="C96" s="220">
        <f t="shared" ref="C96:H96" si="35">C19</f>
        <v>0</v>
      </c>
      <c r="D96" s="220">
        <f t="shared" si="35"/>
        <v>137658</v>
      </c>
      <c r="E96" s="220">
        <f t="shared" si="35"/>
        <v>142661.07</v>
      </c>
      <c r="F96" s="220">
        <f t="shared" si="35"/>
        <v>0</v>
      </c>
      <c r="G96" s="220">
        <f t="shared" si="35"/>
        <v>0</v>
      </c>
      <c r="H96" s="220">
        <f t="shared" si="35"/>
        <v>0</v>
      </c>
      <c r="I96" s="581"/>
      <c r="J96" s="220"/>
    </row>
    <row r="97" spans="1:10" x14ac:dyDescent="0.2">
      <c r="A97" s="670" t="s">
        <v>553</v>
      </c>
      <c r="B97" s="220">
        <f>B39</f>
        <v>0</v>
      </c>
      <c r="C97" s="220">
        <f t="shared" ref="C97:H97" si="36">C39</f>
        <v>0</v>
      </c>
      <c r="D97" s="220">
        <f t="shared" si="36"/>
        <v>33689</v>
      </c>
      <c r="E97" s="220">
        <f t="shared" si="36"/>
        <v>34340.129999999997</v>
      </c>
      <c r="F97" s="220">
        <f t="shared" si="36"/>
        <v>0</v>
      </c>
      <c r="G97" s="220">
        <f t="shared" si="36"/>
        <v>0</v>
      </c>
      <c r="H97" s="220">
        <f t="shared" si="36"/>
        <v>34362.78</v>
      </c>
      <c r="I97" s="581"/>
      <c r="J97" s="220"/>
    </row>
    <row r="98" spans="1:10" x14ac:dyDescent="0.2">
      <c r="A98" s="670" t="s">
        <v>551</v>
      </c>
      <c r="B98" s="784">
        <f>+B96-B97</f>
        <v>0</v>
      </c>
      <c r="C98" s="784">
        <f t="shared" ref="C98" si="37">+C96-C97</f>
        <v>0</v>
      </c>
      <c r="D98" s="784">
        <f t="shared" ref="D98" si="38">+D96-D97</f>
        <v>103969</v>
      </c>
      <c r="E98" s="784">
        <f t="shared" ref="E98" si="39">+E96-E97</f>
        <v>108320.94</v>
      </c>
      <c r="F98" s="784">
        <f t="shared" ref="F98" si="40">+F96-F97</f>
        <v>0</v>
      </c>
      <c r="G98" s="784">
        <f t="shared" ref="G98" si="41">+G96-G97</f>
        <v>0</v>
      </c>
      <c r="H98" s="784">
        <f t="shared" ref="H98" si="42">+H96-H97</f>
        <v>-34362.78</v>
      </c>
      <c r="I98" s="581"/>
      <c r="J98" s="220"/>
    </row>
    <row r="99" spans="1:10" x14ac:dyDescent="0.2">
      <c r="A99" s="670" t="s">
        <v>554</v>
      </c>
      <c r="B99" s="221" t="str">
        <f>IF(ISERROR((+B96/B97)),"",(+B96/B97))</f>
        <v/>
      </c>
      <c r="C99" s="221" t="str">
        <f t="shared" ref="C99:H99" si="43">IF(ISERROR((+C96/C97)),"",(+C96/C97))</f>
        <v/>
      </c>
      <c r="D99" s="221">
        <f t="shared" si="43"/>
        <v>4.0861408768440741</v>
      </c>
      <c r="E99" s="221">
        <f t="shared" si="43"/>
        <v>4.1543543952803912</v>
      </c>
      <c r="F99" s="221" t="str">
        <f t="shared" si="43"/>
        <v/>
      </c>
      <c r="G99" s="221" t="str">
        <f t="shared" si="43"/>
        <v/>
      </c>
      <c r="H99" s="221">
        <f t="shared" si="43"/>
        <v>0</v>
      </c>
      <c r="I99" s="581"/>
      <c r="J99" s="221"/>
    </row>
    <row r="100" spans="1:10" x14ac:dyDescent="0.2">
      <c r="I100" s="581"/>
    </row>
    <row r="101" spans="1:10" x14ac:dyDescent="0.2">
      <c r="A101" s="162" t="s">
        <v>555</v>
      </c>
      <c r="B101" s="159"/>
      <c r="I101" s="581"/>
    </row>
    <row r="102" spans="1:10" x14ac:dyDescent="0.2">
      <c r="A102" s="670" t="s">
        <v>556</v>
      </c>
      <c r="B102" s="220">
        <f>SUM(B18:B19)</f>
        <v>0</v>
      </c>
      <c r="C102" s="220">
        <f t="shared" ref="C102:H102" si="44">SUM(C18:C19)</f>
        <v>0</v>
      </c>
      <c r="D102" s="220">
        <f t="shared" si="44"/>
        <v>137658</v>
      </c>
      <c r="E102" s="220">
        <f t="shared" si="44"/>
        <v>142661.07</v>
      </c>
      <c r="F102" s="220">
        <f t="shared" si="44"/>
        <v>0</v>
      </c>
      <c r="G102" s="220">
        <f t="shared" si="44"/>
        <v>0</v>
      </c>
      <c r="H102" s="220">
        <f t="shared" si="44"/>
        <v>0</v>
      </c>
      <c r="I102" s="581"/>
      <c r="J102" s="220"/>
    </row>
    <row r="103" spans="1:10" x14ac:dyDescent="0.2">
      <c r="A103" s="670" t="s">
        <v>557</v>
      </c>
      <c r="B103" s="220">
        <f>SUM(B38:B39)</f>
        <v>0</v>
      </c>
      <c r="C103" s="220">
        <f t="shared" ref="C103:H103" si="45">SUM(C38:C39)</f>
        <v>0</v>
      </c>
      <c r="D103" s="220">
        <f t="shared" si="45"/>
        <v>41693</v>
      </c>
      <c r="E103" s="220">
        <f t="shared" si="45"/>
        <v>42638.229999999996</v>
      </c>
      <c r="F103" s="220">
        <f t="shared" si="45"/>
        <v>0</v>
      </c>
      <c r="G103" s="220">
        <f t="shared" si="45"/>
        <v>0</v>
      </c>
      <c r="H103" s="220">
        <f t="shared" si="45"/>
        <v>42526.86</v>
      </c>
      <c r="I103" s="581"/>
      <c r="J103" s="220"/>
    </row>
    <row r="104" spans="1:10" x14ac:dyDescent="0.2">
      <c r="A104" s="670" t="s">
        <v>555</v>
      </c>
      <c r="B104" s="784">
        <f>+B102-B103</f>
        <v>0</v>
      </c>
      <c r="C104" s="784">
        <f t="shared" ref="C104" si="46">+C102-C103</f>
        <v>0</v>
      </c>
      <c r="D104" s="784">
        <f t="shared" ref="D104" si="47">+D102-D103</f>
        <v>95965</v>
      </c>
      <c r="E104" s="784">
        <f t="shared" ref="E104" si="48">+E102-E103</f>
        <v>100022.84000000001</v>
      </c>
      <c r="F104" s="784">
        <f t="shared" ref="F104" si="49">+F102-F103</f>
        <v>0</v>
      </c>
      <c r="G104" s="784">
        <f t="shared" ref="G104" si="50">+G102-G103</f>
        <v>0</v>
      </c>
      <c r="H104" s="784">
        <f t="shared" ref="H104" si="51">+H102-H103</f>
        <v>-42526.86</v>
      </c>
      <c r="I104" s="581"/>
      <c r="J104" s="220"/>
    </row>
    <row r="105" spans="1:10" x14ac:dyDescent="0.2">
      <c r="A105" s="670" t="s">
        <v>558</v>
      </c>
      <c r="B105" s="221" t="str">
        <f>IF(ISERROR((+B102/B103)),"",(+B102/B103))</f>
        <v/>
      </c>
      <c r="C105" s="221" t="str">
        <f t="shared" ref="C105:H105" si="52">IF(ISERROR((+C102/C103)),"",(+C102/C103))</f>
        <v/>
      </c>
      <c r="D105" s="221">
        <f t="shared" si="52"/>
        <v>3.3017053222363466</v>
      </c>
      <c r="E105" s="221">
        <f t="shared" si="52"/>
        <v>3.3458487840606899</v>
      </c>
      <c r="F105" s="221" t="str">
        <f t="shared" si="52"/>
        <v/>
      </c>
      <c r="G105" s="221" t="str">
        <f t="shared" si="52"/>
        <v/>
      </c>
      <c r="H105" s="221">
        <f t="shared" si="52"/>
        <v>0</v>
      </c>
      <c r="I105" s="221"/>
      <c r="J105" s="221"/>
    </row>
    <row r="110" spans="1:10" x14ac:dyDescent="0.2">
      <c r="A110" s="176" t="s">
        <v>559</v>
      </c>
      <c r="B110" s="176">
        <f>+B60</f>
        <v>2019</v>
      </c>
      <c r="C110" s="176">
        <f t="shared" ref="C110:E110" si="53">+C60</f>
        <v>2020</v>
      </c>
      <c r="D110" s="176">
        <f t="shared" si="53"/>
        <v>2021</v>
      </c>
      <c r="E110" s="176" t="str">
        <f t="shared" si="53"/>
        <v>Trailing 12</v>
      </c>
      <c r="F110" s="176" t="str">
        <f>LEFT(F31,4)&amp;" Ann."</f>
        <v>2022 Ann.</v>
      </c>
      <c r="G110" s="176" t="s">
        <v>429</v>
      </c>
      <c r="H110" s="176" t="s">
        <v>406</v>
      </c>
      <c r="I110" s="176"/>
      <c r="J110" s="176"/>
    </row>
  </sheetData>
  <mergeCells count="8">
    <mergeCell ref="F59:F60"/>
    <mergeCell ref="G59:G60"/>
    <mergeCell ref="A64:H64"/>
    <mergeCell ref="A1:G1"/>
    <mergeCell ref="A3:G3"/>
    <mergeCell ref="F4:F5"/>
    <mergeCell ref="G4:G5"/>
    <mergeCell ref="A29:G2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1CD38-0102-4834-932D-032EA85C1A01}">
  <sheetPr codeName="Sheet13">
    <tabColor rgb="FF7030A0"/>
  </sheetPr>
  <dimension ref="A1"/>
  <sheetViews>
    <sheetView workbookViewId="0">
      <selection sqref="A1:N1"/>
    </sheetView>
  </sheetViews>
  <sheetFormatPr baseColWidth="10" defaultColWidth="9.1640625" defaultRowHeight="15" x14ac:dyDescent="0.2"/>
  <cols>
    <col min="1" max="16384" width="9.1640625" style="152"/>
  </cols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905EA-A685-4ADC-9128-6A2E339F78B9}">
  <sheetPr codeName="Sheet14">
    <tabColor rgb="FF7030A0"/>
    <pageSetUpPr fitToPage="1"/>
  </sheetPr>
  <dimension ref="A1:C41"/>
  <sheetViews>
    <sheetView workbookViewId="0">
      <selection sqref="A1:N1"/>
    </sheetView>
  </sheetViews>
  <sheetFormatPr baseColWidth="10" defaultColWidth="9.1640625" defaultRowHeight="15" x14ac:dyDescent="0.2"/>
  <cols>
    <col min="1" max="1" width="9.1640625" style="152"/>
    <col min="2" max="2" width="53.6640625" style="152" bestFit="1" customWidth="1"/>
    <col min="3" max="3" width="108.33203125" style="152" bestFit="1" customWidth="1"/>
    <col min="4" max="16384" width="9.1640625" style="152"/>
  </cols>
  <sheetData>
    <row r="1" spans="1:3" x14ac:dyDescent="0.2">
      <c r="A1" s="805" t="s">
        <v>560</v>
      </c>
      <c r="B1" s="805"/>
      <c r="C1" s="805"/>
    </row>
    <row r="2" spans="1:3" x14ac:dyDescent="0.2">
      <c r="A2" s="671">
        <v>1</v>
      </c>
      <c r="B2" s="668" t="s">
        <v>436</v>
      </c>
    </row>
    <row r="3" spans="1:3" x14ac:dyDescent="0.2">
      <c r="A3" s="672">
        <v>2</v>
      </c>
      <c r="B3" s="673" t="s">
        <v>438</v>
      </c>
      <c r="C3" s="212" t="s">
        <v>561</v>
      </c>
    </row>
    <row r="4" spans="1:3" x14ac:dyDescent="0.2">
      <c r="A4" s="671">
        <v>3</v>
      </c>
      <c r="B4" s="668" t="s">
        <v>440</v>
      </c>
      <c r="C4" s="152" t="s">
        <v>561</v>
      </c>
    </row>
    <row r="5" spans="1:3" x14ac:dyDescent="0.2">
      <c r="A5" s="672">
        <v>4</v>
      </c>
      <c r="B5" s="673" t="s">
        <v>442</v>
      </c>
      <c r="C5" s="212" t="s">
        <v>562</v>
      </c>
    </row>
    <row r="6" spans="1:3" x14ac:dyDescent="0.2">
      <c r="A6" s="671">
        <v>4403</v>
      </c>
      <c r="B6" s="668" t="s">
        <v>156</v>
      </c>
      <c r="C6" s="152" t="s">
        <v>563</v>
      </c>
    </row>
    <row r="7" spans="1:3" x14ac:dyDescent="0.2">
      <c r="A7" s="672">
        <v>4401</v>
      </c>
      <c r="B7" s="673" t="s">
        <v>142</v>
      </c>
      <c r="C7" s="212" t="s">
        <v>563</v>
      </c>
    </row>
    <row r="8" spans="1:3" x14ac:dyDescent="0.2">
      <c r="A8" s="671">
        <v>4404</v>
      </c>
      <c r="B8" s="668" t="s">
        <v>143</v>
      </c>
      <c r="C8" s="152" t="s">
        <v>563</v>
      </c>
    </row>
    <row r="9" spans="1:3" x14ac:dyDescent="0.2">
      <c r="A9" s="672">
        <v>4405</v>
      </c>
      <c r="B9" s="673" t="s">
        <v>144</v>
      </c>
      <c r="C9" s="212" t="s">
        <v>563</v>
      </c>
    </row>
    <row r="10" spans="1:3" x14ac:dyDescent="0.2">
      <c r="A10" s="671">
        <v>4402</v>
      </c>
      <c r="B10" s="668" t="s">
        <v>145</v>
      </c>
      <c r="C10" s="152" t="s">
        <v>563</v>
      </c>
    </row>
    <row r="11" spans="1:3" x14ac:dyDescent="0.2">
      <c r="A11" s="672">
        <v>4998</v>
      </c>
      <c r="B11" s="673" t="s">
        <v>146</v>
      </c>
      <c r="C11" s="212" t="s">
        <v>564</v>
      </c>
    </row>
    <row r="12" spans="1:3" x14ac:dyDescent="0.2">
      <c r="A12" s="671">
        <v>4134</v>
      </c>
      <c r="B12" s="668" t="s">
        <v>447</v>
      </c>
      <c r="C12" s="213" t="s">
        <v>565</v>
      </c>
    </row>
    <row r="15" spans="1:3" x14ac:dyDescent="0.2">
      <c r="A15" s="805" t="s">
        <v>566</v>
      </c>
      <c r="B15" s="805"/>
      <c r="C15" s="805"/>
    </row>
    <row r="17" spans="1:3" ht="16" thickBot="1" x14ac:dyDescent="0.25">
      <c r="A17" s="214" t="s">
        <v>567</v>
      </c>
      <c r="B17" s="214" t="s">
        <v>568</v>
      </c>
      <c r="C17" s="214" t="s">
        <v>569</v>
      </c>
    </row>
    <row r="18" spans="1:3" x14ac:dyDescent="0.2">
      <c r="A18" s="671">
        <v>5701</v>
      </c>
      <c r="B18" s="668" t="s">
        <v>522</v>
      </c>
      <c r="C18" s="152" t="s">
        <v>570</v>
      </c>
    </row>
    <row r="19" spans="1:3" x14ac:dyDescent="0.2">
      <c r="A19" s="672">
        <v>5305</v>
      </c>
      <c r="B19" s="673" t="s">
        <v>154</v>
      </c>
      <c r="C19" s="212" t="s">
        <v>571</v>
      </c>
    </row>
    <row r="20" spans="1:3" x14ac:dyDescent="0.2">
      <c r="A20" s="671">
        <v>5306</v>
      </c>
      <c r="B20" s="668" t="s">
        <v>155</v>
      </c>
      <c r="C20" s="152" t="s">
        <v>572</v>
      </c>
    </row>
    <row r="21" spans="1:3" x14ac:dyDescent="0.2">
      <c r="A21" s="672">
        <v>5404</v>
      </c>
      <c r="B21" s="673" t="s">
        <v>156</v>
      </c>
      <c r="C21" s="212" t="s">
        <v>573</v>
      </c>
    </row>
    <row r="22" spans="1:3" x14ac:dyDescent="0.2">
      <c r="A22" s="671">
        <v>5401</v>
      </c>
      <c r="B22" s="668" t="s">
        <v>497</v>
      </c>
      <c r="C22" s="152" t="s">
        <v>574</v>
      </c>
    </row>
    <row r="23" spans="1:3" x14ac:dyDescent="0.2">
      <c r="A23" s="672">
        <v>5405</v>
      </c>
      <c r="B23" s="673" t="s">
        <v>143</v>
      </c>
      <c r="C23" s="212" t="s">
        <v>575</v>
      </c>
    </row>
    <row r="24" spans="1:3" x14ac:dyDescent="0.2">
      <c r="A24" s="671">
        <v>5403</v>
      </c>
      <c r="B24" s="668" t="s">
        <v>158</v>
      </c>
      <c r="C24" s="152" t="s">
        <v>576</v>
      </c>
    </row>
    <row r="25" spans="1:3" x14ac:dyDescent="0.2">
      <c r="A25" s="672">
        <v>5402</v>
      </c>
      <c r="B25" s="673" t="s">
        <v>159</v>
      </c>
      <c r="C25" s="212" t="s">
        <v>577</v>
      </c>
    </row>
    <row r="26" spans="1:3" x14ac:dyDescent="0.2">
      <c r="A26" s="671">
        <v>5603</v>
      </c>
      <c r="B26" s="668" t="s">
        <v>523</v>
      </c>
      <c r="C26" s="152" t="s">
        <v>578</v>
      </c>
    </row>
    <row r="27" spans="1:3" x14ac:dyDescent="0.2">
      <c r="A27" s="672">
        <v>5020</v>
      </c>
      <c r="B27" s="673" t="s">
        <v>161</v>
      </c>
      <c r="C27" s="212" t="s">
        <v>579</v>
      </c>
    </row>
    <row r="28" spans="1:3" x14ac:dyDescent="0.2">
      <c r="A28" s="671">
        <v>5104</v>
      </c>
      <c r="B28" s="668" t="s">
        <v>580</v>
      </c>
      <c r="C28" s="152" t="s">
        <v>581</v>
      </c>
    </row>
    <row r="29" spans="1:3" x14ac:dyDescent="0.2">
      <c r="A29" s="672">
        <v>5109</v>
      </c>
      <c r="B29" s="673" t="s">
        <v>162</v>
      </c>
      <c r="C29" s="212" t="s">
        <v>582</v>
      </c>
    </row>
    <row r="30" spans="1:3" x14ac:dyDescent="0.2">
      <c r="A30" s="671">
        <v>5200</v>
      </c>
      <c r="B30" s="668" t="s">
        <v>163</v>
      </c>
      <c r="C30" s="152" t="s">
        <v>583</v>
      </c>
    </row>
    <row r="31" spans="1:3" x14ac:dyDescent="0.2">
      <c r="A31" s="672">
        <v>5301</v>
      </c>
      <c r="B31" s="215" t="s">
        <v>524</v>
      </c>
      <c r="C31" s="212"/>
    </row>
    <row r="32" spans="1:3" x14ac:dyDescent="0.2">
      <c r="A32" s="671">
        <v>5053</v>
      </c>
      <c r="B32" s="668" t="s">
        <v>165</v>
      </c>
    </row>
    <row r="33" spans="1:3" x14ac:dyDescent="0.2">
      <c r="A33" s="672">
        <v>5604</v>
      </c>
      <c r="B33" s="673" t="s">
        <v>166</v>
      </c>
      <c r="C33" s="212" t="s">
        <v>584</v>
      </c>
    </row>
    <row r="34" spans="1:3" x14ac:dyDescent="0.2">
      <c r="A34" s="671">
        <v>5062</v>
      </c>
      <c r="B34" s="668" t="s">
        <v>167</v>
      </c>
      <c r="C34" s="152" t="s">
        <v>585</v>
      </c>
    </row>
    <row r="35" spans="1:3" x14ac:dyDescent="0.2">
      <c r="A35" s="672">
        <v>5302</v>
      </c>
      <c r="B35" s="673" t="s">
        <v>168</v>
      </c>
      <c r="C35" s="212" t="s">
        <v>586</v>
      </c>
    </row>
    <row r="36" spans="1:3" x14ac:dyDescent="0.2">
      <c r="A36" s="671">
        <v>5001</v>
      </c>
      <c r="B36" s="668" t="s">
        <v>169</v>
      </c>
      <c r="C36" s="152" t="s">
        <v>587</v>
      </c>
    </row>
    <row r="37" spans="1:3" x14ac:dyDescent="0.2">
      <c r="A37" s="672">
        <v>5061</v>
      </c>
      <c r="B37" s="673" t="s">
        <v>170</v>
      </c>
      <c r="C37" s="212" t="s">
        <v>588</v>
      </c>
    </row>
    <row r="38" spans="1:3" x14ac:dyDescent="0.2">
      <c r="A38" s="671">
        <v>5304</v>
      </c>
      <c r="B38" s="668" t="s">
        <v>171</v>
      </c>
      <c r="C38" s="152" t="s">
        <v>589</v>
      </c>
    </row>
    <row r="39" spans="1:3" x14ac:dyDescent="0.2">
      <c r="A39" s="672">
        <v>5064</v>
      </c>
      <c r="B39" s="673" t="s">
        <v>172</v>
      </c>
      <c r="C39" s="212" t="s">
        <v>590</v>
      </c>
    </row>
    <row r="40" spans="1:3" x14ac:dyDescent="0.2">
      <c r="A40" s="671">
        <v>5601</v>
      </c>
      <c r="B40" s="668" t="s">
        <v>173</v>
      </c>
      <c r="C40" s="152" t="s">
        <v>591</v>
      </c>
    </row>
    <row r="41" spans="1:3" x14ac:dyDescent="0.2">
      <c r="A41" s="672">
        <v>5000</v>
      </c>
      <c r="B41" s="673" t="s">
        <v>479</v>
      </c>
      <c r="C41" s="212" t="s">
        <v>592</v>
      </c>
    </row>
  </sheetData>
  <mergeCells count="2">
    <mergeCell ref="A1:C1"/>
    <mergeCell ref="A15:C15"/>
  </mergeCells>
  <pageMargins left="0.2" right="0.2" top="0.25" bottom="0.25" header="0.3" footer="0.3"/>
  <pageSetup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C64E-E2C4-49DD-9354-6DEC28E1B8F3}">
  <sheetPr>
    <tabColor rgb="FF7030A0"/>
  </sheetPr>
  <dimension ref="A1:AC26"/>
  <sheetViews>
    <sheetView workbookViewId="0">
      <selection sqref="A1:N1"/>
    </sheetView>
  </sheetViews>
  <sheetFormatPr baseColWidth="10" defaultColWidth="9.1640625" defaultRowHeight="13" x14ac:dyDescent="0.15"/>
  <cols>
    <col min="1" max="1" width="31.5" style="40" customWidth="1"/>
    <col min="2" max="2" width="45.5" style="324" customWidth="1"/>
    <col min="3" max="3" width="9.1640625" style="40"/>
    <col min="4" max="4" width="12.33203125" style="40" bestFit="1" customWidth="1"/>
    <col min="5" max="8" width="9.1640625" style="40"/>
    <col min="9" max="9" width="13.83203125" style="40" bestFit="1" customWidth="1"/>
    <col min="10" max="10" width="13.83203125" style="40" customWidth="1"/>
    <col min="11" max="11" width="11.1640625" style="40" bestFit="1" customWidth="1"/>
    <col min="12" max="12" width="11.1640625" style="40" customWidth="1"/>
    <col min="13" max="13" width="12.1640625" style="40" bestFit="1" customWidth="1"/>
    <col min="14" max="14" width="12.1640625" style="40" customWidth="1"/>
    <col min="15" max="15" width="9.1640625" style="40"/>
    <col min="16" max="16" width="13.83203125" style="40" bestFit="1" customWidth="1"/>
    <col min="17" max="17" width="13.83203125" style="40" customWidth="1"/>
    <col min="18" max="24" width="9.1640625" style="40"/>
    <col min="25" max="25" width="21.6640625" style="40" customWidth="1"/>
    <col min="26" max="16384" width="9.1640625" style="40"/>
  </cols>
  <sheetData>
    <row r="1" spans="1:29" ht="15" x14ac:dyDescent="0.2">
      <c r="A1" s="821" t="s">
        <v>593</v>
      </c>
      <c r="B1" s="821"/>
      <c r="D1" s="320" t="s">
        <v>594</v>
      </c>
      <c r="E1" s="320" t="s">
        <v>595</v>
      </c>
      <c r="F1" s="320" t="s">
        <v>596</v>
      </c>
      <c r="G1" s="320" t="s">
        <v>597</v>
      </c>
      <c r="H1" s="320" t="s">
        <v>598</v>
      </c>
      <c r="I1" s="320" t="s">
        <v>599</v>
      </c>
      <c r="J1" s="320" t="s">
        <v>600</v>
      </c>
      <c r="K1" s="320" t="s">
        <v>601</v>
      </c>
      <c r="L1" s="320" t="s">
        <v>602</v>
      </c>
      <c r="M1" s="320" t="s">
        <v>603</v>
      </c>
      <c r="N1" s="320" t="s">
        <v>604</v>
      </c>
      <c r="O1" s="320" t="s">
        <v>605</v>
      </c>
      <c r="P1" s="320" t="s">
        <v>606</v>
      </c>
      <c r="Q1" s="320" t="s">
        <v>607</v>
      </c>
      <c r="R1" s="320" t="s">
        <v>608</v>
      </c>
      <c r="S1" s="320" t="s">
        <v>609</v>
      </c>
      <c r="T1" s="320" t="s">
        <v>610</v>
      </c>
      <c r="U1" s="320" t="s">
        <v>611</v>
      </c>
      <c r="V1" s="320" t="s">
        <v>612</v>
      </c>
      <c r="W1" s="320" t="s">
        <v>613</v>
      </c>
      <c r="X1" s="320" t="s">
        <v>614</v>
      </c>
      <c r="Y1" s="320" t="s">
        <v>615</v>
      </c>
      <c r="Z1" s="320" t="s">
        <v>616</v>
      </c>
      <c r="AA1" s="320" t="s">
        <v>617</v>
      </c>
      <c r="AB1" s="320" t="s">
        <v>618</v>
      </c>
      <c r="AC1" s="320"/>
    </row>
    <row r="2" spans="1:29" x14ac:dyDescent="0.15">
      <c r="A2" s="40" t="s">
        <v>619</v>
      </c>
      <c r="B2" s="328">
        <f ca="1">TODAY()</f>
        <v>45099</v>
      </c>
      <c r="D2" s="321" t="str">
        <f ca="1">TEXT(B2, "MMMM D, YYYY")</f>
        <v>June 22, 2023</v>
      </c>
      <c r="E2" s="320" t="str">
        <f>B3</f>
        <v xml:space="preserve">Firelands Manor </v>
      </c>
      <c r="F2" s="320" t="str">
        <f>B4</f>
        <v xml:space="preserve"> 5810 US Hwy 20 East, Wakeman, OH 44889</v>
      </c>
      <c r="G2" s="320" t="str">
        <f>B5</f>
        <v>Elias Weiner</v>
      </c>
      <c r="H2" s="320" t="str">
        <f>B6</f>
        <v>Owner of Record</v>
      </c>
      <c r="I2" s="322" t="str">
        <f>TEXT(B7,"$##,###,###")</f>
        <v>$8,243,334</v>
      </c>
      <c r="J2" s="322" t="str">
        <f>B8</f>
        <v xml:space="preserve">One Million  </v>
      </c>
      <c r="K2" s="322" t="str">
        <f>TEXT(B9,"$###,###")</f>
        <v>$20,000</v>
      </c>
      <c r="L2" s="322" t="str">
        <f>B10</f>
        <v>Twenty Thousand</v>
      </c>
      <c r="M2" s="322" t="e">
        <f>TEXT(B11,"$##,###,###")</f>
        <v>#REF!</v>
      </c>
      <c r="N2" s="322" t="str">
        <f>B12</f>
        <v>Three Hundred Thousand</v>
      </c>
      <c r="O2" s="323" t="e">
        <f>TEXT(B13,"##%")</f>
        <v>#REF!</v>
      </c>
      <c r="P2" s="322" t="e">
        <f>TEXT(B14,"$##,###,###")</f>
        <v>#REF!</v>
      </c>
      <c r="Q2" s="322" t="str">
        <f>B15</f>
        <v>Seven Hundred Thousand</v>
      </c>
      <c r="R2" s="323" t="e">
        <f>TEXT(B16,"##%")</f>
        <v>#REF!</v>
      </c>
      <c r="S2" s="320">
        <f>B17</f>
        <v>45</v>
      </c>
      <c r="T2" s="320" t="str">
        <f>B18</f>
        <v>Forty-Five</v>
      </c>
      <c r="U2" s="320">
        <f>B19</f>
        <v>75</v>
      </c>
      <c r="V2" s="320" t="str">
        <f>B20</f>
        <v>Seventy-Five</v>
      </c>
      <c r="W2" s="320">
        <f>B21</f>
        <v>90</v>
      </c>
      <c r="X2" s="320" t="str">
        <f>B22</f>
        <v>Ninety</v>
      </c>
      <c r="Y2" s="321" t="str">
        <f ca="1">TEXT(B23, "DDDD, MMMM D, YYYY")</f>
        <v>Tuesday, June 27, 2023</v>
      </c>
      <c r="Z2" s="320" t="str">
        <f>B24</f>
        <v>Old Republic Title</v>
      </c>
      <c r="AA2" s="320" t="str">
        <f>B25</f>
        <v>California</v>
      </c>
      <c r="AB2" s="320" t="str">
        <f>B26</f>
        <v>Enter Broker Name Here</v>
      </c>
      <c r="AC2" s="320"/>
    </row>
    <row r="3" spans="1:29" x14ac:dyDescent="0.15">
      <c r="A3" s="40" t="s">
        <v>620</v>
      </c>
      <c r="B3" s="76" t="str">
        <f>LEFT(Proforma!C1,SEARCH("-",Proforma!C1)-1)</f>
        <v xml:space="preserve">Firelands Manor </v>
      </c>
    </row>
    <row r="4" spans="1:29" x14ac:dyDescent="0.15">
      <c r="A4" s="40" t="s">
        <v>621</v>
      </c>
      <c r="B4" s="76" t="str">
        <f>RIGHT(Proforma!C1,LEN(Proforma!C1)-SEARCH("-",Proforma!C1))</f>
        <v xml:space="preserve"> 5810 US Hwy 20 East, Wakeman, OH 44889</v>
      </c>
    </row>
    <row r="5" spans="1:29" x14ac:dyDescent="0.15">
      <c r="A5" s="40" t="s">
        <v>597</v>
      </c>
      <c r="B5" s="592" t="s">
        <v>622</v>
      </c>
    </row>
    <row r="6" spans="1:29" x14ac:dyDescent="0.15">
      <c r="A6" s="40" t="s">
        <v>598</v>
      </c>
      <c r="B6" s="330" t="s">
        <v>623</v>
      </c>
    </row>
    <row r="7" spans="1:29" x14ac:dyDescent="0.15">
      <c r="A7" s="40" t="s">
        <v>43</v>
      </c>
      <c r="B7" s="325">
        <f>Proforma!D4</f>
        <v>8243334</v>
      </c>
    </row>
    <row r="8" spans="1:29" x14ac:dyDescent="0.15">
      <c r="A8" s="40" t="s">
        <v>624</v>
      </c>
      <c r="B8" s="331" t="s">
        <v>625</v>
      </c>
    </row>
    <row r="9" spans="1:29" x14ac:dyDescent="0.15">
      <c r="A9" s="40" t="s">
        <v>601</v>
      </c>
      <c r="B9" s="325">
        <v>20000</v>
      </c>
    </row>
    <row r="10" spans="1:29" x14ac:dyDescent="0.15">
      <c r="A10" s="40" t="s">
        <v>626</v>
      </c>
      <c r="B10" s="331" t="s">
        <v>627</v>
      </c>
    </row>
    <row r="11" spans="1:29" x14ac:dyDescent="0.15">
      <c r="A11" s="40" t="s">
        <v>628</v>
      </c>
      <c r="B11" s="326" t="e">
        <f>B7*(1-Proforma!#REF!)</f>
        <v>#REF!</v>
      </c>
    </row>
    <row r="12" spans="1:29" x14ac:dyDescent="0.15">
      <c r="A12" s="40" t="s">
        <v>629</v>
      </c>
      <c r="B12" s="331" t="s">
        <v>630</v>
      </c>
    </row>
    <row r="13" spans="1:29" x14ac:dyDescent="0.15">
      <c r="A13" s="40" t="s">
        <v>631</v>
      </c>
      <c r="B13" s="327" t="e">
        <f>B11/B7</f>
        <v>#REF!</v>
      </c>
    </row>
    <row r="14" spans="1:29" x14ac:dyDescent="0.15">
      <c r="A14" s="40" t="s">
        <v>606</v>
      </c>
      <c r="B14" s="329" t="e">
        <f>B7-B11</f>
        <v>#REF!</v>
      </c>
    </row>
    <row r="15" spans="1:29" x14ac:dyDescent="0.15">
      <c r="A15" s="40" t="s">
        <v>632</v>
      </c>
      <c r="B15" s="331" t="s">
        <v>633</v>
      </c>
    </row>
    <row r="16" spans="1:29" x14ac:dyDescent="0.15">
      <c r="A16" s="40" t="s">
        <v>634</v>
      </c>
      <c r="B16" s="327" t="e">
        <f>B14/B7</f>
        <v>#REF!</v>
      </c>
    </row>
    <row r="17" spans="1:2" x14ac:dyDescent="0.15">
      <c r="A17" s="40" t="s">
        <v>635</v>
      </c>
      <c r="B17" s="76">
        <v>45</v>
      </c>
    </row>
    <row r="18" spans="1:2" x14ac:dyDescent="0.15">
      <c r="A18" s="40" t="s">
        <v>636</v>
      </c>
      <c r="B18" s="332" t="s">
        <v>637</v>
      </c>
    </row>
    <row r="19" spans="1:2" x14ac:dyDescent="0.15">
      <c r="A19" s="40" t="s">
        <v>638</v>
      </c>
      <c r="B19" s="76">
        <v>75</v>
      </c>
    </row>
    <row r="20" spans="1:2" x14ac:dyDescent="0.15">
      <c r="A20" s="40" t="s">
        <v>639</v>
      </c>
      <c r="B20" s="332" t="s">
        <v>640</v>
      </c>
    </row>
    <row r="21" spans="1:2" x14ac:dyDescent="0.15">
      <c r="A21" s="40" t="s">
        <v>613</v>
      </c>
      <c r="B21" s="76">
        <v>90</v>
      </c>
    </row>
    <row r="22" spans="1:2" x14ac:dyDescent="0.15">
      <c r="A22" s="40" t="s">
        <v>641</v>
      </c>
      <c r="B22" s="332" t="s">
        <v>642</v>
      </c>
    </row>
    <row r="23" spans="1:2" x14ac:dyDescent="0.15">
      <c r="A23" s="40" t="s">
        <v>643</v>
      </c>
      <c r="B23" s="328">
        <f ca="1">5+B2</f>
        <v>45104</v>
      </c>
    </row>
    <row r="24" spans="1:2" x14ac:dyDescent="0.15">
      <c r="A24" s="40" t="s">
        <v>644</v>
      </c>
      <c r="B24" s="592" t="s">
        <v>645</v>
      </c>
    </row>
    <row r="25" spans="1:2" x14ac:dyDescent="0.15">
      <c r="A25" s="40" t="s">
        <v>646</v>
      </c>
      <c r="B25" s="592" t="s">
        <v>647</v>
      </c>
    </row>
    <row r="26" spans="1:2" x14ac:dyDescent="0.15">
      <c r="A26" s="40" t="s">
        <v>648</v>
      </c>
      <c r="B26" s="330" t="s">
        <v>649</v>
      </c>
    </row>
  </sheetData>
  <mergeCells count="1">
    <mergeCell ref="A1:B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7F88-CAF0-4425-A084-0EAFE098B48C}">
  <sheetPr>
    <tabColor theme="9"/>
    <pageSetUpPr fitToPage="1"/>
  </sheetPr>
  <dimension ref="A1:AC112"/>
  <sheetViews>
    <sheetView workbookViewId="0">
      <selection sqref="A1:N1"/>
    </sheetView>
  </sheetViews>
  <sheetFormatPr baseColWidth="10" defaultColWidth="0" defaultRowHeight="0" customHeight="1" zeroHeight="1" x14ac:dyDescent="0.2"/>
  <cols>
    <col min="1" max="1" width="1" style="349" customWidth="1"/>
    <col min="2" max="2" width="29.6640625" style="349" customWidth="1"/>
    <col min="3" max="3" width="15.33203125" style="349" customWidth="1"/>
    <col min="4" max="4" width="16.1640625" style="349" bestFit="1" customWidth="1"/>
    <col min="5" max="5" width="20.33203125" style="349" customWidth="1"/>
    <col min="6" max="7" width="10.83203125" style="350" bestFit="1" customWidth="1"/>
    <col min="8" max="9" width="10.1640625" style="350" bestFit="1" customWidth="1"/>
    <col min="10" max="10" width="12.33203125" style="350" customWidth="1"/>
    <col min="11" max="11" width="10.33203125" style="350" customWidth="1"/>
    <col min="12" max="13" width="10.1640625" style="350" bestFit="1" customWidth="1"/>
    <col min="14" max="14" width="11.83203125" style="350" customWidth="1"/>
    <col min="15" max="16" width="10.1640625" style="350" bestFit="1" customWidth="1"/>
    <col min="17" max="17" width="10.33203125" style="349" bestFit="1" customWidth="1"/>
    <col min="18" max="18" width="18.5" style="349" bestFit="1" customWidth="1"/>
    <col min="19" max="20" width="10.1640625" style="349" bestFit="1" customWidth="1"/>
    <col min="21" max="21" width="11.1640625" style="349" bestFit="1" customWidth="1"/>
    <col min="22" max="29" width="9.1640625" style="349" customWidth="1"/>
    <col min="30" max="16384" width="9.1640625" style="349" hidden="1"/>
  </cols>
  <sheetData>
    <row r="1" spans="1:21" ht="6.75" customHeight="1" x14ac:dyDescent="0.2"/>
    <row r="2" spans="1:21" ht="19" x14ac:dyDescent="0.25">
      <c r="B2" s="351" t="s">
        <v>650</v>
      </c>
      <c r="C2" s="352"/>
      <c r="D2" s="352"/>
      <c r="E2" s="352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4"/>
    </row>
    <row r="3" spans="1:21" ht="5" customHeight="1" x14ac:dyDescent="0.2">
      <c r="B3" s="355"/>
      <c r="C3" s="356"/>
      <c r="D3" s="356"/>
      <c r="E3" s="356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</row>
    <row r="4" spans="1:21" ht="16" x14ac:dyDescent="0.2">
      <c r="B4" s="355" t="s">
        <v>651</v>
      </c>
      <c r="C4" s="356"/>
      <c r="D4" s="358" t="s">
        <v>652</v>
      </c>
      <c r="E4" s="359"/>
      <c r="F4" s="360" t="s">
        <v>653</v>
      </c>
      <c r="G4" s="361">
        <v>10</v>
      </c>
      <c r="H4" s="357"/>
      <c r="I4" s="357"/>
      <c r="J4" s="357"/>
      <c r="K4" s="357"/>
      <c r="L4" s="357"/>
      <c r="M4" s="357"/>
      <c r="N4" s="362"/>
      <c r="O4" s="824"/>
      <c r="P4" s="824"/>
      <c r="Q4" s="824"/>
      <c r="R4" s="824"/>
      <c r="S4" s="824"/>
      <c r="T4" s="357"/>
      <c r="U4" s="357"/>
    </row>
    <row r="5" spans="1:21" ht="16" x14ac:dyDescent="0.2">
      <c r="A5" s="349" t="b">
        <f>AND(E5="Yes", H14&lt;Equity_Share_Sponsor)</f>
        <v>0</v>
      </c>
      <c r="B5" s="355" t="s">
        <v>654</v>
      </c>
      <c r="C5" s="356"/>
      <c r="D5" s="363" t="s">
        <v>655</v>
      </c>
      <c r="E5" s="364" t="s">
        <v>83</v>
      </c>
      <c r="F5" s="365" t="s">
        <v>656</v>
      </c>
      <c r="G5" s="366">
        <f>Proforma!D97</f>
        <v>5</v>
      </c>
      <c r="H5" s="367" t="s">
        <v>657</v>
      </c>
      <c r="I5" s="357"/>
      <c r="J5" s="357"/>
      <c r="K5" s="357"/>
      <c r="L5" s="357"/>
      <c r="M5" s="357"/>
      <c r="N5" s="362"/>
      <c r="O5" s="824"/>
      <c r="P5" s="824"/>
      <c r="Q5" s="824"/>
      <c r="R5" s="824"/>
      <c r="S5" s="824"/>
      <c r="T5" s="357"/>
      <c r="U5" s="357"/>
    </row>
    <row r="6" spans="1:21" ht="5" customHeight="1" x14ac:dyDescent="0.2">
      <c r="B6" s="368"/>
      <c r="C6" s="368"/>
      <c r="D6" s="369"/>
      <c r="E6" s="368"/>
      <c r="F6" s="370"/>
      <c r="G6" s="370"/>
      <c r="H6" s="370"/>
      <c r="I6" s="370"/>
      <c r="J6" s="370"/>
      <c r="K6" s="370"/>
      <c r="L6" s="370"/>
      <c r="M6" s="357"/>
      <c r="N6" s="370"/>
      <c r="O6" s="370"/>
      <c r="P6" s="370"/>
      <c r="Q6" s="368"/>
      <c r="R6" s="368"/>
      <c r="S6" s="368"/>
      <c r="T6" s="368"/>
      <c r="U6" s="368"/>
    </row>
    <row r="7" spans="1:21" ht="17" thickBot="1" x14ac:dyDescent="0.25">
      <c r="B7" s="371" t="s">
        <v>658</v>
      </c>
      <c r="C7" s="372" t="s">
        <v>659</v>
      </c>
      <c r="D7" s="372" t="s">
        <v>660</v>
      </c>
      <c r="E7" s="365"/>
      <c r="F7" s="372" t="s">
        <v>661</v>
      </c>
      <c r="G7" s="373">
        <f>Proforma!E102</f>
        <v>5.2499999999999998E-2</v>
      </c>
      <c r="H7" s="367" t="s">
        <v>662</v>
      </c>
      <c r="I7" s="370"/>
      <c r="J7" s="370"/>
      <c r="K7" s="370"/>
      <c r="L7" s="370"/>
      <c r="M7" s="357"/>
      <c r="N7" s="370"/>
      <c r="O7" s="370"/>
      <c r="P7" s="370"/>
      <c r="Q7" s="368"/>
      <c r="R7" s="368"/>
      <c r="S7" s="368"/>
      <c r="T7" s="368"/>
      <c r="U7" s="368"/>
    </row>
    <row r="8" spans="1:21" ht="15" x14ac:dyDescent="0.2">
      <c r="B8" s="368" t="s">
        <v>663</v>
      </c>
      <c r="C8" s="374">
        <v>0.05</v>
      </c>
      <c r="D8" s="375">
        <f>Equity_Share_Sponsor*Total_Equity</f>
        <v>219073.56003735351</v>
      </c>
      <c r="E8" s="368"/>
      <c r="F8" s="376"/>
      <c r="G8" s="367"/>
      <c r="H8" s="370"/>
      <c r="I8" s="370"/>
      <c r="J8" s="370"/>
      <c r="K8" s="377" t="s">
        <v>664</v>
      </c>
      <c r="L8" s="378" t="str">
        <f>IF(ROUND(L10,0)=ROUND(L9,0),"OK","Error")</f>
        <v>OK</v>
      </c>
      <c r="M8" s="370"/>
      <c r="N8" s="370"/>
      <c r="O8" s="370"/>
      <c r="P8" s="370"/>
      <c r="Q8" s="368"/>
      <c r="R8" s="368"/>
      <c r="S8" s="368"/>
      <c r="T8" s="368"/>
      <c r="U8" s="368"/>
    </row>
    <row r="9" spans="1:21" ht="15" x14ac:dyDescent="0.2">
      <c r="B9" s="368" t="s">
        <v>665</v>
      </c>
      <c r="C9" s="379">
        <f>1-C8</f>
        <v>0.95</v>
      </c>
      <c r="D9" s="380">
        <f>Total_Equity*Equity_Share_LP</f>
        <v>4162397.6407097164</v>
      </c>
      <c r="E9" s="368"/>
      <c r="F9" s="376"/>
      <c r="G9" s="381"/>
      <c r="H9" s="370"/>
      <c r="I9" s="370"/>
      <c r="J9" s="370"/>
      <c r="K9" s="382" t="s">
        <v>666</v>
      </c>
      <c r="L9" s="383">
        <f>(D23+D33)/1000000</f>
        <v>2.3564870751351585</v>
      </c>
      <c r="M9" s="370"/>
      <c r="N9" s="370"/>
      <c r="O9" s="370"/>
      <c r="P9" s="370"/>
      <c r="Q9" s="368"/>
      <c r="R9" s="384"/>
      <c r="S9" s="368"/>
      <c r="T9" s="368"/>
      <c r="U9" s="368"/>
    </row>
    <row r="10" spans="1:21" ht="16" thickBot="1" x14ac:dyDescent="0.25">
      <c r="B10" s="368" t="s">
        <v>667</v>
      </c>
      <c r="C10" s="385"/>
      <c r="D10" s="375">
        <f>-SUMIF(F47:U47,"&lt;0")</f>
        <v>4381471.2007470699</v>
      </c>
      <c r="E10" s="368"/>
      <c r="F10" s="376"/>
      <c r="G10" s="381"/>
      <c r="H10" s="370"/>
      <c r="I10" s="370"/>
      <c r="J10" s="370"/>
      <c r="K10" s="386" t="s">
        <v>668</v>
      </c>
      <c r="L10" s="387">
        <f>(SUM(F47:U47)+SUM(F40:U42))/1000000</f>
        <v>2.3564870751351581</v>
      </c>
      <c r="M10" s="370"/>
      <c r="N10" s="388"/>
      <c r="O10" s="370"/>
      <c r="P10" s="370"/>
      <c r="Q10" s="368"/>
      <c r="R10" s="384"/>
      <c r="S10" s="368"/>
      <c r="T10" s="368"/>
      <c r="U10" s="368"/>
    </row>
    <row r="11" spans="1:21" ht="5" customHeight="1" x14ac:dyDescent="0.2">
      <c r="B11" s="368"/>
      <c r="C11" s="385"/>
      <c r="D11" s="389"/>
      <c r="E11" s="368"/>
      <c r="F11" s="376"/>
      <c r="G11" s="381"/>
      <c r="H11" s="370"/>
      <c r="I11" s="370"/>
      <c r="J11" s="370"/>
      <c r="K11" s="370"/>
      <c r="L11" s="370"/>
      <c r="M11" s="370"/>
      <c r="N11" s="370"/>
      <c r="O11" s="370"/>
      <c r="P11" s="370"/>
      <c r="Q11" s="368"/>
      <c r="R11" s="368"/>
      <c r="S11" s="368"/>
      <c r="T11" s="368"/>
      <c r="U11" s="368"/>
    </row>
    <row r="12" spans="1:21" ht="15" x14ac:dyDescent="0.2">
      <c r="B12" s="368"/>
      <c r="C12" s="368"/>
      <c r="D12" s="369"/>
      <c r="E12" s="368"/>
      <c r="F12" s="825" t="s">
        <v>669</v>
      </c>
      <c r="G12" s="826"/>
      <c r="H12" s="829" t="s">
        <v>670</v>
      </c>
      <c r="I12" s="829"/>
      <c r="J12" s="390"/>
      <c r="K12" s="370"/>
      <c r="L12" s="370"/>
      <c r="M12" s="370"/>
      <c r="N12" s="370"/>
      <c r="O12" s="370"/>
      <c r="P12" s="370"/>
      <c r="Q12" s="368"/>
      <c r="R12" s="384"/>
      <c r="S12" s="368"/>
      <c r="T12" s="368"/>
      <c r="U12" s="368"/>
    </row>
    <row r="13" spans="1:21" ht="16" x14ac:dyDescent="0.2">
      <c r="B13" s="391" t="str">
        <f>IF(D4="Equity Multiple","Promote Structure (Equity Multiple Hurdles)","Promote Structure (IRR Hurdles)")</f>
        <v>Promote Structure (IRR Hurdles)</v>
      </c>
      <c r="C13" s="392"/>
      <c r="D13" s="393"/>
      <c r="E13" s="392"/>
      <c r="F13" s="827"/>
      <c r="G13" s="828"/>
      <c r="H13" s="394" t="s">
        <v>671</v>
      </c>
      <c r="I13" s="395" t="s">
        <v>672</v>
      </c>
      <c r="J13" s="396" t="s">
        <v>434</v>
      </c>
      <c r="K13" s="397"/>
      <c r="L13" s="397"/>
      <c r="M13" s="397"/>
      <c r="N13" s="397"/>
      <c r="O13" s="370"/>
      <c r="P13" s="370"/>
      <c r="Q13" s="368"/>
      <c r="R13" s="368"/>
      <c r="S13" s="368"/>
      <c r="T13" s="368"/>
      <c r="U13" s="368"/>
    </row>
    <row r="14" spans="1:21" ht="15" x14ac:dyDescent="0.2">
      <c r="B14" s="368" t="s">
        <v>673</v>
      </c>
      <c r="C14" s="398" t="s">
        <v>674</v>
      </c>
      <c r="D14" s="399" t="s">
        <v>675</v>
      </c>
      <c r="E14" s="400">
        <f>IF($D$4="Equity Multiple",C15,D15)</f>
        <v>7.0000000000000007E-2</v>
      </c>
      <c r="F14" s="401" t="s">
        <v>676</v>
      </c>
      <c r="G14" s="402"/>
      <c r="H14" s="403">
        <f>Equity_Share_Sponsor</f>
        <v>0.05</v>
      </c>
      <c r="I14" s="385">
        <f>1-H14</f>
        <v>0.95</v>
      </c>
      <c r="J14" s="830" t="str">
        <f>IF(I14=Equity_Share_LP,"Pref prorata to LP/GP, then Pro rata return of capital",IF(CU?,"Return of capital and Pref NOT pro rata + GP Catch Up","Return of capital and Pref NOT pro rata"))</f>
        <v>Pref prorata to LP/GP, then Pro rata return of capital</v>
      </c>
      <c r="K14" s="831"/>
      <c r="L14" s="831"/>
      <c r="M14" s="831"/>
      <c r="N14" s="831"/>
      <c r="O14" s="370"/>
      <c r="P14" s="370"/>
      <c r="Q14" s="368"/>
      <c r="R14" s="404"/>
      <c r="S14" s="368"/>
      <c r="T14" s="368"/>
      <c r="U14" s="368"/>
    </row>
    <row r="15" spans="1:21" ht="15" x14ac:dyDescent="0.2">
      <c r="B15" s="368" t="s">
        <v>677</v>
      </c>
      <c r="C15" s="405">
        <v>2</v>
      </c>
      <c r="D15" s="406">
        <v>7.0000000000000007E-2</v>
      </c>
      <c r="E15" s="407">
        <f t="shared" ref="E15:E16" si="0">IF($D$4="Equity Multiple",C16,D16)</f>
        <v>0.15</v>
      </c>
      <c r="F15" s="403">
        <v>0.4</v>
      </c>
      <c r="G15" s="408"/>
      <c r="H15" s="409">
        <f>1-(Equity_Share_LP*(1-F15))</f>
        <v>0.43000000000000005</v>
      </c>
      <c r="I15" s="385">
        <f t="shared" ref="I15:I17" si="1">1-H15</f>
        <v>0.56999999999999995</v>
      </c>
      <c r="J15" s="822" t="str">
        <f>IF(Equity_Share_Sponsor&lt;&gt;H14,TEXT(I14,"0.0%")&amp;"/"&amp;TEXT(H14,"0.0%")&amp;" to "&amp;(IF(D4="IRR",TEXT(E14,"0.0%"),TEXT(E14,"0.0X")))&amp;", then "&amp;TEXT(I15,"0.0%")&amp;"/"&amp;TEXT(H15,"0.0%")&amp;" to "&amp;(IF(D4="IRR",TEXT(E15,"0.0%"),TEXT(E15,"0.0X"))),"Prorata to LP/GP to "&amp;(IF(D4="IRR",TEXT(E14,"0.0%"),TEXT(E14,"0.0X")))&amp;", then "&amp;TEXT(I15,"0.0%")&amp;"/"&amp;TEXT(H15,"0.0%")&amp;" to "&amp;(IF(D4="IRR",TEXT(E15,"0.0%"),TEXT(E15,"0.0X"))))</f>
        <v>Prorata to LP/GP to 7.0%, then 57.0%/43.0% to 15.0%</v>
      </c>
      <c r="K15" s="823"/>
      <c r="L15" s="823"/>
      <c r="M15" s="823"/>
      <c r="N15" s="823"/>
      <c r="O15" s="370"/>
      <c r="P15" s="370"/>
      <c r="Q15" s="368"/>
      <c r="R15" s="368"/>
      <c r="S15" s="368"/>
      <c r="T15" s="368"/>
      <c r="U15" s="368"/>
    </row>
    <row r="16" spans="1:21" ht="15" x14ac:dyDescent="0.2">
      <c r="B16" s="368" t="s">
        <v>678</v>
      </c>
      <c r="C16" s="405">
        <v>2.5</v>
      </c>
      <c r="D16" s="406">
        <v>0.15</v>
      </c>
      <c r="E16" s="407">
        <f t="shared" si="0"/>
        <v>0.99</v>
      </c>
      <c r="F16" s="403">
        <v>0.5</v>
      </c>
      <c r="G16" s="408"/>
      <c r="H16" s="409">
        <f>1-(Equity_Share_LP*(1-F16))</f>
        <v>0.52500000000000002</v>
      </c>
      <c r="I16" s="385">
        <f t="shared" si="1"/>
        <v>0.47499999999999998</v>
      </c>
      <c r="J16" s="822" t="str">
        <f>TEXT(I15,"0.0%")&amp;"/"&amp;TEXT(H15,"0.0%")&amp;" to "&amp;(IF(D4="IRR",TEXT(E15,"0.0%"),TEXT(E15,"0.0X")))&amp;", then "&amp;TEXT(I16,"0.0%")&amp;"/"&amp;TEXT(H16,"0.0%")&amp;" to "&amp;(IF(D4="IRR",TEXT(E16,"0.0%"),TEXT(E16,"0.0X")))</f>
        <v>57.0%/43.0% to 15.0%, then 47.5%/52.5% to 99.0%</v>
      </c>
      <c r="K16" s="823"/>
      <c r="L16" s="823"/>
      <c r="M16" s="823"/>
      <c r="N16" s="823"/>
      <c r="O16" s="370"/>
      <c r="P16" s="370"/>
      <c r="Q16" s="368"/>
      <c r="R16" s="410"/>
      <c r="S16" s="368"/>
      <c r="T16" s="368"/>
      <c r="U16" s="368"/>
    </row>
    <row r="17" spans="2:21" ht="15" x14ac:dyDescent="0.2">
      <c r="B17" s="368" t="s">
        <v>679</v>
      </c>
      <c r="C17" s="405">
        <v>3</v>
      </c>
      <c r="D17" s="406">
        <v>0.99</v>
      </c>
      <c r="E17" s="407"/>
      <c r="F17" s="403">
        <v>0.5</v>
      </c>
      <c r="G17" s="408"/>
      <c r="H17" s="409">
        <f>1-(Equity_Share_LP*(1-F17))</f>
        <v>0.52500000000000002</v>
      </c>
      <c r="I17" s="385">
        <f t="shared" si="1"/>
        <v>0.47499999999999998</v>
      </c>
      <c r="J17" s="822" t="str">
        <f>TEXT(I16,"0.0%")&amp;"/"&amp;TEXT(H16,"0.0%")&amp;" to "&amp;(IF(D4="IRR",TEXT(E16,"0.0%"),TEXT(E16,"0.0X")))&amp;", then "&amp;TEXT(I17,"0.0%")&amp;"/"&amp;TEXT(H17,"0.0%")&amp;" thereafter"</f>
        <v>47.5%/52.5% to 99.0%, then 47.5%/52.5% thereafter</v>
      </c>
      <c r="K17" s="823"/>
      <c r="L17" s="823"/>
      <c r="M17" s="823"/>
      <c r="N17" s="823"/>
      <c r="O17" s="370"/>
      <c r="P17" s="370"/>
      <c r="Q17" s="368"/>
      <c r="R17" s="368"/>
      <c r="S17" s="368"/>
      <c r="T17" s="368"/>
      <c r="U17" s="368"/>
    </row>
    <row r="18" spans="2:21" ht="5" customHeight="1" x14ac:dyDescent="0.2">
      <c r="B18" s="368"/>
      <c r="C18" s="368"/>
      <c r="D18" s="411"/>
      <c r="E18" s="407"/>
      <c r="F18" s="381"/>
      <c r="G18" s="412"/>
      <c r="H18" s="413"/>
      <c r="I18" s="413"/>
      <c r="J18" s="370"/>
      <c r="K18" s="370"/>
      <c r="L18" s="370"/>
      <c r="M18" s="370"/>
      <c r="N18" s="370"/>
      <c r="O18" s="370"/>
      <c r="P18" s="370"/>
      <c r="Q18" s="368"/>
      <c r="R18" s="368"/>
      <c r="S18" s="368"/>
      <c r="T18" s="368"/>
      <c r="U18" s="368"/>
    </row>
    <row r="19" spans="2:21" ht="16" x14ac:dyDescent="0.2">
      <c r="B19" s="391" t="s">
        <v>680</v>
      </c>
      <c r="C19" s="392"/>
      <c r="D19" s="414"/>
      <c r="E19" s="415"/>
      <c r="F19" s="416">
        <v>0</v>
      </c>
      <c r="G19" s="416">
        <f>IF(G39="","",F19+1)</f>
        <v>1</v>
      </c>
      <c r="H19" s="416">
        <f t="shared" ref="H19:U19" si="2">IF(H39="","",G19+1)</f>
        <v>2</v>
      </c>
      <c r="I19" s="416">
        <f t="shared" si="2"/>
        <v>3</v>
      </c>
      <c r="J19" s="416">
        <f t="shared" si="2"/>
        <v>4</v>
      </c>
      <c r="K19" s="416">
        <f t="shared" si="2"/>
        <v>5</v>
      </c>
      <c r="L19" s="416">
        <f t="shared" si="2"/>
        <v>6</v>
      </c>
      <c r="M19" s="416">
        <f t="shared" si="2"/>
        <v>7</v>
      </c>
      <c r="N19" s="416">
        <f t="shared" si="2"/>
        <v>8</v>
      </c>
      <c r="O19" s="416">
        <f t="shared" si="2"/>
        <v>9</v>
      </c>
      <c r="P19" s="416">
        <f t="shared" si="2"/>
        <v>10</v>
      </c>
      <c r="Q19" s="416" t="str">
        <f t="shared" si="2"/>
        <v/>
      </c>
      <c r="R19" s="416" t="str">
        <f t="shared" si="2"/>
        <v/>
      </c>
      <c r="S19" s="416" t="str">
        <f t="shared" si="2"/>
        <v/>
      </c>
      <c r="T19" s="416" t="str">
        <f t="shared" si="2"/>
        <v/>
      </c>
      <c r="U19" s="416" t="str">
        <f t="shared" si="2"/>
        <v/>
      </c>
    </row>
    <row r="20" spans="2:21" ht="15" x14ac:dyDescent="0.2">
      <c r="B20" s="417" t="s">
        <v>681</v>
      </c>
      <c r="C20" s="368"/>
      <c r="D20" s="411"/>
      <c r="E20" s="407"/>
      <c r="F20" s="418"/>
      <c r="G20" s="419"/>
      <c r="H20" s="420"/>
      <c r="I20" s="420"/>
      <c r="J20" s="369"/>
      <c r="K20" s="369"/>
      <c r="L20" s="369"/>
      <c r="M20" s="369"/>
      <c r="N20" s="369"/>
      <c r="O20" s="369"/>
      <c r="P20" s="369"/>
      <c r="Q20" s="369"/>
      <c r="R20" s="369"/>
      <c r="S20" s="369"/>
      <c r="T20" s="369"/>
      <c r="U20" s="369"/>
    </row>
    <row r="21" spans="2:21" ht="15" x14ac:dyDescent="0.2">
      <c r="B21" s="421" t="s">
        <v>682</v>
      </c>
      <c r="C21" s="368"/>
      <c r="D21" s="422">
        <f>SUM(F21:U21)</f>
        <v>5659488.4522073027</v>
      </c>
      <c r="E21" s="407"/>
      <c r="F21" s="375">
        <f t="shared" ref="F21:U21" si="3">IF(F19="","",F60+F82+F97+F104)</f>
        <v>0</v>
      </c>
      <c r="G21" s="375">
        <f t="shared" si="3"/>
        <v>187746.43780366585</v>
      </c>
      <c r="H21" s="375">
        <f t="shared" si="3"/>
        <v>271639.80806366575</v>
      </c>
      <c r="I21" s="375">
        <f t="shared" si="3"/>
        <v>357871.43062886584</v>
      </c>
      <c r="J21" s="375">
        <f t="shared" si="3"/>
        <v>367097.66013275849</v>
      </c>
      <c r="K21" s="375">
        <f t="shared" si="3"/>
        <v>3543619.963684699</v>
      </c>
      <c r="L21" s="375">
        <f t="shared" si="3"/>
        <v>192466.49055733415</v>
      </c>
      <c r="M21" s="375">
        <f t="shared" si="3"/>
        <v>221866.23032506433</v>
      </c>
      <c r="N21" s="375">
        <f t="shared" si="3"/>
        <v>252500.40620190967</v>
      </c>
      <c r="O21" s="375">
        <f t="shared" si="3"/>
        <v>264680.02480933891</v>
      </c>
      <c r="P21" s="375">
        <f t="shared" si="3"/>
        <v>0</v>
      </c>
      <c r="Q21" s="375" t="str">
        <f t="shared" si="3"/>
        <v/>
      </c>
      <c r="R21" s="375" t="str">
        <f t="shared" si="3"/>
        <v/>
      </c>
      <c r="S21" s="375" t="str">
        <f t="shared" si="3"/>
        <v/>
      </c>
      <c r="T21" s="375" t="str">
        <f t="shared" si="3"/>
        <v/>
      </c>
      <c r="U21" s="375" t="str">
        <f t="shared" si="3"/>
        <v/>
      </c>
    </row>
    <row r="22" spans="2:21" ht="15" x14ac:dyDescent="0.2">
      <c r="B22" s="421" t="s">
        <v>683</v>
      </c>
      <c r="C22" s="368"/>
      <c r="D22" s="422">
        <f>SUM(F22:U22)</f>
        <v>4162397.6407097159</v>
      </c>
      <c r="E22" s="407"/>
      <c r="F22" s="375">
        <f t="shared" ref="F22:U22" si="4">F56</f>
        <v>4052699.6010000007</v>
      </c>
      <c r="G22" s="375">
        <f t="shared" si="4"/>
        <v>0</v>
      </c>
      <c r="H22" s="375">
        <f t="shared" si="4"/>
        <v>0</v>
      </c>
      <c r="I22" s="375">
        <f t="shared" si="4"/>
        <v>0</v>
      </c>
      <c r="J22" s="375">
        <f t="shared" si="4"/>
        <v>0</v>
      </c>
      <c r="K22" s="375">
        <f t="shared" si="4"/>
        <v>0</v>
      </c>
      <c r="L22" s="375">
        <f t="shared" si="4"/>
        <v>0</v>
      </c>
      <c r="M22" s="375">
        <f t="shared" si="4"/>
        <v>0</v>
      </c>
      <c r="N22" s="375">
        <f t="shared" si="4"/>
        <v>0</v>
      </c>
      <c r="O22" s="375">
        <f t="shared" si="4"/>
        <v>0</v>
      </c>
      <c r="P22" s="375">
        <f t="shared" si="4"/>
        <v>109698.03970971523</v>
      </c>
      <c r="Q22" s="375" t="str">
        <f t="shared" si="4"/>
        <v/>
      </c>
      <c r="R22" s="375" t="str">
        <f t="shared" si="4"/>
        <v/>
      </c>
      <c r="S22" s="375" t="str">
        <f t="shared" si="4"/>
        <v/>
      </c>
      <c r="T22" s="375" t="str">
        <f t="shared" si="4"/>
        <v/>
      </c>
      <c r="U22" s="375" t="str">
        <f t="shared" si="4"/>
        <v/>
      </c>
    </row>
    <row r="23" spans="2:21" ht="15" x14ac:dyDescent="0.2">
      <c r="B23" s="421" t="s">
        <v>684</v>
      </c>
      <c r="C23" s="368"/>
      <c r="D23" s="422">
        <f>D21-D22</f>
        <v>1497090.8114975868</v>
      </c>
      <c r="E23" s="407"/>
      <c r="F23" s="418"/>
      <c r="G23" s="419"/>
      <c r="H23" s="420"/>
      <c r="I23" s="420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</row>
    <row r="24" spans="2:21" ht="15" x14ac:dyDescent="0.2">
      <c r="B24" s="421" t="s">
        <v>685</v>
      </c>
      <c r="C24" s="368"/>
      <c r="D24" s="423">
        <f>IRR(F24:U24)</f>
        <v>6.777268817178328E-2</v>
      </c>
      <c r="E24" s="407"/>
      <c r="F24" s="375">
        <f t="shared" ref="F24:U24" si="5">IF(F19="","",(-F22)+F21)</f>
        <v>-4052699.6010000007</v>
      </c>
      <c r="G24" s="375">
        <f t="shared" si="5"/>
        <v>187746.43780366585</v>
      </c>
      <c r="H24" s="375">
        <f t="shared" si="5"/>
        <v>271639.80806366575</v>
      </c>
      <c r="I24" s="375">
        <f t="shared" si="5"/>
        <v>357871.43062886584</v>
      </c>
      <c r="J24" s="375">
        <f t="shared" si="5"/>
        <v>367097.66013275849</v>
      </c>
      <c r="K24" s="375">
        <f t="shared" si="5"/>
        <v>3543619.963684699</v>
      </c>
      <c r="L24" s="375">
        <f t="shared" si="5"/>
        <v>192466.49055733415</v>
      </c>
      <c r="M24" s="375">
        <f t="shared" si="5"/>
        <v>221866.23032506433</v>
      </c>
      <c r="N24" s="375">
        <f t="shared" si="5"/>
        <v>252500.40620190967</v>
      </c>
      <c r="O24" s="375">
        <f t="shared" si="5"/>
        <v>264680.02480933891</v>
      </c>
      <c r="P24" s="375">
        <f t="shared" si="5"/>
        <v>-109698.03970971523</v>
      </c>
      <c r="Q24" s="375" t="str">
        <f t="shared" si="5"/>
        <v/>
      </c>
      <c r="R24" s="375" t="str">
        <f t="shared" si="5"/>
        <v/>
      </c>
      <c r="S24" s="375" t="str">
        <f t="shared" si="5"/>
        <v/>
      </c>
      <c r="T24" s="375" t="str">
        <f t="shared" si="5"/>
        <v/>
      </c>
      <c r="U24" s="375" t="str">
        <f t="shared" si="5"/>
        <v/>
      </c>
    </row>
    <row r="25" spans="2:21" ht="15" x14ac:dyDescent="0.2">
      <c r="B25" s="421" t="s">
        <v>686</v>
      </c>
      <c r="C25" s="368"/>
      <c r="D25" s="424">
        <f>D21/D22</f>
        <v>1.3596703008034385</v>
      </c>
      <c r="E25" s="407"/>
      <c r="F25" s="418"/>
      <c r="G25" s="419"/>
      <c r="H25" s="420"/>
      <c r="I25" s="420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</row>
    <row r="26" spans="2:21" ht="5" customHeight="1" x14ac:dyDescent="0.2">
      <c r="B26" s="421"/>
      <c r="C26" s="368"/>
      <c r="D26" s="411"/>
      <c r="E26" s="407"/>
      <c r="F26" s="418"/>
      <c r="G26" s="419"/>
      <c r="H26" s="420"/>
      <c r="I26" s="420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</row>
    <row r="27" spans="2:21" ht="15" x14ac:dyDescent="0.2">
      <c r="B27" s="417" t="s">
        <v>687</v>
      </c>
      <c r="C27" s="368"/>
      <c r="D27" s="411"/>
      <c r="E27" s="407"/>
      <c r="F27" s="418"/>
      <c r="G27" s="419"/>
      <c r="H27" s="420"/>
      <c r="I27" s="420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</row>
    <row r="28" spans="2:21" s="430" customFormat="1" ht="15" x14ac:dyDescent="0.2">
      <c r="B28" s="425" t="s">
        <v>688</v>
      </c>
      <c r="C28" s="426"/>
      <c r="D28" s="427">
        <f>SUM(F28:U28)</f>
        <v>318646.27617223939</v>
      </c>
      <c r="E28" s="428"/>
      <c r="F28" s="429">
        <f t="shared" ref="F28:U28" si="6">IF(F19="","",F65+F83+F98+F105)</f>
        <v>0</v>
      </c>
      <c r="G28" s="429">
        <f t="shared" si="6"/>
        <v>9881.3914633508466</v>
      </c>
      <c r="H28" s="429">
        <f t="shared" si="6"/>
        <v>14296.83200335083</v>
      </c>
      <c r="I28" s="429">
        <f t="shared" si="6"/>
        <v>18835.338454150835</v>
      </c>
      <c r="J28" s="429">
        <f t="shared" si="6"/>
        <v>19320.929480671526</v>
      </c>
      <c r="K28" s="429">
        <f t="shared" si="6"/>
        <v>186506.31387814207</v>
      </c>
      <c r="L28" s="429">
        <f t="shared" si="6"/>
        <v>10129.815292491285</v>
      </c>
      <c r="M28" s="429">
        <f t="shared" si="6"/>
        <v>11677.170017108661</v>
      </c>
      <c r="N28" s="429">
        <f t="shared" si="6"/>
        <v>13289.495063258406</v>
      </c>
      <c r="O28" s="429">
        <f t="shared" si="6"/>
        <v>34708.990519714956</v>
      </c>
      <c r="P28" s="429">
        <f t="shared" si="6"/>
        <v>0</v>
      </c>
      <c r="Q28" s="429" t="str">
        <f t="shared" si="6"/>
        <v/>
      </c>
      <c r="R28" s="429" t="str">
        <f t="shared" si="6"/>
        <v/>
      </c>
      <c r="S28" s="429" t="str">
        <f t="shared" si="6"/>
        <v/>
      </c>
      <c r="T28" s="429" t="str">
        <f t="shared" si="6"/>
        <v/>
      </c>
      <c r="U28" s="429" t="str">
        <f t="shared" si="6"/>
        <v/>
      </c>
    </row>
    <row r="29" spans="2:21" ht="15" x14ac:dyDescent="0.2">
      <c r="B29" s="421" t="s">
        <v>689</v>
      </c>
      <c r="C29" s="368"/>
      <c r="D29" s="422"/>
      <c r="E29" s="407"/>
      <c r="F29" s="375"/>
      <c r="G29" s="375">
        <f t="shared" ref="G29:U29" si="7">IF(ISERROR((+G21/Equity_Share_LP*Equity_Share_Sponsor)),"-",(+G21/Equity_Share_LP*Equity_Share_Sponsor))</f>
        <v>9881.3914633508357</v>
      </c>
      <c r="H29" s="375">
        <f t="shared" si="7"/>
        <v>14296.83200335083</v>
      </c>
      <c r="I29" s="375">
        <f t="shared" si="7"/>
        <v>18835.338454150835</v>
      </c>
      <c r="J29" s="375">
        <f t="shared" si="7"/>
        <v>19320.929480671501</v>
      </c>
      <c r="K29" s="375">
        <f t="shared" si="7"/>
        <v>186506.31387814207</v>
      </c>
      <c r="L29" s="375">
        <f t="shared" si="7"/>
        <v>10129.815292491272</v>
      </c>
      <c r="M29" s="375">
        <f t="shared" si="7"/>
        <v>11677.17001710865</v>
      </c>
      <c r="N29" s="375">
        <f t="shared" si="7"/>
        <v>13289.495063258406</v>
      </c>
      <c r="O29" s="375">
        <f t="shared" si="7"/>
        <v>13930.527621544154</v>
      </c>
      <c r="P29" s="375">
        <f t="shared" si="7"/>
        <v>0</v>
      </c>
      <c r="Q29" s="375" t="str">
        <f t="shared" si="7"/>
        <v>-</v>
      </c>
      <c r="R29" s="375" t="str">
        <f t="shared" si="7"/>
        <v>-</v>
      </c>
      <c r="S29" s="375" t="str">
        <f t="shared" si="7"/>
        <v>-</v>
      </c>
      <c r="T29" s="375" t="str">
        <f t="shared" si="7"/>
        <v>-</v>
      </c>
      <c r="U29" s="375" t="str">
        <f t="shared" si="7"/>
        <v>-</v>
      </c>
    </row>
    <row r="30" spans="2:21" ht="15" x14ac:dyDescent="0.2">
      <c r="B30" s="421" t="s">
        <v>690</v>
      </c>
      <c r="C30" s="368"/>
      <c r="D30" s="422"/>
      <c r="E30" s="407"/>
      <c r="F30" s="375"/>
      <c r="G30" s="375">
        <f>IF(ISERROR((+G28-G29)),"-",(+G28-G29))</f>
        <v>1.0913936421275139E-11</v>
      </c>
      <c r="H30" s="375">
        <f t="shared" ref="H30:U30" si="8">IF(ISERROR((+H28-H29)),"-",(+H28-H29))</f>
        <v>0</v>
      </c>
      <c r="I30" s="375">
        <f t="shared" si="8"/>
        <v>0</v>
      </c>
      <c r="J30" s="375">
        <f t="shared" si="8"/>
        <v>2.5465851649641991E-11</v>
      </c>
      <c r="K30" s="375">
        <f t="shared" si="8"/>
        <v>0</v>
      </c>
      <c r="L30" s="375">
        <f t="shared" si="8"/>
        <v>1.2732925824820995E-11</v>
      </c>
      <c r="M30" s="375">
        <f t="shared" si="8"/>
        <v>1.0913936421275139E-11</v>
      </c>
      <c r="N30" s="375">
        <f t="shared" si="8"/>
        <v>0</v>
      </c>
      <c r="O30" s="375">
        <f t="shared" si="8"/>
        <v>20778.462898170801</v>
      </c>
      <c r="P30" s="375">
        <f t="shared" si="8"/>
        <v>0</v>
      </c>
      <c r="Q30" s="375" t="str">
        <f t="shared" si="8"/>
        <v>-</v>
      </c>
      <c r="R30" s="375" t="str">
        <f t="shared" si="8"/>
        <v>-</v>
      </c>
      <c r="S30" s="375" t="str">
        <f t="shared" si="8"/>
        <v>-</v>
      </c>
      <c r="T30" s="375" t="str">
        <f t="shared" si="8"/>
        <v>-</v>
      </c>
      <c r="U30" s="375" t="str">
        <f t="shared" si="8"/>
        <v>-</v>
      </c>
    </row>
    <row r="31" spans="2:21" ht="15" x14ac:dyDescent="0.2">
      <c r="B31" s="421" t="s">
        <v>691</v>
      </c>
      <c r="C31" s="368"/>
      <c r="D31" s="422">
        <f>SUM(F31:U31)</f>
        <v>759823.5475026858</v>
      </c>
      <c r="E31" s="407"/>
      <c r="F31" s="375">
        <f>IF(F19="","",SUM(F40:F42))</f>
        <v>200000</v>
      </c>
      <c r="G31" s="375">
        <f t="shared" ref="G31:U31" si="9">IF(G19="","",SUM(G40:G42))</f>
        <v>40199.995800000012</v>
      </c>
      <c r="H31" s="375">
        <f t="shared" si="9"/>
        <v>40199.995800000012</v>
      </c>
      <c r="I31" s="375">
        <f t="shared" si="9"/>
        <v>40199.995800000012</v>
      </c>
      <c r="J31" s="375">
        <f t="shared" si="9"/>
        <v>40199.995800000012</v>
      </c>
      <c r="K31" s="375">
        <f t="shared" si="9"/>
        <v>40199.995800000012</v>
      </c>
      <c r="L31" s="375">
        <f t="shared" si="9"/>
        <v>40199.995800000012</v>
      </c>
      <c r="M31" s="375">
        <f t="shared" si="9"/>
        <v>40199.995800000012</v>
      </c>
      <c r="N31" s="375">
        <f t="shared" si="9"/>
        <v>40199.995800000012</v>
      </c>
      <c r="O31" s="375">
        <f t="shared" si="9"/>
        <v>40199.995800000012</v>
      </c>
      <c r="P31" s="375">
        <f t="shared" si="9"/>
        <v>198023.58530268565</v>
      </c>
      <c r="Q31" s="375" t="str">
        <f t="shared" si="9"/>
        <v/>
      </c>
      <c r="R31" s="375" t="str">
        <f t="shared" si="9"/>
        <v/>
      </c>
      <c r="S31" s="375" t="str">
        <f t="shared" si="9"/>
        <v/>
      </c>
      <c r="T31" s="375" t="str">
        <f t="shared" si="9"/>
        <v/>
      </c>
      <c r="U31" s="375" t="str">
        <f t="shared" si="9"/>
        <v/>
      </c>
    </row>
    <row r="32" spans="2:21" ht="15" x14ac:dyDescent="0.2">
      <c r="B32" s="421" t="s">
        <v>692</v>
      </c>
      <c r="C32" s="368"/>
      <c r="D32" s="422">
        <f>SUM(F32:U32)</f>
        <v>219073.56003735372</v>
      </c>
      <c r="E32" s="407"/>
      <c r="F32" s="375">
        <f t="shared" ref="F32:U32" si="10">IF(F19="","",-(MIN(F47,0)+F56))</f>
        <v>213299.97900000028</v>
      </c>
      <c r="G32" s="375">
        <f t="shared" si="10"/>
        <v>0</v>
      </c>
      <c r="H32" s="375">
        <f t="shared" si="10"/>
        <v>0</v>
      </c>
      <c r="I32" s="375">
        <f t="shared" si="10"/>
        <v>0</v>
      </c>
      <c r="J32" s="375">
        <f t="shared" si="10"/>
        <v>0</v>
      </c>
      <c r="K32" s="375">
        <f t="shared" si="10"/>
        <v>0</v>
      </c>
      <c r="L32" s="375">
        <f t="shared" si="10"/>
        <v>0</v>
      </c>
      <c r="M32" s="375">
        <f t="shared" si="10"/>
        <v>0</v>
      </c>
      <c r="N32" s="375">
        <f t="shared" si="10"/>
        <v>0</v>
      </c>
      <c r="O32" s="375">
        <f t="shared" si="10"/>
        <v>0</v>
      </c>
      <c r="P32" s="375">
        <f t="shared" si="10"/>
        <v>5773.5810373534332</v>
      </c>
      <c r="Q32" s="375" t="str">
        <f t="shared" si="10"/>
        <v/>
      </c>
      <c r="R32" s="375" t="str">
        <f t="shared" si="10"/>
        <v/>
      </c>
      <c r="S32" s="375" t="str">
        <f t="shared" si="10"/>
        <v/>
      </c>
      <c r="T32" s="375" t="str">
        <f t="shared" si="10"/>
        <v/>
      </c>
      <c r="U32" s="375" t="str">
        <f t="shared" si="10"/>
        <v/>
      </c>
    </row>
    <row r="33" spans="2:25" ht="15" x14ac:dyDescent="0.2">
      <c r="B33" s="421" t="s">
        <v>693</v>
      </c>
      <c r="C33" s="368"/>
      <c r="D33" s="422">
        <f>+D28+D31-D32</f>
        <v>859396.26363757136</v>
      </c>
      <c r="E33" s="407"/>
      <c r="F33" s="418"/>
      <c r="G33" s="419"/>
      <c r="H33" s="420"/>
      <c r="I33" s="420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</row>
    <row r="34" spans="2:25" ht="15" x14ac:dyDescent="0.2">
      <c r="B34" s="421" t="s">
        <v>694</v>
      </c>
      <c r="C34" s="368"/>
      <c r="D34" s="423">
        <f>IRR(F34:U34)</f>
        <v>3.8660564813409835</v>
      </c>
      <c r="E34" s="407"/>
      <c r="F34" s="375">
        <f>IF(F19="","",(-F32)+F28+F31)</f>
        <v>-13299.979000000283</v>
      </c>
      <c r="G34" s="375">
        <f t="shared" ref="G34:U34" si="11">IF(G19="","",(-G32)+G28+G31)</f>
        <v>50081.387263350858</v>
      </c>
      <c r="H34" s="375">
        <f t="shared" si="11"/>
        <v>54496.82780335084</v>
      </c>
      <c r="I34" s="375">
        <f t="shared" si="11"/>
        <v>59035.334254150846</v>
      </c>
      <c r="J34" s="375">
        <f t="shared" si="11"/>
        <v>59520.925280671538</v>
      </c>
      <c r="K34" s="375">
        <f t="shared" si="11"/>
        <v>226706.30967814208</v>
      </c>
      <c r="L34" s="375">
        <f t="shared" si="11"/>
        <v>50329.811092491298</v>
      </c>
      <c r="M34" s="375">
        <f t="shared" si="11"/>
        <v>51877.165817108675</v>
      </c>
      <c r="N34" s="375">
        <f t="shared" si="11"/>
        <v>53489.490863258419</v>
      </c>
      <c r="O34" s="375">
        <f t="shared" si="11"/>
        <v>74908.986319714968</v>
      </c>
      <c r="P34" s="375">
        <f t="shared" si="11"/>
        <v>192250.00426533222</v>
      </c>
      <c r="Q34" s="375" t="str">
        <f t="shared" si="11"/>
        <v/>
      </c>
      <c r="R34" s="375" t="str">
        <f t="shared" si="11"/>
        <v/>
      </c>
      <c r="S34" s="375" t="str">
        <f t="shared" si="11"/>
        <v/>
      </c>
      <c r="T34" s="375" t="str">
        <f t="shared" si="11"/>
        <v/>
      </c>
      <c r="U34" s="375" t="str">
        <f t="shared" si="11"/>
        <v/>
      </c>
    </row>
    <row r="35" spans="2:25" ht="15" x14ac:dyDescent="0.2">
      <c r="B35" s="421" t="s">
        <v>695</v>
      </c>
      <c r="C35" s="368"/>
      <c r="D35" s="424">
        <f>D28/D32</f>
        <v>1.4545172686193066</v>
      </c>
      <c r="E35" s="407"/>
      <c r="F35" s="418"/>
      <c r="G35" s="419"/>
      <c r="H35" s="420"/>
      <c r="I35" s="420"/>
      <c r="J35" s="369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</row>
    <row r="36" spans="2:25" ht="5" customHeight="1" x14ac:dyDescent="0.2">
      <c r="B36" s="431"/>
      <c r="C36" s="432"/>
      <c r="D36" s="433"/>
      <c r="E36" s="368"/>
      <c r="F36" s="369"/>
      <c r="G36" s="369"/>
      <c r="H36" s="369"/>
      <c r="I36" s="369"/>
      <c r="J36" s="369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</row>
    <row r="37" spans="2:25" ht="16" x14ac:dyDescent="0.2">
      <c r="B37" s="391" t="s">
        <v>696</v>
      </c>
      <c r="C37" s="392"/>
      <c r="D37" s="392"/>
      <c r="E37" s="397"/>
      <c r="F37" s="416">
        <v>0</v>
      </c>
      <c r="G37" s="416">
        <f t="shared" ref="G37:U37" si="12">IF(F37&gt;=$G$4,"",F37+1)</f>
        <v>1</v>
      </c>
      <c r="H37" s="416">
        <f t="shared" si="12"/>
        <v>2</v>
      </c>
      <c r="I37" s="416">
        <f t="shared" si="12"/>
        <v>3</v>
      </c>
      <c r="J37" s="416">
        <f t="shared" si="12"/>
        <v>4</v>
      </c>
      <c r="K37" s="416">
        <f t="shared" si="12"/>
        <v>5</v>
      </c>
      <c r="L37" s="416">
        <f t="shared" si="12"/>
        <v>6</v>
      </c>
      <c r="M37" s="416">
        <f t="shared" si="12"/>
        <v>7</v>
      </c>
      <c r="N37" s="416">
        <f t="shared" si="12"/>
        <v>8</v>
      </c>
      <c r="O37" s="416">
        <f t="shared" si="12"/>
        <v>9</v>
      </c>
      <c r="P37" s="416">
        <f t="shared" si="12"/>
        <v>10</v>
      </c>
      <c r="Q37" s="416" t="str">
        <f t="shared" si="12"/>
        <v/>
      </c>
      <c r="R37" s="416" t="str">
        <f t="shared" si="12"/>
        <v/>
      </c>
      <c r="S37" s="416" t="str">
        <f t="shared" si="12"/>
        <v/>
      </c>
      <c r="T37" s="416" t="str">
        <f t="shared" si="12"/>
        <v/>
      </c>
      <c r="U37" s="416" t="str">
        <f t="shared" si="12"/>
        <v/>
      </c>
      <c r="V37" s="434"/>
      <c r="W37" s="434"/>
      <c r="X37" s="434"/>
      <c r="Y37" s="434"/>
    </row>
    <row r="38" spans="2:25" ht="15" x14ac:dyDescent="0.2">
      <c r="B38" s="368"/>
      <c r="C38" s="368"/>
      <c r="D38" s="368"/>
      <c r="E38" s="376" t="s">
        <v>697</v>
      </c>
      <c r="F38" s="435">
        <f ca="1">EOMONTH(TODAY(),0)</f>
        <v>45107</v>
      </c>
      <c r="G38" s="436">
        <f ca="1">IF(G37="","",EOMONTH(F38,12))</f>
        <v>45473</v>
      </c>
      <c r="H38" s="436">
        <f t="shared" ref="H38:U38" ca="1" si="13">IF(H37="","",EOMONTH(G38,12))</f>
        <v>45838</v>
      </c>
      <c r="I38" s="436">
        <f t="shared" ca="1" si="13"/>
        <v>46203</v>
      </c>
      <c r="J38" s="436">
        <f t="shared" ca="1" si="13"/>
        <v>46568</v>
      </c>
      <c r="K38" s="436">
        <f t="shared" ca="1" si="13"/>
        <v>46934</v>
      </c>
      <c r="L38" s="436">
        <f t="shared" ca="1" si="13"/>
        <v>47299</v>
      </c>
      <c r="M38" s="436">
        <f t="shared" ca="1" si="13"/>
        <v>47664</v>
      </c>
      <c r="N38" s="436">
        <f t="shared" ca="1" si="13"/>
        <v>48029</v>
      </c>
      <c r="O38" s="436">
        <f t="shared" ca="1" si="13"/>
        <v>48395</v>
      </c>
      <c r="P38" s="436">
        <f t="shared" ca="1" si="13"/>
        <v>48760</v>
      </c>
      <c r="Q38" s="436" t="str">
        <f t="shared" si="13"/>
        <v/>
      </c>
      <c r="R38" s="436" t="str">
        <f t="shared" si="13"/>
        <v/>
      </c>
      <c r="S38" s="436" t="str">
        <f t="shared" si="13"/>
        <v/>
      </c>
      <c r="T38" s="436" t="str">
        <f t="shared" si="13"/>
        <v/>
      </c>
      <c r="U38" s="436" t="str">
        <f t="shared" si="13"/>
        <v/>
      </c>
      <c r="V38" s="434"/>
      <c r="W38" s="434"/>
      <c r="X38" s="434"/>
      <c r="Y38" s="434"/>
    </row>
    <row r="39" spans="2:25" ht="15" x14ac:dyDescent="0.2">
      <c r="B39" s="437" t="s">
        <v>698</v>
      </c>
      <c r="C39" s="368"/>
      <c r="D39" s="368"/>
      <c r="E39" s="404"/>
      <c r="F39" s="438">
        <f>Proforma!E115</f>
        <v>-4019999.580000001</v>
      </c>
      <c r="G39" s="438">
        <f>IF(G37="","",IF(G37=$G$4,Proforma!F115+Proforma!F104-Proforma!F99,Proforma!F115))</f>
        <v>242827.82506701667</v>
      </c>
      <c r="H39" s="438">
        <f>IF(H37="","",IF(H37=$G$4,Proforma!G115+Proforma!G104-Proforma!G99,Proforma!G115))</f>
        <v>331136.63586701662</v>
      </c>
      <c r="I39" s="438">
        <f>IF(I37="","",IF(I37=$G$4,Proforma!H115+Proforma!H104-Proforma!H99,Proforma!H115))</f>
        <v>421906.7648830167</v>
      </c>
      <c r="J39" s="438">
        <f>IF(J37="","",IF(J37=$G$4,Proforma!I115+Proforma!I104-Proforma!I99,Proforma!I115))</f>
        <v>431618.58541343</v>
      </c>
      <c r="K39" s="438">
        <f>IF(K37="","",IF(K37=$G$4,Proforma!J115+Proforma!J104-Proforma!J99,Proforma!J115))</f>
        <v>3775326.2733628415</v>
      </c>
      <c r="L39" s="438">
        <f>IF(L37="","",IF(L37=$G$4,Proforma!K115+Proforma!K104-Proforma!K99,Proforma!K115))</f>
        <v>247796.30164982541</v>
      </c>
      <c r="M39" s="438">
        <f>IF(M37="","",IF(M37=$G$4,Proforma!L115+Proforma!L104-Proforma!L99,Proforma!L115))</f>
        <v>278743.39614217298</v>
      </c>
      <c r="N39" s="438">
        <f>IF(N37="","",IF(N37=$G$4,Proforma!M115+Proforma!M104-Proforma!M99,Proforma!M115))</f>
        <v>310989.89706516813</v>
      </c>
      <c r="O39" s="438">
        <f>IF(O37="","",IF(O37=$G$4,Proforma!N115+Proforma!N104-Proforma!N99,Proforma!N115))</f>
        <v>344589.01112905389</v>
      </c>
      <c r="P39" s="438">
        <f>IF(P37="","",IF(P37=$G$4,Proforma!O115+Proforma!O104-Proforma!O99,Proforma!O115))</f>
        <v>639934.5278150168</v>
      </c>
      <c r="Q39" s="438" t="str">
        <f>IF(Q37="","",IF(Q37=$G$4,Proforma!P115+Proforma!P104-Proforma!P99,Proforma!P115))</f>
        <v/>
      </c>
      <c r="R39" s="438" t="str">
        <f>IF(R37="","",IF(R37=$G$4,Proforma!Q115+Proforma!Q104-Proforma!Q99,Proforma!Q115))</f>
        <v/>
      </c>
      <c r="S39" s="438" t="str">
        <f>IF(S37="","",IF(S37=$G$4,Proforma!R115+Proforma!R104-Proforma!R99,Proforma!R115))</f>
        <v/>
      </c>
      <c r="T39" s="438" t="str">
        <f>IF(T37="","",IF(T37=$G$4,Proforma!S115+Proforma!S104-Proforma!S99,Proforma!S115))</f>
        <v/>
      </c>
      <c r="U39" s="438" t="str">
        <f>IF(U37="","",IF(U37=$G$4,Proforma!T115+Proforma!T104-Proforma!T99,Proforma!T115))</f>
        <v/>
      </c>
    </row>
    <row r="40" spans="2:25" ht="15" x14ac:dyDescent="0.2">
      <c r="B40" s="421" t="s">
        <v>699</v>
      </c>
      <c r="C40" s="439">
        <v>0.01</v>
      </c>
      <c r="D40" s="368"/>
      <c r="E40" s="404"/>
      <c r="F40" s="438">
        <v>0</v>
      </c>
      <c r="G40" s="438">
        <f>IF(G39="","",$C$40*(-Proforma!$E$115))</f>
        <v>40199.995800000012</v>
      </c>
      <c r="H40" s="438">
        <f>IF(H39="","",$C$40*(-Proforma!$E$115))</f>
        <v>40199.995800000012</v>
      </c>
      <c r="I40" s="438">
        <f>IF(I39="","",$C$40*(-Proforma!$E$115))</f>
        <v>40199.995800000012</v>
      </c>
      <c r="J40" s="438">
        <f>IF(J39="","",$C$40*(-Proforma!$E$115))</f>
        <v>40199.995800000012</v>
      </c>
      <c r="K40" s="438">
        <f>IF(K39="","",$C$40*(-Proforma!$E$115))</f>
        <v>40199.995800000012</v>
      </c>
      <c r="L40" s="438">
        <f>IF(L39="","",$C$40*(-Proforma!$E$115))</f>
        <v>40199.995800000012</v>
      </c>
      <c r="M40" s="438">
        <f>IF(M39="","",$C$40*(-Proforma!$E$115))</f>
        <v>40199.995800000012</v>
      </c>
      <c r="N40" s="438">
        <f>IF(N39="","",$C$40*(-Proforma!$E$115))</f>
        <v>40199.995800000012</v>
      </c>
      <c r="O40" s="438">
        <f>IF(O39="","",$C$40*(-Proforma!$E$115))</f>
        <v>40199.995800000012</v>
      </c>
      <c r="P40" s="438">
        <f>IF(P39="","",$C$40*(-Proforma!$E$115))</f>
        <v>40199.995800000012</v>
      </c>
      <c r="Q40" s="438" t="str">
        <f>IF(Q39="","",$C$40*(-Proforma!$E$115))</f>
        <v/>
      </c>
      <c r="R40" s="438" t="str">
        <f>IF(R39="","",$C$40*(-Proforma!$E$115))</f>
        <v/>
      </c>
      <c r="S40" s="438" t="str">
        <f>IF(S39="","",$C$40*(-Proforma!$E$115))</f>
        <v/>
      </c>
      <c r="T40" s="438" t="str">
        <f>IF(T39="","",$C$40*(-Proforma!$E$115))</f>
        <v/>
      </c>
      <c r="U40" s="438" t="str">
        <f>IF(U39="","",$C$40*(-Proforma!$E$115))</f>
        <v/>
      </c>
    </row>
    <row r="41" spans="2:25" ht="15" x14ac:dyDescent="0.2">
      <c r="B41" s="421" t="s">
        <v>700</v>
      </c>
      <c r="C41" s="440">
        <v>0.01</v>
      </c>
      <c r="D41" s="368"/>
      <c r="E41" s="404"/>
      <c r="F41" s="438">
        <v>200000</v>
      </c>
      <c r="G41" s="438">
        <f>IF(G39="","",0)</f>
        <v>0</v>
      </c>
      <c r="H41" s="438">
        <f t="shared" ref="H41:U41" si="14">IF(H39="","",0)</f>
        <v>0</v>
      </c>
      <c r="I41" s="438">
        <f t="shared" si="14"/>
        <v>0</v>
      </c>
      <c r="J41" s="438">
        <f t="shared" si="14"/>
        <v>0</v>
      </c>
      <c r="K41" s="438">
        <f t="shared" si="14"/>
        <v>0</v>
      </c>
      <c r="L41" s="438">
        <f t="shared" si="14"/>
        <v>0</v>
      </c>
      <c r="M41" s="438">
        <f t="shared" si="14"/>
        <v>0</v>
      </c>
      <c r="N41" s="438">
        <f t="shared" si="14"/>
        <v>0</v>
      </c>
      <c r="O41" s="438">
        <f t="shared" si="14"/>
        <v>0</v>
      </c>
      <c r="P41" s="438">
        <f t="shared" si="14"/>
        <v>0</v>
      </c>
      <c r="Q41" s="438" t="str">
        <f t="shared" si="14"/>
        <v/>
      </c>
      <c r="R41" s="438" t="str">
        <f t="shared" si="14"/>
        <v/>
      </c>
      <c r="S41" s="438" t="str">
        <f t="shared" si="14"/>
        <v/>
      </c>
      <c r="T41" s="438" t="str">
        <f t="shared" si="14"/>
        <v/>
      </c>
      <c r="U41" s="438" t="str">
        <f t="shared" si="14"/>
        <v/>
      </c>
    </row>
    <row r="42" spans="2:25" ht="15" x14ac:dyDescent="0.2">
      <c r="B42" s="421" t="s">
        <v>701</v>
      </c>
      <c r="C42" s="440">
        <v>0.01</v>
      </c>
      <c r="D42" s="368"/>
      <c r="E42" s="404"/>
      <c r="F42" s="438">
        <v>0</v>
      </c>
      <c r="G42" s="438">
        <f>IF(G37=$G$4,$C$42*Proforma!F102,IF(G41="","",0))</f>
        <v>0</v>
      </c>
      <c r="H42" s="438">
        <f>IF(H37=$G$4,$C$42*Proforma!G102,IF(H41="","",0))</f>
        <v>0</v>
      </c>
      <c r="I42" s="438">
        <f>IF(I37=$G$4,$C$42*Proforma!H102,IF(I41="","",0))</f>
        <v>0</v>
      </c>
      <c r="J42" s="438">
        <f>IF(J37=$G$4,$C$42*Proforma!I102,IF(J41="","",0))</f>
        <v>0</v>
      </c>
      <c r="K42" s="438">
        <f>IF(K37=$G$4,$C$42*Proforma!J102,IF(K41="","",0))</f>
        <v>0</v>
      </c>
      <c r="L42" s="438">
        <f>IF(L37=$G$4,$C$42*Proforma!K102,IF(L41="","",0))</f>
        <v>0</v>
      </c>
      <c r="M42" s="438">
        <f>IF(M37=$G$4,$C$42*Proforma!L102,IF(M41="","",0))</f>
        <v>0</v>
      </c>
      <c r="N42" s="438">
        <f>IF(N37=$G$4,$C$42*Proforma!M102,IF(N41="","",0))</f>
        <v>0</v>
      </c>
      <c r="O42" s="438">
        <f>IF(O37=$G$4,$C$42*Proforma!N102,IF(O41="","",0))</f>
        <v>0</v>
      </c>
      <c r="P42" s="438">
        <f>IF(P37=$G$4,$C$42*Proforma!O102,IF(P41="","",0))</f>
        <v>157823.58950268565</v>
      </c>
      <c r="Q42" s="438" t="str">
        <f>IF(Q37=$G$4,$C$42*Proforma!P102,IF(Q41="","",0))</f>
        <v/>
      </c>
      <c r="R42" s="438" t="str">
        <f>IF(R37=$G$4,$C$42*Proforma!Q102,IF(R41="","",0))</f>
        <v/>
      </c>
      <c r="S42" s="438" t="str">
        <f>IF(S37=$G$4,$C$42*Proforma!R102,IF(S41="","",0))</f>
        <v/>
      </c>
      <c r="T42" s="438" t="str">
        <f>IF(T37=$G$4,$C$42*Proforma!S102,IF(T41="","",0))</f>
        <v/>
      </c>
      <c r="U42" s="438" t="str">
        <f>IF(U37=$G$4,$C$42*Proforma!T102,IF(U41="","",0))</f>
        <v/>
      </c>
    </row>
    <row r="43" spans="2:25" ht="15" x14ac:dyDescent="0.2">
      <c r="B43" s="421" t="s">
        <v>702</v>
      </c>
      <c r="C43" s="441">
        <v>25</v>
      </c>
      <c r="D43" s="368" t="s">
        <v>703</v>
      </c>
      <c r="E43" s="404"/>
      <c r="F43" s="438"/>
      <c r="G43" s="438">
        <f>IF(G42="","",$C43*200)</f>
        <v>5000</v>
      </c>
      <c r="H43" s="438">
        <f t="shared" ref="H43:U43" si="15">IF(H42="","",$C43*200)</f>
        <v>5000</v>
      </c>
      <c r="I43" s="438">
        <f t="shared" si="15"/>
        <v>5000</v>
      </c>
      <c r="J43" s="438">
        <f t="shared" si="15"/>
        <v>5000</v>
      </c>
      <c r="K43" s="438">
        <f t="shared" si="15"/>
        <v>5000</v>
      </c>
      <c r="L43" s="438">
        <f t="shared" si="15"/>
        <v>5000</v>
      </c>
      <c r="M43" s="438">
        <f t="shared" si="15"/>
        <v>5000</v>
      </c>
      <c r="N43" s="438">
        <f t="shared" si="15"/>
        <v>5000</v>
      </c>
      <c r="O43" s="438">
        <f t="shared" si="15"/>
        <v>5000</v>
      </c>
      <c r="P43" s="438">
        <f t="shared" si="15"/>
        <v>5000</v>
      </c>
      <c r="Q43" s="438" t="str">
        <f t="shared" si="15"/>
        <v/>
      </c>
      <c r="R43" s="438" t="str">
        <f t="shared" si="15"/>
        <v/>
      </c>
      <c r="S43" s="438" t="str">
        <f t="shared" si="15"/>
        <v/>
      </c>
      <c r="T43" s="438" t="str">
        <f t="shared" si="15"/>
        <v/>
      </c>
      <c r="U43" s="438" t="str">
        <f t="shared" si="15"/>
        <v/>
      </c>
    </row>
    <row r="44" spans="2:25" ht="15" x14ac:dyDescent="0.2">
      <c r="B44" s="421" t="s">
        <v>704</v>
      </c>
      <c r="C44" s="437">
        <f>C43</f>
        <v>25</v>
      </c>
      <c r="D44" s="442" t="str">
        <f>IF(C44&lt;25,"Need to calculate manually when less than 25","")</f>
        <v/>
      </c>
      <c r="E44" s="404"/>
      <c r="F44" s="438">
        <f>MAX(C44-25,0)*1200+24000+22000</f>
        <v>46000</v>
      </c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</row>
    <row r="45" spans="2:25" ht="15" x14ac:dyDescent="0.2">
      <c r="B45" s="421" t="s">
        <v>705</v>
      </c>
      <c r="C45" s="440">
        <v>0.03</v>
      </c>
      <c r="D45" s="368"/>
      <c r="E45" s="404"/>
      <c r="F45" s="438">
        <v>0</v>
      </c>
      <c r="G45" s="438">
        <f>IF(G$37=$G$4,$C$45*Proforma!F$102,IF(G42="","",0))</f>
        <v>0</v>
      </c>
      <c r="H45" s="438">
        <f>IF(H$37=$G$4,$C$45*Proforma!G$102,IF(H42="","",0))</f>
        <v>0</v>
      </c>
      <c r="I45" s="438">
        <f>IF(I$37=$G$4,$C$45*Proforma!H$102,IF(I42="","",0))</f>
        <v>0</v>
      </c>
      <c r="J45" s="438">
        <f>IF(J$37=$G$4,$C$45*Proforma!I$102,IF(J42="","",0))</f>
        <v>0</v>
      </c>
      <c r="K45" s="438">
        <f>IF(K$37=$G$4,$C$45*Proforma!J$102,IF(K42="","",0))</f>
        <v>0</v>
      </c>
      <c r="L45" s="438">
        <f>IF(L$37=$G$4,$C$45*Proforma!K$102,IF(L42="","",0))</f>
        <v>0</v>
      </c>
      <c r="M45" s="438">
        <f>IF(M$37=$G$4,$C$45*Proforma!L$102,IF(M42="","",0))</f>
        <v>0</v>
      </c>
      <c r="N45" s="438">
        <f>IF(N$37=$G$4,$C$45*Proforma!M$102,IF(N42="","",0))</f>
        <v>0</v>
      </c>
      <c r="O45" s="438">
        <f>IF(O$37=$G$4,$C$45*Proforma!N$102,IF(O42="","",0))</f>
        <v>0</v>
      </c>
      <c r="P45" s="438">
        <f>IF(P$37=$G$4,$C$45*Proforma!O$102,IF(P42="","",0))</f>
        <v>473470.76850805694</v>
      </c>
      <c r="Q45" s="438" t="str">
        <f>IF(Q$37=$G$4,$C$45*Proforma!P$102,IF(Q42="","",0))</f>
        <v/>
      </c>
      <c r="R45" s="438" t="str">
        <f>IF(R$37=$G$4,$C$45*Proforma!Q$102,IF(R42="","",0))</f>
        <v/>
      </c>
      <c r="S45" s="438" t="str">
        <f>IF(S$37=$G$4,$C$45*Proforma!R$102,IF(S42="","",0))</f>
        <v/>
      </c>
      <c r="T45" s="438" t="str">
        <f>IF(T$37=$G$4,$C$45*Proforma!S$102,IF(T42="","",0))</f>
        <v/>
      </c>
      <c r="U45" s="438" t="str">
        <f>IF(U$37=$G$4,$C$45*Proforma!T$102,IF(U42="","",0))</f>
        <v/>
      </c>
    </row>
    <row r="46" spans="2:25" ht="15" x14ac:dyDescent="0.2">
      <c r="B46" s="421" t="s">
        <v>706</v>
      </c>
      <c r="C46" s="440">
        <v>5.0000000000000001E-3</v>
      </c>
      <c r="D46" s="368"/>
      <c r="E46" s="404"/>
      <c r="F46" s="438">
        <v>0</v>
      </c>
      <c r="G46" s="438">
        <f>IF(G$37=$G$4,$C$46*Proforma!F$102,IF(G45="","",0))</f>
        <v>0</v>
      </c>
      <c r="H46" s="438">
        <f>IF(H$37=$G$4,$C$46*Proforma!G$102,IF(H45="","",0))</f>
        <v>0</v>
      </c>
      <c r="I46" s="438">
        <f>IF(I$37=$G$4,$C$46*Proforma!H$102,IF(I45="","",0))</f>
        <v>0</v>
      </c>
      <c r="J46" s="438">
        <f>IF(J$37=$G$4,$C$46*Proforma!I$102,IF(J45="","",0))</f>
        <v>0</v>
      </c>
      <c r="K46" s="438">
        <f>IF(K$37=$G$4,$C$46*Proforma!J$102,IF(K45="","",0))</f>
        <v>0</v>
      </c>
      <c r="L46" s="438">
        <f>IF(L$37=$G$4,$C$46*Proforma!K$102,IF(L45="","",0))</f>
        <v>0</v>
      </c>
      <c r="M46" s="438">
        <f>IF(M$37=$G$4,$C$46*Proforma!L$102,IF(M45="","",0))</f>
        <v>0</v>
      </c>
      <c r="N46" s="438">
        <f>IF(N$37=$G$4,$C$46*Proforma!M$102,IF(N45="","",0))</f>
        <v>0</v>
      </c>
      <c r="O46" s="438">
        <f>IF(O$37=$G$4,$C$46*Proforma!N$102,IF(O45="","",0))</f>
        <v>0</v>
      </c>
      <c r="P46" s="438">
        <f>IF(P$37=$G$4,$C$46*Proforma!O$102,IF(P45="","",0))</f>
        <v>78911.794751342823</v>
      </c>
      <c r="Q46" s="438" t="str">
        <f>IF(Q$37=$G$4,$C$46*Proforma!P$102,IF(Q45="","",0))</f>
        <v/>
      </c>
      <c r="R46" s="438" t="str">
        <f>IF(R$37=$G$4,$C$46*Proforma!Q$102,IF(R45="","",0))</f>
        <v/>
      </c>
      <c r="S46" s="438" t="str">
        <f>IF(S$37=$G$4,$C$46*Proforma!R$102,IF(S45="","",0))</f>
        <v/>
      </c>
      <c r="T46" s="438" t="str">
        <f>IF(T$37=$G$4,$C$46*Proforma!S$102,IF(T45="","",0))</f>
        <v/>
      </c>
      <c r="U46" s="438" t="str">
        <f>IF(U$37=$G$4,$C$46*Proforma!T$102,IF(U45="","",0))</f>
        <v/>
      </c>
    </row>
    <row r="47" spans="2:25" ht="15" x14ac:dyDescent="0.2">
      <c r="B47" s="368" t="s">
        <v>707</v>
      </c>
      <c r="C47" s="368"/>
      <c r="D47" s="368"/>
      <c r="E47" s="404"/>
      <c r="F47" s="438">
        <f>IF(F37="","",F39-SUM(F40:F46))</f>
        <v>-4265999.580000001</v>
      </c>
      <c r="G47" s="438">
        <f t="shared" ref="G47:U47" si="16">IF(G37="","",G39-SUM(G40:G46))</f>
        <v>197627.82926701667</v>
      </c>
      <c r="H47" s="438">
        <f t="shared" si="16"/>
        <v>285936.64006701659</v>
      </c>
      <c r="I47" s="438">
        <f t="shared" si="16"/>
        <v>376706.76908301667</v>
      </c>
      <c r="J47" s="438">
        <f t="shared" si="16"/>
        <v>386418.58961342997</v>
      </c>
      <c r="K47" s="438">
        <f t="shared" si="16"/>
        <v>3730126.2775628413</v>
      </c>
      <c r="L47" s="438">
        <f t="shared" si="16"/>
        <v>202596.30584982541</v>
      </c>
      <c r="M47" s="438">
        <f t="shared" si="16"/>
        <v>233543.40034217297</v>
      </c>
      <c r="N47" s="438">
        <f t="shared" si="16"/>
        <v>265789.9012651681</v>
      </c>
      <c r="O47" s="438">
        <f t="shared" si="16"/>
        <v>299389.01532905386</v>
      </c>
      <c r="P47" s="438">
        <f t="shared" si="16"/>
        <v>-115471.62074706866</v>
      </c>
      <c r="Q47" s="438" t="str">
        <f t="shared" si="16"/>
        <v/>
      </c>
      <c r="R47" s="438" t="str">
        <f t="shared" si="16"/>
        <v/>
      </c>
      <c r="S47" s="438" t="str">
        <f t="shared" si="16"/>
        <v/>
      </c>
      <c r="T47" s="438" t="str">
        <f t="shared" si="16"/>
        <v/>
      </c>
      <c r="U47" s="438" t="str">
        <f t="shared" si="16"/>
        <v/>
      </c>
    </row>
    <row r="48" spans="2:25" ht="15" x14ac:dyDescent="0.2">
      <c r="B48" s="368" t="s">
        <v>708</v>
      </c>
      <c r="C48" s="368"/>
      <c r="D48" s="368"/>
      <c r="E48" s="368"/>
      <c r="F48" s="420">
        <f>IRR(F47:U47)</f>
        <v>6.8381105233369155E-2</v>
      </c>
      <c r="G48" s="369"/>
      <c r="H48" s="369"/>
      <c r="I48" s="369"/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</row>
    <row r="49" spans="2:21" ht="15" x14ac:dyDescent="0.2">
      <c r="B49" s="368" t="s">
        <v>674</v>
      </c>
      <c r="C49" s="368"/>
      <c r="D49" s="368"/>
      <c r="E49" s="368"/>
      <c r="F49" s="443">
        <f>SUMIF(F47:U47,"&gt;0")/-SUMIF(F47:U47,"&lt;0")</f>
        <v>1.3644126491942314</v>
      </c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</row>
    <row r="50" spans="2:21" ht="5" customHeight="1" x14ac:dyDescent="0.2">
      <c r="B50" s="368"/>
      <c r="C50" s="368"/>
      <c r="D50" s="368"/>
      <c r="E50" s="369"/>
      <c r="F50" s="444"/>
      <c r="G50" s="369"/>
      <c r="H50" s="369"/>
      <c r="I50" s="369"/>
      <c r="J50" s="369"/>
      <c r="K50" s="369"/>
      <c r="L50" s="369"/>
      <c r="M50" s="369"/>
      <c r="N50" s="369"/>
      <c r="O50" s="369"/>
      <c r="P50" s="444"/>
      <c r="Q50" s="369"/>
      <c r="R50" s="369"/>
      <c r="S50" s="369"/>
      <c r="T50" s="369"/>
      <c r="U50" s="369"/>
    </row>
    <row r="51" spans="2:21" ht="16" x14ac:dyDescent="0.2">
      <c r="B51" s="371" t="s">
        <v>709</v>
      </c>
      <c r="C51" s="368"/>
      <c r="D51" s="368"/>
      <c r="E51" s="368"/>
      <c r="F51" s="369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</row>
    <row r="52" spans="2:21" ht="15" x14ac:dyDescent="0.2">
      <c r="B52" s="445" t="s">
        <v>710</v>
      </c>
      <c r="C52" s="446">
        <f>E14</f>
        <v>7.0000000000000007E-2</v>
      </c>
      <c r="D52" s="392"/>
      <c r="E52" s="392"/>
      <c r="F52" s="393"/>
      <c r="G52" s="393"/>
      <c r="H52" s="393"/>
      <c r="I52" s="393"/>
      <c r="J52" s="393"/>
      <c r="K52" s="393"/>
      <c r="L52" s="393"/>
      <c r="M52" s="393"/>
      <c r="N52" s="393"/>
      <c r="O52" s="393"/>
      <c r="P52" s="393"/>
      <c r="Q52" s="393"/>
      <c r="R52" s="393"/>
      <c r="S52" s="393"/>
      <c r="T52" s="393"/>
      <c r="U52" s="393"/>
    </row>
    <row r="53" spans="2:21" ht="15" x14ac:dyDescent="0.2">
      <c r="B53" s="368" t="s">
        <v>711</v>
      </c>
      <c r="C53" s="368"/>
      <c r="D53" s="368"/>
      <c r="E53" s="368"/>
      <c r="F53" s="447">
        <f t="shared" ref="F53:U53" si="17">IF(F37="","",E58)</f>
        <v>0</v>
      </c>
      <c r="G53" s="447">
        <f t="shared" si="17"/>
        <v>4052699.6010000007</v>
      </c>
      <c r="H53" s="447">
        <f t="shared" si="17"/>
        <v>4148642.1352663352</v>
      </c>
      <c r="I53" s="447">
        <f t="shared" si="17"/>
        <v>4167407.2766713132</v>
      </c>
      <c r="J53" s="447">
        <f t="shared" si="17"/>
        <v>4101254.3554094397</v>
      </c>
      <c r="K53" s="447">
        <f t="shared" si="17"/>
        <v>4021244.5001553418</v>
      </c>
      <c r="L53" s="447">
        <f t="shared" si="17"/>
        <v>759111.65148151712</v>
      </c>
      <c r="M53" s="447">
        <f t="shared" si="17"/>
        <v>619782.97652788914</v>
      </c>
      <c r="N53" s="447">
        <f t="shared" si="17"/>
        <v>441301.55455977714</v>
      </c>
      <c r="O53" s="447">
        <f t="shared" si="17"/>
        <v>219692.25717705188</v>
      </c>
      <c r="P53" s="447">
        <f t="shared" si="17"/>
        <v>0</v>
      </c>
      <c r="Q53" s="447" t="str">
        <f t="shared" si="17"/>
        <v/>
      </c>
      <c r="R53" s="447" t="str">
        <f t="shared" si="17"/>
        <v/>
      </c>
      <c r="S53" s="447" t="str">
        <f t="shared" si="17"/>
        <v/>
      </c>
      <c r="T53" s="447" t="str">
        <f t="shared" si="17"/>
        <v/>
      </c>
      <c r="U53" s="447" t="str">
        <f t="shared" si="17"/>
        <v/>
      </c>
    </row>
    <row r="54" spans="2:21" ht="15" x14ac:dyDescent="0.2">
      <c r="B54" s="368" t="s">
        <v>712</v>
      </c>
      <c r="C54" s="368"/>
      <c r="D54" s="368"/>
      <c r="E54" s="368"/>
      <c r="F54" s="448" t="str">
        <f>IF(ROUND(SUM(G54:U54),0)=ROUND(SUM(F56:U56),0),"All Capital Returned","Capital Not Returned")</f>
        <v>Capital Not Returned</v>
      </c>
      <c r="G54" s="447">
        <f>IF(G37="","",G60-G55)</f>
        <v>-95942.53426633426</v>
      </c>
      <c r="H54" s="447">
        <f t="shared" ref="H54:U54" si="18">IF(H37="","",H60-H55)</f>
        <v>-18765.141404977767</v>
      </c>
      <c r="I54" s="447">
        <f t="shared" si="18"/>
        <v>66152.921261873911</v>
      </c>
      <c r="J54" s="447">
        <f t="shared" si="18"/>
        <v>80009.855254097609</v>
      </c>
      <c r="K54" s="447">
        <f t="shared" si="18"/>
        <v>3262132.8486738252</v>
      </c>
      <c r="L54" s="447">
        <f t="shared" si="18"/>
        <v>139328.67495362792</v>
      </c>
      <c r="M54" s="447">
        <f t="shared" si="18"/>
        <v>178481.42196811206</v>
      </c>
      <c r="N54" s="447">
        <f t="shared" si="18"/>
        <v>221609.29738272529</v>
      </c>
      <c r="O54" s="447">
        <f t="shared" si="18"/>
        <v>219692.25717705188</v>
      </c>
      <c r="P54" s="447">
        <f t="shared" si="18"/>
        <v>0</v>
      </c>
      <c r="Q54" s="447" t="str">
        <f t="shared" si="18"/>
        <v/>
      </c>
      <c r="R54" s="447" t="str">
        <f t="shared" si="18"/>
        <v/>
      </c>
      <c r="S54" s="447" t="str">
        <f t="shared" si="18"/>
        <v/>
      </c>
      <c r="T54" s="447" t="str">
        <f t="shared" si="18"/>
        <v/>
      </c>
      <c r="U54" s="447" t="str">
        <f t="shared" si="18"/>
        <v/>
      </c>
    </row>
    <row r="55" spans="2:21" ht="15" x14ac:dyDescent="0.2">
      <c r="B55" s="368" t="s">
        <v>713</v>
      </c>
      <c r="C55" s="368"/>
      <c r="D55" s="368"/>
      <c r="E55" s="368"/>
      <c r="F55" s="447">
        <f>IF(F53="","",IF($D$4="Equity Multiple",E56*$C52-E56,F53*Preferred_Return))</f>
        <v>0</v>
      </c>
      <c r="G55" s="447">
        <f t="shared" ref="G55:U55" si="19">IF(G53="","",IF($D$4="Equity Multiple",F56*$C52-F56,G53*Preferred_Return))</f>
        <v>283688.97207000008</v>
      </c>
      <c r="H55" s="447">
        <f t="shared" si="19"/>
        <v>290404.94946864352</v>
      </c>
      <c r="I55" s="447">
        <f t="shared" si="19"/>
        <v>291718.50936699193</v>
      </c>
      <c r="J55" s="447">
        <f t="shared" si="19"/>
        <v>287087.80487866083</v>
      </c>
      <c r="K55" s="447">
        <f t="shared" si="19"/>
        <v>281487.11501087394</v>
      </c>
      <c r="L55" s="447">
        <f t="shared" si="19"/>
        <v>53137.815603706207</v>
      </c>
      <c r="M55" s="447">
        <f t="shared" si="19"/>
        <v>43384.808356952242</v>
      </c>
      <c r="N55" s="447">
        <f t="shared" si="19"/>
        <v>30891.108819184403</v>
      </c>
      <c r="O55" s="447">
        <f t="shared" si="19"/>
        <v>15378.458002393634</v>
      </c>
      <c r="P55" s="447">
        <f t="shared" si="19"/>
        <v>0</v>
      </c>
      <c r="Q55" s="447" t="str">
        <f t="shared" si="19"/>
        <v/>
      </c>
      <c r="R55" s="447" t="str">
        <f t="shared" si="19"/>
        <v/>
      </c>
      <c r="S55" s="447" t="str">
        <f t="shared" si="19"/>
        <v/>
      </c>
      <c r="T55" s="447" t="str">
        <f t="shared" si="19"/>
        <v/>
      </c>
      <c r="U55" s="447" t="str">
        <f t="shared" si="19"/>
        <v/>
      </c>
    </row>
    <row r="56" spans="2:21" ht="15" x14ac:dyDescent="0.2">
      <c r="B56" s="368" t="s">
        <v>714</v>
      </c>
      <c r="C56" s="368"/>
      <c r="D56" s="368"/>
      <c r="E56" s="368"/>
      <c r="F56" s="447">
        <f t="shared" ref="F56:U56" si="20">IF(F53="","",-MIN(0,F47*Equity_Share_LP))</f>
        <v>4052699.6010000007</v>
      </c>
      <c r="G56" s="447">
        <f t="shared" si="20"/>
        <v>0</v>
      </c>
      <c r="H56" s="447">
        <f t="shared" si="20"/>
        <v>0</v>
      </c>
      <c r="I56" s="447">
        <f t="shared" si="20"/>
        <v>0</v>
      </c>
      <c r="J56" s="447">
        <f t="shared" si="20"/>
        <v>0</v>
      </c>
      <c r="K56" s="447">
        <f t="shared" si="20"/>
        <v>0</v>
      </c>
      <c r="L56" s="447">
        <f t="shared" si="20"/>
        <v>0</v>
      </c>
      <c r="M56" s="447">
        <f t="shared" si="20"/>
        <v>0</v>
      </c>
      <c r="N56" s="447">
        <f t="shared" si="20"/>
        <v>0</v>
      </c>
      <c r="O56" s="447">
        <f t="shared" si="20"/>
        <v>0</v>
      </c>
      <c r="P56" s="447">
        <f t="shared" si="20"/>
        <v>109698.03970971523</v>
      </c>
      <c r="Q56" s="447" t="str">
        <f t="shared" si="20"/>
        <v/>
      </c>
      <c r="R56" s="447" t="str">
        <f t="shared" si="20"/>
        <v/>
      </c>
      <c r="S56" s="447" t="str">
        <f t="shared" si="20"/>
        <v/>
      </c>
      <c r="T56" s="447" t="str">
        <f t="shared" si="20"/>
        <v/>
      </c>
      <c r="U56" s="447" t="str">
        <f t="shared" si="20"/>
        <v/>
      </c>
    </row>
    <row r="57" spans="2:21" ht="15" x14ac:dyDescent="0.2">
      <c r="B57" s="368" t="s">
        <v>715</v>
      </c>
      <c r="C57" s="368"/>
      <c r="D57" s="368"/>
      <c r="E57" s="368"/>
      <c r="F57" s="447">
        <f>MAX(F47,F55)</f>
        <v>0</v>
      </c>
      <c r="G57" s="375">
        <f t="shared" ref="G57:U57" si="21">IF(G53="","",MIN(G53+G55,MAX(G47,0)*$I$14))</f>
        <v>187746.43780366582</v>
      </c>
      <c r="H57" s="375">
        <f t="shared" si="21"/>
        <v>271639.80806366575</v>
      </c>
      <c r="I57" s="375">
        <f t="shared" si="21"/>
        <v>357871.43062886584</v>
      </c>
      <c r="J57" s="375">
        <f t="shared" si="21"/>
        <v>367097.66013275844</v>
      </c>
      <c r="K57" s="375">
        <f t="shared" si="21"/>
        <v>3543619.963684699</v>
      </c>
      <c r="L57" s="375">
        <f t="shared" si="21"/>
        <v>192466.49055733412</v>
      </c>
      <c r="M57" s="375">
        <f t="shared" si="21"/>
        <v>221866.2303250643</v>
      </c>
      <c r="N57" s="375">
        <f t="shared" si="21"/>
        <v>252500.40620190967</v>
      </c>
      <c r="O57" s="375">
        <f t="shared" si="21"/>
        <v>235070.71517944551</v>
      </c>
      <c r="P57" s="375">
        <f t="shared" si="21"/>
        <v>0</v>
      </c>
      <c r="Q57" s="375" t="str">
        <f t="shared" si="21"/>
        <v/>
      </c>
      <c r="R57" s="375" t="str">
        <f t="shared" si="21"/>
        <v/>
      </c>
      <c r="S57" s="375" t="str">
        <f t="shared" si="21"/>
        <v/>
      </c>
      <c r="T57" s="375" t="str">
        <f t="shared" si="21"/>
        <v/>
      </c>
      <c r="U57" s="375" t="str">
        <f t="shared" si="21"/>
        <v/>
      </c>
    </row>
    <row r="58" spans="2:21" ht="15" x14ac:dyDescent="0.2">
      <c r="B58" s="368" t="s">
        <v>716</v>
      </c>
      <c r="C58" s="368"/>
      <c r="D58" s="368"/>
      <c r="E58" s="368"/>
      <c r="F58" s="447">
        <f>F53+F56-F57</f>
        <v>4052699.6010000007</v>
      </c>
      <c r="G58" s="447">
        <f>IF(G53="","",G53+G55+G56-G57)</f>
        <v>4148642.1352663352</v>
      </c>
      <c r="H58" s="447">
        <f t="shared" ref="H58:U58" si="22">IF(H53="","",H53+H55+H56-H57)</f>
        <v>4167407.2766713132</v>
      </c>
      <c r="I58" s="447">
        <f t="shared" si="22"/>
        <v>4101254.3554094397</v>
      </c>
      <c r="J58" s="447">
        <f t="shared" si="22"/>
        <v>4021244.5001553418</v>
      </c>
      <c r="K58" s="447">
        <f t="shared" si="22"/>
        <v>759111.65148151712</v>
      </c>
      <c r="L58" s="447">
        <f t="shared" si="22"/>
        <v>619782.97652788914</v>
      </c>
      <c r="M58" s="447">
        <f t="shared" si="22"/>
        <v>441301.55455977714</v>
      </c>
      <c r="N58" s="447">
        <f t="shared" si="22"/>
        <v>219692.25717705188</v>
      </c>
      <c r="O58" s="447">
        <f t="shared" si="22"/>
        <v>0</v>
      </c>
      <c r="P58" s="447">
        <f t="shared" si="22"/>
        <v>109698.03970971523</v>
      </c>
      <c r="Q58" s="447" t="str">
        <f t="shared" si="22"/>
        <v/>
      </c>
      <c r="R58" s="447" t="str">
        <f t="shared" si="22"/>
        <v/>
      </c>
      <c r="S58" s="447" t="str">
        <f t="shared" si="22"/>
        <v/>
      </c>
      <c r="T58" s="447" t="str">
        <f t="shared" si="22"/>
        <v/>
      </c>
      <c r="U58" s="447" t="str">
        <f t="shared" si="22"/>
        <v/>
      </c>
    </row>
    <row r="59" spans="2:21" ht="15" x14ac:dyDescent="0.2">
      <c r="B59" s="449" t="str">
        <f>IF(D4="Equity Multiple", "LP EMx Check","LP IRR Check")</f>
        <v>LP IRR Check</v>
      </c>
      <c r="C59" s="368"/>
      <c r="D59" s="368"/>
      <c r="E59" s="450">
        <f>IF($D$4="IRR",IRR(F59:U59),SUMIF(F59:U59,"&gt;0")/-SUMIF(F59:U59,"&lt;0"))</f>
        <v>6.6852316912071386E-2</v>
      </c>
      <c r="F59" s="447">
        <f t="shared" ref="F59:U59" si="23">IF(F53="","",-F56+F57)</f>
        <v>-4052699.6010000007</v>
      </c>
      <c r="G59" s="447">
        <f t="shared" si="23"/>
        <v>187746.43780366582</v>
      </c>
      <c r="H59" s="447">
        <f t="shared" si="23"/>
        <v>271639.80806366575</v>
      </c>
      <c r="I59" s="447">
        <f t="shared" si="23"/>
        <v>357871.43062886584</v>
      </c>
      <c r="J59" s="447">
        <f t="shared" si="23"/>
        <v>367097.66013275844</v>
      </c>
      <c r="K59" s="447">
        <f t="shared" si="23"/>
        <v>3543619.963684699</v>
      </c>
      <c r="L59" s="447">
        <f t="shared" si="23"/>
        <v>192466.49055733412</v>
      </c>
      <c r="M59" s="447">
        <f t="shared" si="23"/>
        <v>221866.2303250643</v>
      </c>
      <c r="N59" s="447">
        <f t="shared" si="23"/>
        <v>252500.40620190967</v>
      </c>
      <c r="O59" s="447">
        <f t="shared" si="23"/>
        <v>235070.71517944551</v>
      </c>
      <c r="P59" s="447">
        <f t="shared" si="23"/>
        <v>-109698.03970971523</v>
      </c>
      <c r="Q59" s="447" t="str">
        <f t="shared" si="23"/>
        <v/>
      </c>
      <c r="R59" s="447" t="str">
        <f t="shared" si="23"/>
        <v/>
      </c>
      <c r="S59" s="447" t="str">
        <f t="shared" si="23"/>
        <v/>
      </c>
      <c r="T59" s="447" t="str">
        <f t="shared" si="23"/>
        <v/>
      </c>
      <c r="U59" s="447" t="str">
        <f t="shared" si="23"/>
        <v/>
      </c>
    </row>
    <row r="60" spans="2:21" ht="15" x14ac:dyDescent="0.2">
      <c r="B60" s="368" t="s">
        <v>717</v>
      </c>
      <c r="C60" s="368"/>
      <c r="D60" s="368"/>
      <c r="E60" s="368"/>
      <c r="F60" s="447">
        <f>MAX(F47,F55)</f>
        <v>0</v>
      </c>
      <c r="G60" s="447">
        <f>IF(G53="","",MIN(G53+G55,MAX(G47,0)*$I$14))</f>
        <v>187746.43780366582</v>
      </c>
      <c r="H60" s="447">
        <f t="shared" ref="H60:U60" si="24">H57</f>
        <v>271639.80806366575</v>
      </c>
      <c r="I60" s="447">
        <f t="shared" si="24"/>
        <v>357871.43062886584</v>
      </c>
      <c r="J60" s="447">
        <f t="shared" si="24"/>
        <v>367097.66013275844</v>
      </c>
      <c r="K60" s="447">
        <f t="shared" si="24"/>
        <v>3543619.963684699</v>
      </c>
      <c r="L60" s="447">
        <f t="shared" si="24"/>
        <v>192466.49055733412</v>
      </c>
      <c r="M60" s="447">
        <f t="shared" si="24"/>
        <v>221866.2303250643</v>
      </c>
      <c r="N60" s="447">
        <f t="shared" si="24"/>
        <v>252500.40620190967</v>
      </c>
      <c r="O60" s="447">
        <f t="shared" si="24"/>
        <v>235070.71517944551</v>
      </c>
      <c r="P60" s="447">
        <f t="shared" si="24"/>
        <v>0</v>
      </c>
      <c r="Q60" s="447" t="str">
        <f t="shared" si="24"/>
        <v/>
      </c>
      <c r="R60" s="447" t="str">
        <f t="shared" si="24"/>
        <v/>
      </c>
      <c r="S60" s="447" t="str">
        <f t="shared" si="24"/>
        <v/>
      </c>
      <c r="T60" s="447" t="str">
        <f t="shared" si="24"/>
        <v/>
      </c>
      <c r="U60" s="447" t="str">
        <f t="shared" si="24"/>
        <v/>
      </c>
    </row>
    <row r="61" spans="2:21" ht="5" customHeight="1" x14ac:dyDescent="0.2">
      <c r="B61" s="368"/>
      <c r="C61" s="368"/>
      <c r="D61" s="368"/>
      <c r="E61" s="368"/>
      <c r="F61" s="447"/>
      <c r="G61" s="447"/>
      <c r="H61" s="447"/>
      <c r="I61" s="447"/>
      <c r="J61" s="447"/>
      <c r="K61" s="447"/>
      <c r="L61" s="447"/>
      <c r="M61" s="447"/>
      <c r="N61" s="447"/>
      <c r="O61" s="447"/>
      <c r="P61" s="447"/>
      <c r="Q61" s="447"/>
      <c r="R61" s="447"/>
      <c r="S61" s="447"/>
      <c r="T61" s="447"/>
      <c r="U61" s="447"/>
    </row>
    <row r="62" spans="2:21" ht="15" x14ac:dyDescent="0.2">
      <c r="B62" s="368" t="s">
        <v>718</v>
      </c>
      <c r="C62" s="368"/>
      <c r="D62" s="368"/>
      <c r="E62" s="368"/>
      <c r="F62" s="447">
        <f>IF(F37="","",E66)</f>
        <v>0</v>
      </c>
      <c r="G62" s="447">
        <f t="shared" ref="G62:U62" si="25">IF(G37="","",F66)</f>
        <v>213299.97900000005</v>
      </c>
      <c r="H62" s="447">
        <f t="shared" si="25"/>
        <v>218349.58606664924</v>
      </c>
      <c r="I62" s="447">
        <f t="shared" si="25"/>
        <v>219337.22508796386</v>
      </c>
      <c r="J62" s="447">
        <f t="shared" si="25"/>
        <v>215855.49238997052</v>
      </c>
      <c r="K62" s="447">
        <f t="shared" si="25"/>
        <v>211644.44737659695</v>
      </c>
      <c r="L62" s="447">
        <f t="shared" si="25"/>
        <v>39953.244814816659</v>
      </c>
      <c r="M62" s="447">
        <f t="shared" si="25"/>
        <v>32620.156659362554</v>
      </c>
      <c r="N62" s="447">
        <f t="shared" si="25"/>
        <v>23226.397608409286</v>
      </c>
      <c r="O62" s="447">
        <f t="shared" si="25"/>
        <v>11562.75037773953</v>
      </c>
      <c r="P62" s="447">
        <f t="shared" si="25"/>
        <v>-4.7293724492192268E-11</v>
      </c>
      <c r="Q62" s="447" t="str">
        <f t="shared" si="25"/>
        <v/>
      </c>
      <c r="R62" s="447" t="str">
        <f t="shared" si="25"/>
        <v/>
      </c>
      <c r="S62" s="447" t="str">
        <f t="shared" si="25"/>
        <v/>
      </c>
      <c r="T62" s="447" t="str">
        <f t="shared" si="25"/>
        <v/>
      </c>
      <c r="U62" s="447" t="str">
        <f t="shared" si="25"/>
        <v/>
      </c>
    </row>
    <row r="63" spans="2:21" ht="15" x14ac:dyDescent="0.2">
      <c r="B63" s="368" t="s">
        <v>719</v>
      </c>
      <c r="C63" s="368"/>
      <c r="D63" s="368"/>
      <c r="E63" s="368"/>
      <c r="F63" s="447">
        <f t="shared" ref="F63:U63" si="26">IF(F62="","",IF($D$4="Equity Multiple",E64*$C52-E64,F62*Preferred_Return))</f>
        <v>0</v>
      </c>
      <c r="G63" s="447">
        <f t="shared" si="26"/>
        <v>14930.998530000004</v>
      </c>
      <c r="H63" s="447">
        <f t="shared" si="26"/>
        <v>15284.471024665449</v>
      </c>
      <c r="I63" s="447">
        <f t="shared" si="26"/>
        <v>15353.605756157471</v>
      </c>
      <c r="J63" s="447">
        <f t="shared" si="26"/>
        <v>15109.884467297938</v>
      </c>
      <c r="K63" s="447">
        <f t="shared" si="26"/>
        <v>14815.111316361788</v>
      </c>
      <c r="L63" s="447">
        <f t="shared" si="26"/>
        <v>2796.7271370371664</v>
      </c>
      <c r="M63" s="447">
        <f t="shared" si="26"/>
        <v>2283.4109661553789</v>
      </c>
      <c r="N63" s="447">
        <f t="shared" si="26"/>
        <v>1625.8478325886501</v>
      </c>
      <c r="O63" s="447">
        <f t="shared" si="26"/>
        <v>809.39252644176725</v>
      </c>
      <c r="P63" s="447">
        <f t="shared" si="26"/>
        <v>-3.3105607144534593E-12</v>
      </c>
      <c r="Q63" s="447" t="str">
        <f t="shared" si="26"/>
        <v/>
      </c>
      <c r="R63" s="447" t="str">
        <f t="shared" si="26"/>
        <v/>
      </c>
      <c r="S63" s="447" t="str">
        <f t="shared" si="26"/>
        <v/>
      </c>
      <c r="T63" s="447" t="str">
        <f t="shared" si="26"/>
        <v/>
      </c>
      <c r="U63" s="447" t="str">
        <f t="shared" si="26"/>
        <v/>
      </c>
    </row>
    <row r="64" spans="2:21" ht="15" x14ac:dyDescent="0.2">
      <c r="B64" s="368" t="s">
        <v>720</v>
      </c>
      <c r="C64" s="368"/>
      <c r="D64" s="368"/>
      <c r="E64" s="368"/>
      <c r="F64" s="447">
        <f t="shared" ref="F64:U64" si="27">IF(F37="","",-MIN(0,F47*Equity_Share_Sponsor))</f>
        <v>213299.97900000005</v>
      </c>
      <c r="G64" s="447">
        <f t="shared" si="27"/>
        <v>0</v>
      </c>
      <c r="H64" s="447">
        <f t="shared" si="27"/>
        <v>0</v>
      </c>
      <c r="I64" s="447">
        <f t="shared" si="27"/>
        <v>0</v>
      </c>
      <c r="J64" s="447">
        <f t="shared" si="27"/>
        <v>0</v>
      </c>
      <c r="K64" s="447">
        <f t="shared" si="27"/>
        <v>0</v>
      </c>
      <c r="L64" s="447">
        <f t="shared" si="27"/>
        <v>0</v>
      </c>
      <c r="M64" s="447">
        <f t="shared" si="27"/>
        <v>0</v>
      </c>
      <c r="N64" s="447">
        <f t="shared" si="27"/>
        <v>0</v>
      </c>
      <c r="O64" s="447">
        <f t="shared" si="27"/>
        <v>0</v>
      </c>
      <c r="P64" s="447">
        <f t="shared" si="27"/>
        <v>5773.5810373534332</v>
      </c>
      <c r="Q64" s="447" t="str">
        <f t="shared" si="27"/>
        <v/>
      </c>
      <c r="R64" s="447" t="str">
        <f t="shared" si="27"/>
        <v/>
      </c>
      <c r="S64" s="447" t="str">
        <f t="shared" si="27"/>
        <v/>
      </c>
      <c r="T64" s="447" t="str">
        <f t="shared" si="27"/>
        <v/>
      </c>
      <c r="U64" s="447" t="str">
        <f t="shared" si="27"/>
        <v/>
      </c>
    </row>
    <row r="65" spans="2:21" ht="15" x14ac:dyDescent="0.2">
      <c r="B65" s="368" t="s">
        <v>721</v>
      </c>
      <c r="C65" s="368"/>
      <c r="D65" s="368"/>
      <c r="E65" s="368"/>
      <c r="F65" s="447">
        <f t="shared" ref="F65:U65" si="28">IF(F37="","",IF(CU?,MAX(MIN(F47-F60,F62+F63+F64),0),F57/$I$14*$H$14))</f>
        <v>0</v>
      </c>
      <c r="G65" s="375">
        <f t="shared" si="28"/>
        <v>9881.3914633508339</v>
      </c>
      <c r="H65" s="375">
        <f t="shared" si="28"/>
        <v>14296.83200335083</v>
      </c>
      <c r="I65" s="375">
        <f t="shared" si="28"/>
        <v>18835.338454150835</v>
      </c>
      <c r="J65" s="375">
        <f t="shared" si="28"/>
        <v>19320.929480671501</v>
      </c>
      <c r="K65" s="375">
        <f t="shared" si="28"/>
        <v>186506.31387814207</v>
      </c>
      <c r="L65" s="375">
        <f t="shared" si="28"/>
        <v>10129.815292491272</v>
      </c>
      <c r="M65" s="375">
        <f t="shared" si="28"/>
        <v>11677.170017108649</v>
      </c>
      <c r="N65" s="375">
        <f t="shared" si="28"/>
        <v>13289.495063258406</v>
      </c>
      <c r="O65" s="375">
        <f t="shared" si="28"/>
        <v>12372.142904181344</v>
      </c>
      <c r="P65" s="375">
        <f t="shared" si="28"/>
        <v>0</v>
      </c>
      <c r="Q65" s="375" t="str">
        <f t="shared" si="28"/>
        <v/>
      </c>
      <c r="R65" s="375" t="str">
        <f t="shared" si="28"/>
        <v/>
      </c>
      <c r="S65" s="375" t="str">
        <f t="shared" si="28"/>
        <v/>
      </c>
      <c r="T65" s="375" t="str">
        <f t="shared" si="28"/>
        <v/>
      </c>
      <c r="U65" s="375" t="str">
        <f t="shared" si="28"/>
        <v/>
      </c>
    </row>
    <row r="66" spans="2:21" ht="15" x14ac:dyDescent="0.2">
      <c r="B66" s="368" t="s">
        <v>722</v>
      </c>
      <c r="C66" s="368"/>
      <c r="D66" s="368"/>
      <c r="E66" s="368"/>
      <c r="F66" s="447">
        <f>IF(F37="","",F62+F63+F64-F65)</f>
        <v>213299.97900000005</v>
      </c>
      <c r="G66" s="375">
        <f t="shared" ref="G66:U66" si="29">IF(G37="","",G62+G63+G64-G65)</f>
        <v>218349.58606664924</v>
      </c>
      <c r="H66" s="375">
        <f t="shared" si="29"/>
        <v>219337.22508796386</v>
      </c>
      <c r="I66" s="375">
        <f t="shared" si="29"/>
        <v>215855.49238997052</v>
      </c>
      <c r="J66" s="375">
        <f t="shared" si="29"/>
        <v>211644.44737659695</v>
      </c>
      <c r="K66" s="375">
        <f t="shared" si="29"/>
        <v>39953.244814816659</v>
      </c>
      <c r="L66" s="375">
        <f t="shared" si="29"/>
        <v>32620.156659362554</v>
      </c>
      <c r="M66" s="375">
        <f t="shared" si="29"/>
        <v>23226.397608409286</v>
      </c>
      <c r="N66" s="375">
        <f t="shared" si="29"/>
        <v>11562.75037773953</v>
      </c>
      <c r="O66" s="375">
        <f t="shared" si="29"/>
        <v>-4.7293724492192268E-11</v>
      </c>
      <c r="P66" s="375">
        <f t="shared" si="29"/>
        <v>5773.5810373533823</v>
      </c>
      <c r="Q66" s="375" t="str">
        <f t="shared" si="29"/>
        <v/>
      </c>
      <c r="R66" s="375" t="str">
        <f t="shared" si="29"/>
        <v/>
      </c>
      <c r="S66" s="375" t="str">
        <f t="shared" si="29"/>
        <v/>
      </c>
      <c r="T66" s="375" t="str">
        <f t="shared" si="29"/>
        <v/>
      </c>
      <c r="U66" s="375" t="str">
        <f t="shared" si="29"/>
        <v/>
      </c>
    </row>
    <row r="67" spans="2:21" ht="15" x14ac:dyDescent="0.2">
      <c r="B67" s="449" t="str">
        <f>IF(D4="Equity Multiple", "GP EMx Check","GP IRR Check")</f>
        <v>GP IRR Check</v>
      </c>
      <c r="C67" s="368"/>
      <c r="D67" s="368"/>
      <c r="E67" s="450">
        <f>IF($D$4="IRR",IFERROR(IRR(F67:U67),"NA"),SUMIF(F67:U67,"&gt;0")/-SUMIF(F67:U67,"&lt;0"))</f>
        <v>6.6852316912071386E-2</v>
      </c>
      <c r="F67" s="447">
        <f>IF(F37="","",-F64+F65)</f>
        <v>-213299.97900000005</v>
      </c>
      <c r="G67" s="375">
        <f t="shared" ref="G67:U67" si="30">IF(G37="","",-G64+G65)</f>
        <v>9881.3914633508339</v>
      </c>
      <c r="H67" s="375">
        <f t="shared" si="30"/>
        <v>14296.83200335083</v>
      </c>
      <c r="I67" s="375">
        <f t="shared" si="30"/>
        <v>18835.338454150835</v>
      </c>
      <c r="J67" s="375">
        <f t="shared" si="30"/>
        <v>19320.929480671501</v>
      </c>
      <c r="K67" s="375">
        <f t="shared" si="30"/>
        <v>186506.31387814207</v>
      </c>
      <c r="L67" s="375">
        <f t="shared" si="30"/>
        <v>10129.815292491272</v>
      </c>
      <c r="M67" s="375">
        <f t="shared" si="30"/>
        <v>11677.170017108649</v>
      </c>
      <c r="N67" s="375">
        <f t="shared" si="30"/>
        <v>13289.495063258406</v>
      </c>
      <c r="O67" s="375">
        <f t="shared" si="30"/>
        <v>12372.142904181344</v>
      </c>
      <c r="P67" s="375">
        <f t="shared" si="30"/>
        <v>-5773.5810373534332</v>
      </c>
      <c r="Q67" s="375" t="str">
        <f t="shared" si="30"/>
        <v/>
      </c>
      <c r="R67" s="375" t="str">
        <f t="shared" si="30"/>
        <v/>
      </c>
      <c r="S67" s="375" t="str">
        <f t="shared" si="30"/>
        <v/>
      </c>
      <c r="T67" s="375" t="str">
        <f t="shared" si="30"/>
        <v/>
      </c>
      <c r="U67" s="375" t="str">
        <f t="shared" si="30"/>
        <v/>
      </c>
    </row>
    <row r="68" spans="2:21" ht="5" customHeight="1" x14ac:dyDescent="0.2">
      <c r="B68" s="368"/>
      <c r="C68" s="368"/>
      <c r="D68" s="368"/>
      <c r="E68" s="368"/>
      <c r="F68" s="447"/>
      <c r="G68" s="375"/>
      <c r="H68" s="375"/>
      <c r="I68" s="375"/>
      <c r="J68" s="375"/>
      <c r="K68" s="375"/>
      <c r="L68" s="375"/>
      <c r="M68" s="375"/>
      <c r="N68" s="375"/>
      <c r="O68" s="375"/>
      <c r="P68" s="375"/>
      <c r="Q68" s="375"/>
      <c r="R68" s="375"/>
      <c r="S68" s="375"/>
      <c r="T68" s="375"/>
      <c r="U68" s="375"/>
    </row>
    <row r="69" spans="2:21" ht="15" x14ac:dyDescent="0.2">
      <c r="B69" s="368" t="str">
        <f>"Total Distributions ("&amp;B51&amp;")"</f>
        <v>Total Distributions (Return of Capital &amp; Hurdle 1 (Preferred Return))</v>
      </c>
      <c r="C69" s="368"/>
      <c r="D69" s="368"/>
      <c r="E69" s="368"/>
      <c r="F69" s="447">
        <f t="shared" ref="F69:U69" si="31">IF(F53="","",F65+F60)</f>
        <v>0</v>
      </c>
      <c r="G69" s="447">
        <f t="shared" si="31"/>
        <v>197627.82926701664</v>
      </c>
      <c r="H69" s="447">
        <f t="shared" si="31"/>
        <v>285936.64006701659</v>
      </c>
      <c r="I69" s="447">
        <f t="shared" si="31"/>
        <v>376706.76908301667</v>
      </c>
      <c r="J69" s="447">
        <f t="shared" si="31"/>
        <v>386418.58961342991</v>
      </c>
      <c r="K69" s="447">
        <f t="shared" si="31"/>
        <v>3730126.2775628413</v>
      </c>
      <c r="L69" s="447">
        <f t="shared" si="31"/>
        <v>202596.30584982538</v>
      </c>
      <c r="M69" s="447">
        <f t="shared" si="31"/>
        <v>233543.40034217294</v>
      </c>
      <c r="N69" s="447">
        <f t="shared" si="31"/>
        <v>265789.9012651681</v>
      </c>
      <c r="O69" s="447">
        <f t="shared" si="31"/>
        <v>247442.85808362687</v>
      </c>
      <c r="P69" s="447">
        <f t="shared" si="31"/>
        <v>0</v>
      </c>
      <c r="Q69" s="447" t="str">
        <f t="shared" si="31"/>
        <v/>
      </c>
      <c r="R69" s="447" t="str">
        <f t="shared" si="31"/>
        <v/>
      </c>
      <c r="S69" s="447" t="str">
        <f t="shared" si="31"/>
        <v/>
      </c>
      <c r="T69" s="447" t="str">
        <f t="shared" si="31"/>
        <v/>
      </c>
      <c r="U69" s="447" t="str">
        <f t="shared" si="31"/>
        <v/>
      </c>
    </row>
    <row r="70" spans="2:21" ht="15" x14ac:dyDescent="0.2">
      <c r="B70" s="368" t="s">
        <v>723</v>
      </c>
      <c r="C70" s="368"/>
      <c r="D70" s="368"/>
      <c r="E70" s="368"/>
      <c r="F70" s="447">
        <f t="shared" ref="F70:U70" si="32">IF(F53="","",MAX(F47-F69,0))</f>
        <v>0</v>
      </c>
      <c r="G70" s="447">
        <f t="shared" si="32"/>
        <v>2.9103830456733704E-11</v>
      </c>
      <c r="H70" s="447">
        <f t="shared" si="32"/>
        <v>0</v>
      </c>
      <c r="I70" s="447">
        <f t="shared" si="32"/>
        <v>0</v>
      </c>
      <c r="J70" s="447">
        <f t="shared" si="32"/>
        <v>5.8207660913467407E-11</v>
      </c>
      <c r="K70" s="447">
        <f t="shared" si="32"/>
        <v>0</v>
      </c>
      <c r="L70" s="447">
        <f t="shared" si="32"/>
        <v>2.9103830456733704E-11</v>
      </c>
      <c r="M70" s="447">
        <f t="shared" si="32"/>
        <v>2.9103830456733704E-11</v>
      </c>
      <c r="N70" s="447">
        <f t="shared" si="32"/>
        <v>0</v>
      </c>
      <c r="O70" s="447">
        <f t="shared" si="32"/>
        <v>51946.157245426992</v>
      </c>
      <c r="P70" s="447">
        <f t="shared" si="32"/>
        <v>0</v>
      </c>
      <c r="Q70" s="447" t="str">
        <f t="shared" si="32"/>
        <v/>
      </c>
      <c r="R70" s="447" t="str">
        <f t="shared" si="32"/>
        <v/>
      </c>
      <c r="S70" s="447" t="str">
        <f t="shared" si="32"/>
        <v/>
      </c>
      <c r="T70" s="447" t="str">
        <f t="shared" si="32"/>
        <v/>
      </c>
      <c r="U70" s="447" t="str">
        <f t="shared" si="32"/>
        <v/>
      </c>
    </row>
    <row r="71" spans="2:21" ht="5" customHeight="1" x14ac:dyDescent="0.2">
      <c r="B71" s="368"/>
      <c r="C71" s="368"/>
      <c r="D71" s="368"/>
      <c r="E71" s="368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</row>
    <row r="72" spans="2:21" ht="16" x14ac:dyDescent="0.2">
      <c r="B72" s="371" t="s">
        <v>677</v>
      </c>
      <c r="C72" s="368"/>
      <c r="D72" s="368"/>
      <c r="E72" s="368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</row>
    <row r="73" spans="2:21" ht="15" x14ac:dyDescent="0.2">
      <c r="B73" s="445" t="s">
        <v>710</v>
      </c>
      <c r="C73" s="446">
        <f>E15</f>
        <v>0.15</v>
      </c>
      <c r="D73" s="392"/>
      <c r="E73" s="392"/>
      <c r="F73" s="393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</row>
    <row r="74" spans="2:21" ht="15" x14ac:dyDescent="0.2">
      <c r="B74" s="368" t="s">
        <v>711</v>
      </c>
      <c r="C74" s="368"/>
      <c r="D74" s="368"/>
      <c r="E74" s="368"/>
      <c r="F74" s="447">
        <f t="shared" ref="F74:U74" si="33">IF(F37="","",E79)</f>
        <v>0</v>
      </c>
      <c r="G74" s="447">
        <f t="shared" si="33"/>
        <v>4052699.6010000007</v>
      </c>
      <c r="H74" s="447">
        <f t="shared" si="33"/>
        <v>4472858.1033463348</v>
      </c>
      <c r="I74" s="447">
        <f t="shared" si="33"/>
        <v>4872147.0107846195</v>
      </c>
      <c r="J74" s="447">
        <f t="shared" si="33"/>
        <v>5245097.6317734467</v>
      </c>
      <c r="K74" s="447">
        <f t="shared" si="33"/>
        <v>5664764.6164067052</v>
      </c>
      <c r="L74" s="447">
        <f t="shared" si="33"/>
        <v>2970859.3451830116</v>
      </c>
      <c r="M74" s="447">
        <f t="shared" si="33"/>
        <v>3224021.7564031295</v>
      </c>
      <c r="N74" s="447">
        <f t="shared" si="33"/>
        <v>3485758.7895385348</v>
      </c>
      <c r="O74" s="447">
        <f t="shared" si="33"/>
        <v>3756122.201767405</v>
      </c>
      <c r="P74" s="447">
        <f t="shared" si="33"/>
        <v>4054860.5072231768</v>
      </c>
      <c r="Q74" s="447" t="str">
        <f t="shared" si="33"/>
        <v/>
      </c>
      <c r="R74" s="447" t="str">
        <f t="shared" si="33"/>
        <v/>
      </c>
      <c r="S74" s="447" t="str">
        <f t="shared" si="33"/>
        <v/>
      </c>
      <c r="T74" s="447" t="str">
        <f t="shared" si="33"/>
        <v/>
      </c>
      <c r="U74" s="447" t="str">
        <f t="shared" si="33"/>
        <v/>
      </c>
    </row>
    <row r="75" spans="2:21" ht="15" x14ac:dyDescent="0.2">
      <c r="B75" s="368" t="s">
        <v>724</v>
      </c>
      <c r="C75" s="368"/>
      <c r="D75" s="368"/>
      <c r="E75" s="368"/>
      <c r="F75" s="447">
        <f>IF(F74="","",IF($D$4="Equity Multiple",E76*$C73-E76,F74*$C73))</f>
        <v>0</v>
      </c>
      <c r="G75" s="447">
        <f t="shared" ref="G75:U75" si="34">IF(G74="","",IF($D$4="Equity Multiple",F76*$C73-F76,G74*$C73))</f>
        <v>607904.94015000004</v>
      </c>
      <c r="H75" s="447">
        <f t="shared" si="34"/>
        <v>670928.71550195024</v>
      </c>
      <c r="I75" s="447">
        <f t="shared" si="34"/>
        <v>730822.05161769292</v>
      </c>
      <c r="J75" s="447">
        <f t="shared" si="34"/>
        <v>786764.64476601698</v>
      </c>
      <c r="K75" s="447">
        <f t="shared" si="34"/>
        <v>849714.69246100576</v>
      </c>
      <c r="L75" s="447">
        <f t="shared" si="34"/>
        <v>445628.90177745174</v>
      </c>
      <c r="M75" s="447">
        <f t="shared" si="34"/>
        <v>483603.26346046943</v>
      </c>
      <c r="N75" s="447">
        <f t="shared" si="34"/>
        <v>522863.8184307802</v>
      </c>
      <c r="O75" s="447">
        <f t="shared" si="34"/>
        <v>563418.33026511071</v>
      </c>
      <c r="P75" s="447">
        <f t="shared" si="34"/>
        <v>608229.07608347654</v>
      </c>
      <c r="Q75" s="447" t="str">
        <f t="shared" si="34"/>
        <v/>
      </c>
      <c r="R75" s="447" t="str">
        <f t="shared" si="34"/>
        <v/>
      </c>
      <c r="S75" s="447" t="str">
        <f t="shared" si="34"/>
        <v/>
      </c>
      <c r="T75" s="447" t="str">
        <f t="shared" si="34"/>
        <v/>
      </c>
      <c r="U75" s="447" t="str">
        <f t="shared" si="34"/>
        <v/>
      </c>
    </row>
    <row r="76" spans="2:21" ht="15" x14ac:dyDescent="0.2">
      <c r="B76" s="368" t="s">
        <v>714</v>
      </c>
      <c r="C76" s="368"/>
      <c r="D76" s="368"/>
      <c r="E76" s="368"/>
      <c r="F76" s="447">
        <f t="shared" ref="F76:U76" si="35">IF(F74="","",-MIN(0,F$47*Equity_Share_LP))</f>
        <v>4052699.6010000007</v>
      </c>
      <c r="G76" s="447">
        <f t="shared" si="35"/>
        <v>0</v>
      </c>
      <c r="H76" s="447">
        <f t="shared" si="35"/>
        <v>0</v>
      </c>
      <c r="I76" s="447">
        <f t="shared" si="35"/>
        <v>0</v>
      </c>
      <c r="J76" s="447">
        <f t="shared" si="35"/>
        <v>0</v>
      </c>
      <c r="K76" s="447">
        <f t="shared" si="35"/>
        <v>0</v>
      </c>
      <c r="L76" s="447">
        <f t="shared" si="35"/>
        <v>0</v>
      </c>
      <c r="M76" s="447">
        <f t="shared" si="35"/>
        <v>0</v>
      </c>
      <c r="N76" s="447">
        <f t="shared" si="35"/>
        <v>0</v>
      </c>
      <c r="O76" s="447">
        <f t="shared" si="35"/>
        <v>0</v>
      </c>
      <c r="P76" s="447">
        <f t="shared" si="35"/>
        <v>109698.03970971523</v>
      </c>
      <c r="Q76" s="447" t="str">
        <f t="shared" si="35"/>
        <v/>
      </c>
      <c r="R76" s="447" t="str">
        <f t="shared" si="35"/>
        <v/>
      </c>
      <c r="S76" s="447" t="str">
        <f t="shared" si="35"/>
        <v/>
      </c>
      <c r="T76" s="447" t="str">
        <f t="shared" si="35"/>
        <v/>
      </c>
      <c r="U76" s="447" t="str">
        <f t="shared" si="35"/>
        <v/>
      </c>
    </row>
    <row r="77" spans="2:21" ht="15" x14ac:dyDescent="0.2">
      <c r="B77" s="368" t="s">
        <v>725</v>
      </c>
      <c r="C77" s="368"/>
      <c r="D77" s="368"/>
      <c r="E77" s="368"/>
      <c r="F77" s="447">
        <f t="shared" ref="F77:U77" si="36">F60</f>
        <v>0</v>
      </c>
      <c r="G77" s="447">
        <f t="shared" si="36"/>
        <v>187746.43780366582</v>
      </c>
      <c r="H77" s="447">
        <f t="shared" si="36"/>
        <v>271639.80806366575</v>
      </c>
      <c r="I77" s="447">
        <f t="shared" si="36"/>
        <v>357871.43062886584</v>
      </c>
      <c r="J77" s="447">
        <f t="shared" si="36"/>
        <v>367097.66013275844</v>
      </c>
      <c r="K77" s="447">
        <f t="shared" si="36"/>
        <v>3543619.963684699</v>
      </c>
      <c r="L77" s="447">
        <f t="shared" si="36"/>
        <v>192466.49055733412</v>
      </c>
      <c r="M77" s="447">
        <f t="shared" si="36"/>
        <v>221866.2303250643</v>
      </c>
      <c r="N77" s="447">
        <f t="shared" si="36"/>
        <v>252500.40620190967</v>
      </c>
      <c r="O77" s="447">
        <f t="shared" si="36"/>
        <v>235070.71517944551</v>
      </c>
      <c r="P77" s="447">
        <f t="shared" si="36"/>
        <v>0</v>
      </c>
      <c r="Q77" s="447" t="str">
        <f t="shared" si="36"/>
        <v/>
      </c>
      <c r="R77" s="447" t="str">
        <f t="shared" si="36"/>
        <v/>
      </c>
      <c r="S77" s="447" t="str">
        <f t="shared" si="36"/>
        <v/>
      </c>
      <c r="T77" s="447" t="str">
        <f t="shared" si="36"/>
        <v/>
      </c>
      <c r="U77" s="447" t="str">
        <f t="shared" si="36"/>
        <v/>
      </c>
    </row>
    <row r="78" spans="2:21" ht="15" x14ac:dyDescent="0.2">
      <c r="B78" s="368" t="str">
        <f>"Distributions to LP "&amp;B72</f>
        <v>Distributions to LP Hurdle 2</v>
      </c>
      <c r="C78" s="368"/>
      <c r="D78" s="368"/>
      <c r="E78" s="368"/>
      <c r="F78" s="447">
        <f t="shared" ref="F78:U78" si="37">IF(F74="","",MIN(F74+F75-F77,F70*$I$15))</f>
        <v>0</v>
      </c>
      <c r="G78" s="447">
        <f t="shared" si="37"/>
        <v>1.658918336033821E-11</v>
      </c>
      <c r="H78" s="447">
        <f t="shared" si="37"/>
        <v>0</v>
      </c>
      <c r="I78" s="447">
        <f t="shared" si="37"/>
        <v>0</v>
      </c>
      <c r="J78" s="447">
        <f t="shared" si="37"/>
        <v>3.3178366720676419E-11</v>
      </c>
      <c r="K78" s="447">
        <f t="shared" si="37"/>
        <v>0</v>
      </c>
      <c r="L78" s="447">
        <f t="shared" si="37"/>
        <v>1.658918336033821E-11</v>
      </c>
      <c r="M78" s="447">
        <f t="shared" si="37"/>
        <v>1.658918336033821E-11</v>
      </c>
      <c r="N78" s="447">
        <f t="shared" si="37"/>
        <v>0</v>
      </c>
      <c r="O78" s="447">
        <f t="shared" si="37"/>
        <v>29609.309629893381</v>
      </c>
      <c r="P78" s="447">
        <f t="shared" si="37"/>
        <v>0</v>
      </c>
      <c r="Q78" s="447" t="str">
        <f t="shared" si="37"/>
        <v/>
      </c>
      <c r="R78" s="447" t="str">
        <f t="shared" si="37"/>
        <v/>
      </c>
      <c r="S78" s="447" t="str">
        <f t="shared" si="37"/>
        <v/>
      </c>
      <c r="T78" s="447" t="str">
        <f t="shared" si="37"/>
        <v/>
      </c>
      <c r="U78" s="447" t="str">
        <f t="shared" si="37"/>
        <v/>
      </c>
    </row>
    <row r="79" spans="2:21" ht="15" x14ac:dyDescent="0.2">
      <c r="B79" s="368" t="s">
        <v>716</v>
      </c>
      <c r="C79" s="368"/>
      <c r="D79" s="368"/>
      <c r="E79" s="368"/>
      <c r="F79" s="447">
        <f>F74+F76-F78</f>
        <v>4052699.6010000007</v>
      </c>
      <c r="G79" s="447">
        <f t="shared" ref="G79:U79" si="38">IF(G74="","",G74+G75+G76-G77-G78)</f>
        <v>4472858.1033463348</v>
      </c>
      <c r="H79" s="447">
        <f t="shared" si="38"/>
        <v>4872147.0107846195</v>
      </c>
      <c r="I79" s="447">
        <f t="shared" si="38"/>
        <v>5245097.6317734467</v>
      </c>
      <c r="J79" s="447">
        <f t="shared" si="38"/>
        <v>5664764.6164067052</v>
      </c>
      <c r="K79" s="447">
        <f t="shared" si="38"/>
        <v>2970859.3451830116</v>
      </c>
      <c r="L79" s="447">
        <f t="shared" si="38"/>
        <v>3224021.7564031295</v>
      </c>
      <c r="M79" s="447">
        <f t="shared" si="38"/>
        <v>3485758.7895385348</v>
      </c>
      <c r="N79" s="447">
        <f t="shared" si="38"/>
        <v>3756122.201767405</v>
      </c>
      <c r="O79" s="447">
        <f t="shared" si="38"/>
        <v>4054860.5072231768</v>
      </c>
      <c r="P79" s="447">
        <f t="shared" si="38"/>
        <v>4772787.6230163686</v>
      </c>
      <c r="Q79" s="447" t="str">
        <f t="shared" si="38"/>
        <v/>
      </c>
      <c r="R79" s="447" t="str">
        <f t="shared" si="38"/>
        <v/>
      </c>
      <c r="S79" s="447" t="str">
        <f t="shared" si="38"/>
        <v/>
      </c>
      <c r="T79" s="447" t="str">
        <f t="shared" si="38"/>
        <v/>
      </c>
      <c r="U79" s="447" t="str">
        <f t="shared" si="38"/>
        <v/>
      </c>
    </row>
    <row r="80" spans="2:21" ht="15" x14ac:dyDescent="0.2">
      <c r="B80" s="451">
        <f>C73</f>
        <v>0.15</v>
      </c>
      <c r="C80" s="368"/>
      <c r="D80" s="368"/>
      <c r="E80" s="450">
        <f>IF($D$4="IRR",IRR(F80:U80),SUMIF(F80:U80,"&gt;0")/-SUMIF(F80:U80,"&lt;0"))</f>
        <v>6.777268817178328E-2</v>
      </c>
      <c r="F80" s="447">
        <f>IF(F74="","",-F76+F78)</f>
        <v>-4052699.6010000007</v>
      </c>
      <c r="G80" s="447">
        <f t="shared" ref="G80:U80" si="39">IF(G74="","",-G76+G77+G78)</f>
        <v>187746.43780366585</v>
      </c>
      <c r="H80" s="447">
        <f t="shared" si="39"/>
        <v>271639.80806366575</v>
      </c>
      <c r="I80" s="447">
        <f t="shared" si="39"/>
        <v>357871.43062886584</v>
      </c>
      <c r="J80" s="447">
        <f t="shared" si="39"/>
        <v>367097.66013275849</v>
      </c>
      <c r="K80" s="447">
        <f t="shared" si="39"/>
        <v>3543619.963684699</v>
      </c>
      <c r="L80" s="447">
        <f t="shared" si="39"/>
        <v>192466.49055733415</v>
      </c>
      <c r="M80" s="447">
        <f t="shared" si="39"/>
        <v>221866.23032506433</v>
      </c>
      <c r="N80" s="447">
        <f t="shared" si="39"/>
        <v>252500.40620190967</v>
      </c>
      <c r="O80" s="447">
        <f t="shared" si="39"/>
        <v>264680.02480933891</v>
      </c>
      <c r="P80" s="447">
        <f t="shared" si="39"/>
        <v>-109698.03970971523</v>
      </c>
      <c r="Q80" s="447" t="str">
        <f t="shared" si="39"/>
        <v/>
      </c>
      <c r="R80" s="447" t="str">
        <f t="shared" si="39"/>
        <v/>
      </c>
      <c r="S80" s="447" t="str">
        <f t="shared" si="39"/>
        <v/>
      </c>
      <c r="T80" s="447" t="str">
        <f t="shared" si="39"/>
        <v/>
      </c>
      <c r="U80" s="447" t="str">
        <f t="shared" si="39"/>
        <v/>
      </c>
    </row>
    <row r="81" spans="2:21" ht="5" customHeight="1" x14ac:dyDescent="0.2">
      <c r="B81" s="356" t="s">
        <v>726</v>
      </c>
      <c r="C81" s="356" t="s">
        <v>726</v>
      </c>
      <c r="D81" s="356" t="s">
        <v>726</v>
      </c>
      <c r="E81" s="356" t="s">
        <v>726</v>
      </c>
      <c r="F81" s="452" t="str">
        <f t="shared" ref="F81:U81" si="40">IF(F74="","",".")</f>
        <v>.</v>
      </c>
      <c r="G81" s="452" t="str">
        <f t="shared" si="40"/>
        <v>.</v>
      </c>
      <c r="H81" s="452" t="str">
        <f t="shared" si="40"/>
        <v>.</v>
      </c>
      <c r="I81" s="452" t="str">
        <f t="shared" si="40"/>
        <v>.</v>
      </c>
      <c r="J81" s="452" t="str">
        <f t="shared" si="40"/>
        <v>.</v>
      </c>
      <c r="K81" s="452" t="str">
        <f t="shared" si="40"/>
        <v>.</v>
      </c>
      <c r="L81" s="452" t="str">
        <f t="shared" si="40"/>
        <v>.</v>
      </c>
      <c r="M81" s="452" t="str">
        <f t="shared" si="40"/>
        <v>.</v>
      </c>
      <c r="N81" s="452" t="str">
        <f t="shared" si="40"/>
        <v>.</v>
      </c>
      <c r="O81" s="452" t="str">
        <f t="shared" si="40"/>
        <v>.</v>
      </c>
      <c r="P81" s="452" t="str">
        <f t="shared" si="40"/>
        <v>.</v>
      </c>
      <c r="Q81" s="452" t="str">
        <f t="shared" si="40"/>
        <v/>
      </c>
      <c r="R81" s="452" t="str">
        <f t="shared" si="40"/>
        <v/>
      </c>
      <c r="S81" s="452" t="str">
        <f t="shared" si="40"/>
        <v/>
      </c>
      <c r="T81" s="452" t="str">
        <f t="shared" si="40"/>
        <v/>
      </c>
      <c r="U81" s="452" t="str">
        <f t="shared" si="40"/>
        <v/>
      </c>
    </row>
    <row r="82" spans="2:21" ht="15" x14ac:dyDescent="0.2">
      <c r="B82" s="368" t="s">
        <v>717</v>
      </c>
      <c r="C82" s="368"/>
      <c r="D82" s="368"/>
      <c r="E82" s="368"/>
      <c r="F82" s="447">
        <f t="shared" ref="F82:U82" si="41">IF(F74="","",F78)</f>
        <v>0</v>
      </c>
      <c r="G82" s="447">
        <f t="shared" si="41"/>
        <v>1.658918336033821E-11</v>
      </c>
      <c r="H82" s="447">
        <f t="shared" si="41"/>
        <v>0</v>
      </c>
      <c r="I82" s="447">
        <f t="shared" si="41"/>
        <v>0</v>
      </c>
      <c r="J82" s="447">
        <f t="shared" si="41"/>
        <v>3.3178366720676419E-11</v>
      </c>
      <c r="K82" s="447">
        <f t="shared" si="41"/>
        <v>0</v>
      </c>
      <c r="L82" s="447">
        <f t="shared" si="41"/>
        <v>1.658918336033821E-11</v>
      </c>
      <c r="M82" s="447">
        <f t="shared" si="41"/>
        <v>1.658918336033821E-11</v>
      </c>
      <c r="N82" s="447">
        <f t="shared" si="41"/>
        <v>0</v>
      </c>
      <c r="O82" s="447">
        <f t="shared" si="41"/>
        <v>29609.309629893381</v>
      </c>
      <c r="P82" s="447">
        <f t="shared" si="41"/>
        <v>0</v>
      </c>
      <c r="Q82" s="447" t="str">
        <f t="shared" si="41"/>
        <v/>
      </c>
      <c r="R82" s="447" t="str">
        <f t="shared" si="41"/>
        <v/>
      </c>
      <c r="S82" s="447" t="str">
        <f t="shared" si="41"/>
        <v/>
      </c>
      <c r="T82" s="447" t="str">
        <f t="shared" si="41"/>
        <v/>
      </c>
      <c r="U82" s="447" t="str">
        <f t="shared" si="41"/>
        <v/>
      </c>
    </row>
    <row r="83" spans="2:21" ht="15" x14ac:dyDescent="0.2">
      <c r="B83" s="368" t="s">
        <v>721</v>
      </c>
      <c r="C83" s="368"/>
      <c r="D83" s="368"/>
      <c r="E83" s="368"/>
      <c r="F83" s="447">
        <f>IF(F74="","",F82/$I$15*$H$15)</f>
        <v>0</v>
      </c>
      <c r="G83" s="447">
        <f t="shared" ref="G83:U83" si="42">IF(G74="","",G82/$I$15*$H$15)</f>
        <v>1.2514647096395494E-11</v>
      </c>
      <c r="H83" s="447">
        <f t="shared" si="42"/>
        <v>0</v>
      </c>
      <c r="I83" s="447">
        <f t="shared" si="42"/>
        <v>0</v>
      </c>
      <c r="J83" s="447">
        <f t="shared" si="42"/>
        <v>2.5029294192790988E-11</v>
      </c>
      <c r="K83" s="447">
        <f t="shared" si="42"/>
        <v>0</v>
      </c>
      <c r="L83" s="447">
        <f t="shared" si="42"/>
        <v>1.2514647096395494E-11</v>
      </c>
      <c r="M83" s="447">
        <f t="shared" si="42"/>
        <v>1.2514647096395494E-11</v>
      </c>
      <c r="N83" s="447">
        <f t="shared" si="42"/>
        <v>0</v>
      </c>
      <c r="O83" s="447">
        <f t="shared" si="42"/>
        <v>22336.84761553361</v>
      </c>
      <c r="P83" s="447">
        <f t="shared" si="42"/>
        <v>0</v>
      </c>
      <c r="Q83" s="447" t="str">
        <f t="shared" si="42"/>
        <v/>
      </c>
      <c r="R83" s="447" t="str">
        <f t="shared" si="42"/>
        <v/>
      </c>
      <c r="S83" s="447" t="str">
        <f t="shared" si="42"/>
        <v/>
      </c>
      <c r="T83" s="447" t="str">
        <f t="shared" si="42"/>
        <v/>
      </c>
      <c r="U83" s="447" t="str">
        <f t="shared" si="42"/>
        <v/>
      </c>
    </row>
    <row r="84" spans="2:21" ht="15" x14ac:dyDescent="0.2">
      <c r="B84" s="368" t="str">
        <f>"Total Distributions ("&amp;B72&amp;")"</f>
        <v>Total Distributions (Hurdle 2)</v>
      </c>
      <c r="C84" s="368"/>
      <c r="D84" s="368"/>
      <c r="E84" s="368"/>
      <c r="F84" s="447">
        <f t="shared" ref="F84:U84" si="43">IF(F74="","",F82+F83)</f>
        <v>0</v>
      </c>
      <c r="G84" s="447">
        <f t="shared" si="43"/>
        <v>2.9103830456733704E-11</v>
      </c>
      <c r="H84" s="447">
        <f t="shared" si="43"/>
        <v>0</v>
      </c>
      <c r="I84" s="447">
        <f t="shared" si="43"/>
        <v>0</v>
      </c>
      <c r="J84" s="447">
        <f t="shared" si="43"/>
        <v>5.8207660913467407E-11</v>
      </c>
      <c r="K84" s="447">
        <f t="shared" si="43"/>
        <v>0</v>
      </c>
      <c r="L84" s="447">
        <f t="shared" si="43"/>
        <v>2.9103830456733704E-11</v>
      </c>
      <c r="M84" s="447">
        <f t="shared" si="43"/>
        <v>2.9103830456733704E-11</v>
      </c>
      <c r="N84" s="447">
        <f t="shared" si="43"/>
        <v>0</v>
      </c>
      <c r="O84" s="447">
        <f t="shared" si="43"/>
        <v>51946.157245426992</v>
      </c>
      <c r="P84" s="447">
        <f t="shared" si="43"/>
        <v>0</v>
      </c>
      <c r="Q84" s="447" t="str">
        <f t="shared" si="43"/>
        <v/>
      </c>
      <c r="R84" s="447" t="str">
        <f t="shared" si="43"/>
        <v/>
      </c>
      <c r="S84" s="447" t="str">
        <f t="shared" si="43"/>
        <v/>
      </c>
      <c r="T84" s="447" t="str">
        <f t="shared" si="43"/>
        <v/>
      </c>
      <c r="U84" s="447" t="str">
        <f t="shared" si="43"/>
        <v/>
      </c>
    </row>
    <row r="85" spans="2:21" ht="15" x14ac:dyDescent="0.2">
      <c r="B85" s="368" t="s">
        <v>723</v>
      </c>
      <c r="C85" s="368"/>
      <c r="D85" s="368"/>
      <c r="E85" s="368"/>
      <c r="F85" s="447">
        <f t="shared" ref="F85:U85" si="44">IF(F74="","",MAX(F$47-F69-F84,0))</f>
        <v>0</v>
      </c>
      <c r="G85" s="447">
        <f t="shared" si="44"/>
        <v>0</v>
      </c>
      <c r="H85" s="447">
        <f t="shared" si="44"/>
        <v>0</v>
      </c>
      <c r="I85" s="447">
        <f t="shared" si="44"/>
        <v>0</v>
      </c>
      <c r="J85" s="447">
        <f t="shared" si="44"/>
        <v>0</v>
      </c>
      <c r="K85" s="447">
        <f t="shared" si="44"/>
        <v>0</v>
      </c>
      <c r="L85" s="447">
        <f t="shared" si="44"/>
        <v>0</v>
      </c>
      <c r="M85" s="447">
        <f t="shared" si="44"/>
        <v>0</v>
      </c>
      <c r="N85" s="447">
        <f t="shared" si="44"/>
        <v>0</v>
      </c>
      <c r="O85" s="447">
        <f t="shared" si="44"/>
        <v>0</v>
      </c>
      <c r="P85" s="447">
        <f t="shared" si="44"/>
        <v>0</v>
      </c>
      <c r="Q85" s="447" t="str">
        <f t="shared" si="44"/>
        <v/>
      </c>
      <c r="R85" s="447" t="str">
        <f t="shared" si="44"/>
        <v/>
      </c>
      <c r="S85" s="447" t="str">
        <f t="shared" si="44"/>
        <v/>
      </c>
      <c r="T85" s="447" t="str">
        <f t="shared" si="44"/>
        <v/>
      </c>
      <c r="U85" s="447" t="str">
        <f t="shared" si="44"/>
        <v/>
      </c>
    </row>
    <row r="86" spans="2:21" ht="5" customHeight="1" x14ac:dyDescent="0.2">
      <c r="B86" s="368"/>
      <c r="C86" s="368"/>
      <c r="D86" s="368"/>
      <c r="E86" s="368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</row>
    <row r="87" spans="2:21" ht="16" x14ac:dyDescent="0.2">
      <c r="B87" s="371" t="s">
        <v>678</v>
      </c>
      <c r="C87" s="368"/>
      <c r="D87" s="368"/>
      <c r="E87" s="368"/>
      <c r="F87" s="369"/>
      <c r="G87" s="369"/>
      <c r="H87" s="369"/>
      <c r="I87" s="369"/>
      <c r="J87" s="369"/>
      <c r="K87" s="369"/>
      <c r="L87" s="369"/>
      <c r="M87" s="369"/>
      <c r="N87" s="369"/>
      <c r="O87" s="369"/>
      <c r="P87" s="369"/>
      <c r="Q87" s="369"/>
      <c r="R87" s="369"/>
      <c r="S87" s="369"/>
      <c r="T87" s="369"/>
      <c r="U87" s="369"/>
    </row>
    <row r="88" spans="2:21" ht="15" x14ac:dyDescent="0.2">
      <c r="B88" s="445" t="s">
        <v>710</v>
      </c>
      <c r="C88" s="446">
        <f>E16</f>
        <v>0.99</v>
      </c>
      <c r="D88" s="392"/>
      <c r="E88" s="392"/>
      <c r="F88" s="393"/>
      <c r="G88" s="393"/>
      <c r="H88" s="393"/>
      <c r="I88" s="393"/>
      <c r="J88" s="393"/>
      <c r="K88" s="393"/>
      <c r="L88" s="393"/>
      <c r="M88" s="393"/>
      <c r="N88" s="393"/>
      <c r="O88" s="393"/>
      <c r="P88" s="393"/>
      <c r="Q88" s="393"/>
      <c r="R88" s="393"/>
      <c r="S88" s="393"/>
      <c r="T88" s="393"/>
      <c r="U88" s="393"/>
    </row>
    <row r="89" spans="2:21" ht="15" x14ac:dyDescent="0.2">
      <c r="B89" s="368" t="s">
        <v>711</v>
      </c>
      <c r="C89" s="368"/>
      <c r="D89" s="368"/>
      <c r="E89" s="368"/>
      <c r="F89" s="447">
        <f t="shared" ref="F89:U89" si="45">IF(F65="","",E94)</f>
        <v>0</v>
      </c>
      <c r="G89" s="447">
        <f t="shared" si="45"/>
        <v>4052699.6010000007</v>
      </c>
      <c r="H89" s="447">
        <f t="shared" si="45"/>
        <v>7877125.7681863355</v>
      </c>
      <c r="I89" s="447">
        <f t="shared" si="45"/>
        <v>15403840.470627142</v>
      </c>
      <c r="J89" s="447">
        <f t="shared" si="45"/>
        <v>30295771.105919145</v>
      </c>
      <c r="K89" s="447">
        <f t="shared" si="45"/>
        <v>59921486.840646341</v>
      </c>
      <c r="L89" s="447">
        <f t="shared" si="45"/>
        <v>115700138.84920152</v>
      </c>
      <c r="M89" s="447">
        <f t="shared" si="45"/>
        <v>230050809.81935367</v>
      </c>
      <c r="N89" s="447">
        <f t="shared" si="45"/>
        <v>457579245.31018877</v>
      </c>
      <c r="O89" s="447">
        <f t="shared" si="45"/>
        <v>910330197.76107371</v>
      </c>
      <c r="P89" s="447">
        <f t="shared" si="45"/>
        <v>1811292413.5197272</v>
      </c>
      <c r="Q89" s="447" t="str">
        <f t="shared" si="45"/>
        <v/>
      </c>
      <c r="R89" s="447" t="str">
        <f t="shared" si="45"/>
        <v/>
      </c>
      <c r="S89" s="447" t="str">
        <f t="shared" si="45"/>
        <v/>
      </c>
      <c r="T89" s="447" t="str">
        <f t="shared" si="45"/>
        <v/>
      </c>
      <c r="U89" s="447" t="str">
        <f t="shared" si="45"/>
        <v/>
      </c>
    </row>
    <row r="90" spans="2:21" ht="15" x14ac:dyDescent="0.2">
      <c r="B90" s="368" t="s">
        <v>727</v>
      </c>
      <c r="C90" s="368"/>
      <c r="D90" s="368"/>
      <c r="E90" s="368"/>
      <c r="F90" s="447">
        <f>IF(F89="","",IF($D$4="Equity Multiple",E91*$C88-E91,F89*$C88))</f>
        <v>0</v>
      </c>
      <c r="G90" s="447">
        <f t="shared" ref="G90:U90" si="46">IF(G89="","",IF($D$4="Equity Multiple",F91*$C88-F91,G89*$C88))</f>
        <v>4012172.6049900008</v>
      </c>
      <c r="H90" s="447">
        <f t="shared" si="46"/>
        <v>7798354.5105044721</v>
      </c>
      <c r="I90" s="447">
        <f t="shared" si="46"/>
        <v>15249802.065920871</v>
      </c>
      <c r="J90" s="447">
        <f t="shared" si="46"/>
        <v>29992813.394859955</v>
      </c>
      <c r="K90" s="447">
        <f t="shared" si="46"/>
        <v>59322271.972239874</v>
      </c>
      <c r="L90" s="447">
        <f t="shared" si="46"/>
        <v>114543137.4607095</v>
      </c>
      <c r="M90" s="447">
        <f t="shared" si="46"/>
        <v>227750301.72116014</v>
      </c>
      <c r="N90" s="447">
        <f t="shared" si="46"/>
        <v>453003452.8570869</v>
      </c>
      <c r="O90" s="447">
        <f t="shared" si="46"/>
        <v>901226895.783463</v>
      </c>
      <c r="P90" s="447">
        <f t="shared" si="46"/>
        <v>1793179489.3845298</v>
      </c>
      <c r="Q90" s="447" t="str">
        <f t="shared" si="46"/>
        <v/>
      </c>
      <c r="R90" s="447" t="str">
        <f t="shared" si="46"/>
        <v/>
      </c>
      <c r="S90" s="447" t="str">
        <f t="shared" si="46"/>
        <v/>
      </c>
      <c r="T90" s="447" t="str">
        <f t="shared" si="46"/>
        <v/>
      </c>
      <c r="U90" s="447" t="str">
        <f t="shared" si="46"/>
        <v/>
      </c>
    </row>
    <row r="91" spans="2:21" ht="15" x14ac:dyDescent="0.2">
      <c r="B91" s="368" t="s">
        <v>714</v>
      </c>
      <c r="C91" s="368"/>
      <c r="D91" s="368"/>
      <c r="E91" s="368"/>
      <c r="F91" s="447">
        <f t="shared" ref="F91:U91" si="47">IF(F89="","",-MIN(0,F$47*Equity_Share_LP))</f>
        <v>4052699.6010000007</v>
      </c>
      <c r="G91" s="447">
        <f t="shared" si="47"/>
        <v>0</v>
      </c>
      <c r="H91" s="447">
        <f t="shared" si="47"/>
        <v>0</v>
      </c>
      <c r="I91" s="447">
        <f t="shared" si="47"/>
        <v>0</v>
      </c>
      <c r="J91" s="447">
        <f t="shared" si="47"/>
        <v>0</v>
      </c>
      <c r="K91" s="447">
        <f t="shared" si="47"/>
        <v>0</v>
      </c>
      <c r="L91" s="447">
        <f t="shared" si="47"/>
        <v>0</v>
      </c>
      <c r="M91" s="447">
        <f t="shared" si="47"/>
        <v>0</v>
      </c>
      <c r="N91" s="447">
        <f t="shared" si="47"/>
        <v>0</v>
      </c>
      <c r="O91" s="447">
        <f t="shared" si="47"/>
        <v>0</v>
      </c>
      <c r="P91" s="447">
        <f t="shared" si="47"/>
        <v>109698.03970971523</v>
      </c>
      <c r="Q91" s="447" t="str">
        <f t="shared" si="47"/>
        <v/>
      </c>
      <c r="R91" s="447" t="str">
        <f t="shared" si="47"/>
        <v/>
      </c>
      <c r="S91" s="447" t="str">
        <f t="shared" si="47"/>
        <v/>
      </c>
      <c r="T91" s="447" t="str">
        <f t="shared" si="47"/>
        <v/>
      </c>
      <c r="U91" s="447" t="str">
        <f t="shared" si="47"/>
        <v/>
      </c>
    </row>
    <row r="92" spans="2:21" ht="15" x14ac:dyDescent="0.2">
      <c r="B92" s="368" t="s">
        <v>725</v>
      </c>
      <c r="C92" s="368"/>
      <c r="D92" s="368"/>
      <c r="E92" s="368"/>
      <c r="F92" s="447">
        <f t="shared" ref="F92:U92" si="48">IF(F89="","",F82+F60)</f>
        <v>0</v>
      </c>
      <c r="G92" s="447">
        <f t="shared" si="48"/>
        <v>187746.43780366585</v>
      </c>
      <c r="H92" s="447">
        <f t="shared" si="48"/>
        <v>271639.80806366575</v>
      </c>
      <c r="I92" s="447">
        <f t="shared" si="48"/>
        <v>357871.43062886584</v>
      </c>
      <c r="J92" s="447">
        <f t="shared" si="48"/>
        <v>367097.66013275849</v>
      </c>
      <c r="K92" s="447">
        <f t="shared" si="48"/>
        <v>3543619.963684699</v>
      </c>
      <c r="L92" s="447">
        <f t="shared" si="48"/>
        <v>192466.49055733415</v>
      </c>
      <c r="M92" s="447">
        <f t="shared" si="48"/>
        <v>221866.23032506433</v>
      </c>
      <c r="N92" s="447">
        <f t="shared" si="48"/>
        <v>252500.40620190967</v>
      </c>
      <c r="O92" s="447">
        <f t="shared" si="48"/>
        <v>264680.02480933891</v>
      </c>
      <c r="P92" s="447">
        <f t="shared" si="48"/>
        <v>0</v>
      </c>
      <c r="Q92" s="447" t="str">
        <f t="shared" si="48"/>
        <v/>
      </c>
      <c r="R92" s="447" t="str">
        <f t="shared" si="48"/>
        <v/>
      </c>
      <c r="S92" s="447" t="str">
        <f t="shared" si="48"/>
        <v/>
      </c>
      <c r="T92" s="447" t="str">
        <f t="shared" si="48"/>
        <v/>
      </c>
      <c r="U92" s="447" t="str">
        <f t="shared" si="48"/>
        <v/>
      </c>
    </row>
    <row r="93" spans="2:21" ht="15" x14ac:dyDescent="0.2">
      <c r="B93" s="368" t="str">
        <f>"Distributions to LP "&amp;B87</f>
        <v>Distributions to LP Hurdle 3</v>
      </c>
      <c r="C93" s="368"/>
      <c r="D93" s="368"/>
      <c r="E93" s="368"/>
      <c r="F93" s="447">
        <f t="shared" ref="F93:U93" si="49">IF(F89="","",MIN(F89+F90-F92,F85*$I$16))</f>
        <v>0</v>
      </c>
      <c r="G93" s="447">
        <f t="shared" si="49"/>
        <v>0</v>
      </c>
      <c r="H93" s="447">
        <f t="shared" si="49"/>
        <v>0</v>
      </c>
      <c r="I93" s="447">
        <f t="shared" si="49"/>
        <v>0</v>
      </c>
      <c r="J93" s="447">
        <f t="shared" si="49"/>
        <v>0</v>
      </c>
      <c r="K93" s="447">
        <f t="shared" si="49"/>
        <v>0</v>
      </c>
      <c r="L93" s="447">
        <f t="shared" si="49"/>
        <v>0</v>
      </c>
      <c r="M93" s="447">
        <f t="shared" si="49"/>
        <v>0</v>
      </c>
      <c r="N93" s="447">
        <f t="shared" si="49"/>
        <v>0</v>
      </c>
      <c r="O93" s="447">
        <f t="shared" si="49"/>
        <v>0</v>
      </c>
      <c r="P93" s="447">
        <f t="shared" si="49"/>
        <v>0</v>
      </c>
      <c r="Q93" s="447" t="str">
        <f t="shared" si="49"/>
        <v/>
      </c>
      <c r="R93" s="447" t="str">
        <f t="shared" si="49"/>
        <v/>
      </c>
      <c r="S93" s="447" t="str">
        <f t="shared" si="49"/>
        <v/>
      </c>
      <c r="T93" s="447" t="str">
        <f t="shared" si="49"/>
        <v/>
      </c>
      <c r="U93" s="447" t="str">
        <f t="shared" si="49"/>
        <v/>
      </c>
    </row>
    <row r="94" spans="2:21" ht="15" x14ac:dyDescent="0.2">
      <c r="B94" s="368" t="s">
        <v>716</v>
      </c>
      <c r="C94" s="368"/>
      <c r="D94" s="368"/>
      <c r="E94" s="368"/>
      <c r="F94" s="447">
        <f>F89+F91-F93</f>
        <v>4052699.6010000007</v>
      </c>
      <c r="G94" s="447">
        <f t="shared" ref="G94:U94" si="50">IF(G89="","",G89+G90+G91-G92-G93)</f>
        <v>7877125.7681863355</v>
      </c>
      <c r="H94" s="447">
        <f t="shared" si="50"/>
        <v>15403840.470627142</v>
      </c>
      <c r="I94" s="447">
        <f t="shared" si="50"/>
        <v>30295771.105919145</v>
      </c>
      <c r="J94" s="447">
        <f t="shared" si="50"/>
        <v>59921486.840646341</v>
      </c>
      <c r="K94" s="447">
        <f t="shared" si="50"/>
        <v>115700138.84920152</v>
      </c>
      <c r="L94" s="447">
        <f t="shared" si="50"/>
        <v>230050809.81935367</v>
      </c>
      <c r="M94" s="447">
        <f t="shared" si="50"/>
        <v>457579245.31018877</v>
      </c>
      <c r="N94" s="447">
        <f t="shared" si="50"/>
        <v>910330197.76107371</v>
      </c>
      <c r="O94" s="447">
        <f t="shared" si="50"/>
        <v>1811292413.5197272</v>
      </c>
      <c r="P94" s="447">
        <f t="shared" si="50"/>
        <v>3604581600.9439664</v>
      </c>
      <c r="Q94" s="447" t="str">
        <f t="shared" si="50"/>
        <v/>
      </c>
      <c r="R94" s="447" t="str">
        <f t="shared" si="50"/>
        <v/>
      </c>
      <c r="S94" s="447" t="str">
        <f t="shared" si="50"/>
        <v/>
      </c>
      <c r="T94" s="447" t="str">
        <f t="shared" si="50"/>
        <v/>
      </c>
      <c r="U94" s="447" t="str">
        <f t="shared" si="50"/>
        <v/>
      </c>
    </row>
    <row r="95" spans="2:21" ht="15" x14ac:dyDescent="0.2">
      <c r="B95" s="451">
        <f>C88</f>
        <v>0.99</v>
      </c>
      <c r="C95" s="368"/>
      <c r="D95" s="368"/>
      <c r="E95" s="450">
        <f>IF($D$4="IRR",IRR(F95:U95),SUMIF(F95:U95,"&gt;0")/-SUMIF(F95:U95,"&lt;0"))</f>
        <v>6.777268817178328E-2</v>
      </c>
      <c r="F95" s="447">
        <f>IF(F89="","",-F91+F93)</f>
        <v>-4052699.6010000007</v>
      </c>
      <c r="G95" s="447">
        <f t="shared" ref="G95:U95" si="51">IF(G89="","",-G91+G92+G93)</f>
        <v>187746.43780366585</v>
      </c>
      <c r="H95" s="447">
        <f t="shared" si="51"/>
        <v>271639.80806366575</v>
      </c>
      <c r="I95" s="447">
        <f t="shared" si="51"/>
        <v>357871.43062886584</v>
      </c>
      <c r="J95" s="447">
        <f t="shared" si="51"/>
        <v>367097.66013275849</v>
      </c>
      <c r="K95" s="447">
        <f t="shared" si="51"/>
        <v>3543619.963684699</v>
      </c>
      <c r="L95" s="447">
        <f t="shared" si="51"/>
        <v>192466.49055733415</v>
      </c>
      <c r="M95" s="447">
        <f t="shared" si="51"/>
        <v>221866.23032506433</v>
      </c>
      <c r="N95" s="447">
        <f t="shared" si="51"/>
        <v>252500.40620190967</v>
      </c>
      <c r="O95" s="447">
        <f t="shared" si="51"/>
        <v>264680.02480933891</v>
      </c>
      <c r="P95" s="447">
        <f t="shared" si="51"/>
        <v>-109698.03970971523</v>
      </c>
      <c r="Q95" s="447" t="str">
        <f t="shared" si="51"/>
        <v/>
      </c>
      <c r="R95" s="447" t="str">
        <f t="shared" si="51"/>
        <v/>
      </c>
      <c r="S95" s="447" t="str">
        <f t="shared" si="51"/>
        <v/>
      </c>
      <c r="T95" s="447" t="str">
        <f t="shared" si="51"/>
        <v/>
      </c>
      <c r="U95" s="447" t="str">
        <f t="shared" si="51"/>
        <v/>
      </c>
    </row>
    <row r="96" spans="2:21" ht="5" customHeight="1" x14ac:dyDescent="0.2">
      <c r="B96" s="356" t="s">
        <v>726</v>
      </c>
      <c r="C96" s="356" t="s">
        <v>726</v>
      </c>
      <c r="D96" s="356" t="s">
        <v>726</v>
      </c>
      <c r="E96" s="356" t="s">
        <v>726</v>
      </c>
      <c r="F96" s="452" t="str">
        <f t="shared" ref="F96:U96" si="52">IF(F89="","",".")</f>
        <v>.</v>
      </c>
      <c r="G96" s="452" t="str">
        <f t="shared" si="52"/>
        <v>.</v>
      </c>
      <c r="H96" s="452" t="str">
        <f t="shared" si="52"/>
        <v>.</v>
      </c>
      <c r="I96" s="452" t="str">
        <f t="shared" si="52"/>
        <v>.</v>
      </c>
      <c r="J96" s="452" t="str">
        <f t="shared" si="52"/>
        <v>.</v>
      </c>
      <c r="K96" s="452" t="str">
        <f t="shared" si="52"/>
        <v>.</v>
      </c>
      <c r="L96" s="452" t="str">
        <f t="shared" si="52"/>
        <v>.</v>
      </c>
      <c r="M96" s="452" t="str">
        <f t="shared" si="52"/>
        <v>.</v>
      </c>
      <c r="N96" s="452" t="str">
        <f t="shared" si="52"/>
        <v>.</v>
      </c>
      <c r="O96" s="452" t="str">
        <f t="shared" si="52"/>
        <v>.</v>
      </c>
      <c r="P96" s="452" t="str">
        <f t="shared" si="52"/>
        <v>.</v>
      </c>
      <c r="Q96" s="452" t="str">
        <f t="shared" si="52"/>
        <v/>
      </c>
      <c r="R96" s="452" t="str">
        <f t="shared" si="52"/>
        <v/>
      </c>
      <c r="S96" s="452" t="str">
        <f t="shared" si="52"/>
        <v/>
      </c>
      <c r="T96" s="452" t="str">
        <f t="shared" si="52"/>
        <v/>
      </c>
      <c r="U96" s="452" t="str">
        <f t="shared" si="52"/>
        <v/>
      </c>
    </row>
    <row r="97" spans="2:21" ht="15" x14ac:dyDescent="0.2">
      <c r="B97" s="368" t="s">
        <v>717</v>
      </c>
      <c r="C97" s="368"/>
      <c r="D97" s="368"/>
      <c r="E97" s="368"/>
      <c r="F97" s="447">
        <f t="shared" ref="F97:U97" si="53">IF(F89="","",F93)</f>
        <v>0</v>
      </c>
      <c r="G97" s="447">
        <f t="shared" si="53"/>
        <v>0</v>
      </c>
      <c r="H97" s="447">
        <f t="shared" si="53"/>
        <v>0</v>
      </c>
      <c r="I97" s="447">
        <f t="shared" si="53"/>
        <v>0</v>
      </c>
      <c r="J97" s="447">
        <f t="shared" si="53"/>
        <v>0</v>
      </c>
      <c r="K97" s="447">
        <f t="shared" si="53"/>
        <v>0</v>
      </c>
      <c r="L97" s="447">
        <f t="shared" si="53"/>
        <v>0</v>
      </c>
      <c r="M97" s="447">
        <f t="shared" si="53"/>
        <v>0</v>
      </c>
      <c r="N97" s="447">
        <f t="shared" si="53"/>
        <v>0</v>
      </c>
      <c r="O97" s="447">
        <f t="shared" si="53"/>
        <v>0</v>
      </c>
      <c r="P97" s="447">
        <f t="shared" si="53"/>
        <v>0</v>
      </c>
      <c r="Q97" s="447" t="str">
        <f t="shared" si="53"/>
        <v/>
      </c>
      <c r="R97" s="447" t="str">
        <f t="shared" si="53"/>
        <v/>
      </c>
      <c r="S97" s="447" t="str">
        <f t="shared" si="53"/>
        <v/>
      </c>
      <c r="T97" s="447" t="str">
        <f t="shared" si="53"/>
        <v/>
      </c>
      <c r="U97" s="447" t="str">
        <f t="shared" si="53"/>
        <v/>
      </c>
    </row>
    <row r="98" spans="2:21" ht="15" x14ac:dyDescent="0.2">
      <c r="B98" s="368" t="s">
        <v>721</v>
      </c>
      <c r="C98" s="368"/>
      <c r="D98" s="368"/>
      <c r="E98" s="368"/>
      <c r="F98" s="447">
        <f>IF(F89="","",F97/$I$16*$H$16)</f>
        <v>0</v>
      </c>
      <c r="G98" s="447">
        <f t="shared" ref="G98:U98" si="54">IF(G89="","",G97/$I$16*$H$16)</f>
        <v>0</v>
      </c>
      <c r="H98" s="447">
        <f t="shared" si="54"/>
        <v>0</v>
      </c>
      <c r="I98" s="447">
        <f t="shared" si="54"/>
        <v>0</v>
      </c>
      <c r="J98" s="447">
        <f t="shared" si="54"/>
        <v>0</v>
      </c>
      <c r="K98" s="447">
        <f t="shared" si="54"/>
        <v>0</v>
      </c>
      <c r="L98" s="447">
        <f t="shared" si="54"/>
        <v>0</v>
      </c>
      <c r="M98" s="447">
        <f t="shared" si="54"/>
        <v>0</v>
      </c>
      <c r="N98" s="447">
        <f t="shared" si="54"/>
        <v>0</v>
      </c>
      <c r="O98" s="447">
        <f t="shared" si="54"/>
        <v>0</v>
      </c>
      <c r="P98" s="447">
        <f t="shared" si="54"/>
        <v>0</v>
      </c>
      <c r="Q98" s="447" t="str">
        <f t="shared" si="54"/>
        <v/>
      </c>
      <c r="R98" s="447" t="str">
        <f t="shared" si="54"/>
        <v/>
      </c>
      <c r="S98" s="447" t="str">
        <f t="shared" si="54"/>
        <v/>
      </c>
      <c r="T98" s="447" t="str">
        <f t="shared" si="54"/>
        <v/>
      </c>
      <c r="U98" s="447" t="str">
        <f t="shared" si="54"/>
        <v/>
      </c>
    </row>
    <row r="99" spans="2:21" ht="15" x14ac:dyDescent="0.2">
      <c r="B99" s="368" t="str">
        <f>"Total Distributions ("&amp;B87&amp;")"</f>
        <v>Total Distributions (Hurdle 3)</v>
      </c>
      <c r="C99" s="368"/>
      <c r="D99" s="368"/>
      <c r="E99" s="368"/>
      <c r="F99" s="447">
        <f t="shared" ref="F99:U99" si="55">IF(F89="","",F97+F98)</f>
        <v>0</v>
      </c>
      <c r="G99" s="447">
        <f t="shared" si="55"/>
        <v>0</v>
      </c>
      <c r="H99" s="447">
        <f t="shared" si="55"/>
        <v>0</v>
      </c>
      <c r="I99" s="447">
        <f t="shared" si="55"/>
        <v>0</v>
      </c>
      <c r="J99" s="447">
        <f t="shared" si="55"/>
        <v>0</v>
      </c>
      <c r="K99" s="447">
        <f t="shared" si="55"/>
        <v>0</v>
      </c>
      <c r="L99" s="447">
        <f t="shared" si="55"/>
        <v>0</v>
      </c>
      <c r="M99" s="447">
        <f t="shared" si="55"/>
        <v>0</v>
      </c>
      <c r="N99" s="447">
        <f t="shared" si="55"/>
        <v>0</v>
      </c>
      <c r="O99" s="447">
        <f t="shared" si="55"/>
        <v>0</v>
      </c>
      <c r="P99" s="447">
        <f t="shared" si="55"/>
        <v>0</v>
      </c>
      <c r="Q99" s="447" t="str">
        <f t="shared" si="55"/>
        <v/>
      </c>
      <c r="R99" s="447" t="str">
        <f t="shared" si="55"/>
        <v/>
      </c>
      <c r="S99" s="447" t="str">
        <f t="shared" si="55"/>
        <v/>
      </c>
      <c r="T99" s="447" t="str">
        <f t="shared" si="55"/>
        <v/>
      </c>
      <c r="U99" s="447" t="str">
        <f t="shared" si="55"/>
        <v/>
      </c>
    </row>
    <row r="100" spans="2:21" ht="15" x14ac:dyDescent="0.2">
      <c r="B100" s="368" t="s">
        <v>723</v>
      </c>
      <c r="C100" s="368"/>
      <c r="D100" s="368"/>
      <c r="E100" s="368"/>
      <c r="F100" s="447">
        <f t="shared" ref="F100:U100" si="56">IF(F89="","",MAX(F$47-F69-F84-F99,0))</f>
        <v>0</v>
      </c>
      <c r="G100" s="447">
        <f t="shared" si="56"/>
        <v>0</v>
      </c>
      <c r="H100" s="447">
        <f t="shared" si="56"/>
        <v>0</v>
      </c>
      <c r="I100" s="447">
        <f t="shared" si="56"/>
        <v>0</v>
      </c>
      <c r="J100" s="447">
        <f t="shared" si="56"/>
        <v>0</v>
      </c>
      <c r="K100" s="447">
        <f t="shared" si="56"/>
        <v>0</v>
      </c>
      <c r="L100" s="447">
        <f t="shared" si="56"/>
        <v>0</v>
      </c>
      <c r="M100" s="447">
        <f t="shared" si="56"/>
        <v>0</v>
      </c>
      <c r="N100" s="447">
        <f t="shared" si="56"/>
        <v>0</v>
      </c>
      <c r="O100" s="447">
        <f t="shared" si="56"/>
        <v>0</v>
      </c>
      <c r="P100" s="447">
        <f t="shared" si="56"/>
        <v>0</v>
      </c>
      <c r="Q100" s="447" t="str">
        <f t="shared" si="56"/>
        <v/>
      </c>
      <c r="R100" s="447" t="str">
        <f t="shared" si="56"/>
        <v/>
      </c>
      <c r="S100" s="447" t="str">
        <f t="shared" si="56"/>
        <v/>
      </c>
      <c r="T100" s="447" t="str">
        <f t="shared" si="56"/>
        <v/>
      </c>
      <c r="U100" s="447" t="str">
        <f t="shared" si="56"/>
        <v/>
      </c>
    </row>
    <row r="101" spans="2:21" ht="5" customHeight="1" x14ac:dyDescent="0.2">
      <c r="B101" s="368"/>
      <c r="C101" s="368"/>
      <c r="D101" s="368"/>
      <c r="E101" s="368"/>
      <c r="F101" s="369"/>
      <c r="G101" s="369"/>
      <c r="H101" s="369"/>
      <c r="I101" s="369"/>
      <c r="J101" s="369"/>
      <c r="K101" s="369"/>
      <c r="L101" s="369"/>
      <c r="M101" s="369"/>
      <c r="N101" s="369"/>
      <c r="O101" s="369"/>
      <c r="P101" s="369"/>
      <c r="Q101" s="369"/>
      <c r="R101" s="369"/>
      <c r="S101" s="369"/>
      <c r="T101" s="369"/>
      <c r="U101" s="369"/>
    </row>
    <row r="102" spans="2:21" ht="16" x14ac:dyDescent="0.2">
      <c r="B102" s="371" t="s">
        <v>679</v>
      </c>
      <c r="C102" s="368"/>
      <c r="D102" s="368"/>
      <c r="E102" s="368"/>
      <c r="F102" s="369"/>
      <c r="G102" s="369"/>
      <c r="H102" s="369"/>
      <c r="I102" s="369"/>
      <c r="J102" s="369"/>
      <c r="K102" s="369"/>
      <c r="L102" s="369"/>
      <c r="M102" s="369"/>
      <c r="N102" s="369"/>
      <c r="O102" s="369"/>
      <c r="P102" s="369"/>
      <c r="Q102" s="369"/>
      <c r="R102" s="369"/>
      <c r="S102" s="369"/>
      <c r="T102" s="369"/>
      <c r="U102" s="369"/>
    </row>
    <row r="103" spans="2:21" ht="15" x14ac:dyDescent="0.2">
      <c r="B103" s="445" t="s">
        <v>728</v>
      </c>
      <c r="C103" s="446">
        <f>C88</f>
        <v>0.99</v>
      </c>
      <c r="D103" s="392"/>
      <c r="E103" s="392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</row>
    <row r="104" spans="2:21" ht="15" x14ac:dyDescent="0.2">
      <c r="B104" s="368" t="s">
        <v>717</v>
      </c>
      <c r="C104" s="368"/>
      <c r="D104" s="368"/>
      <c r="E104" s="368"/>
      <c r="F104" s="447">
        <f t="shared" ref="F104:U104" si="57">IF(F89="","",F100*$I$17)</f>
        <v>0</v>
      </c>
      <c r="G104" s="447">
        <f t="shared" si="57"/>
        <v>0</v>
      </c>
      <c r="H104" s="447">
        <f t="shared" si="57"/>
        <v>0</v>
      </c>
      <c r="I104" s="447">
        <f t="shared" si="57"/>
        <v>0</v>
      </c>
      <c r="J104" s="447">
        <f t="shared" si="57"/>
        <v>0</v>
      </c>
      <c r="K104" s="447">
        <f t="shared" si="57"/>
        <v>0</v>
      </c>
      <c r="L104" s="447">
        <f t="shared" si="57"/>
        <v>0</v>
      </c>
      <c r="M104" s="447">
        <f t="shared" si="57"/>
        <v>0</v>
      </c>
      <c r="N104" s="447">
        <f t="shared" si="57"/>
        <v>0</v>
      </c>
      <c r="O104" s="447">
        <f t="shared" si="57"/>
        <v>0</v>
      </c>
      <c r="P104" s="447">
        <f t="shared" si="57"/>
        <v>0</v>
      </c>
      <c r="Q104" s="447" t="str">
        <f t="shared" si="57"/>
        <v/>
      </c>
      <c r="R104" s="447" t="str">
        <f t="shared" si="57"/>
        <v/>
      </c>
      <c r="S104" s="447" t="str">
        <f t="shared" si="57"/>
        <v/>
      </c>
      <c r="T104" s="447" t="str">
        <f t="shared" si="57"/>
        <v/>
      </c>
      <c r="U104" s="447" t="str">
        <f t="shared" si="57"/>
        <v/>
      </c>
    </row>
    <row r="105" spans="2:21" ht="15" x14ac:dyDescent="0.2">
      <c r="B105" s="368" t="s">
        <v>721</v>
      </c>
      <c r="C105" s="368"/>
      <c r="D105" s="368"/>
      <c r="E105" s="368"/>
      <c r="F105" s="447">
        <f t="shared" ref="F105:U105" si="58">IF(F104="","",F100-F104)</f>
        <v>0</v>
      </c>
      <c r="G105" s="447">
        <f t="shared" si="58"/>
        <v>0</v>
      </c>
      <c r="H105" s="447">
        <f t="shared" si="58"/>
        <v>0</v>
      </c>
      <c r="I105" s="447">
        <f t="shared" si="58"/>
        <v>0</v>
      </c>
      <c r="J105" s="447">
        <f t="shared" si="58"/>
        <v>0</v>
      </c>
      <c r="K105" s="447">
        <f t="shared" si="58"/>
        <v>0</v>
      </c>
      <c r="L105" s="447">
        <f t="shared" si="58"/>
        <v>0</v>
      </c>
      <c r="M105" s="447">
        <f t="shared" si="58"/>
        <v>0</v>
      </c>
      <c r="N105" s="447">
        <f t="shared" si="58"/>
        <v>0</v>
      </c>
      <c r="O105" s="447">
        <f t="shared" si="58"/>
        <v>0</v>
      </c>
      <c r="P105" s="447">
        <f t="shared" si="58"/>
        <v>0</v>
      </c>
      <c r="Q105" s="447" t="str">
        <f t="shared" si="58"/>
        <v/>
      </c>
      <c r="R105" s="447" t="str">
        <f t="shared" si="58"/>
        <v/>
      </c>
      <c r="S105" s="447" t="str">
        <f t="shared" si="58"/>
        <v/>
      </c>
      <c r="T105" s="447" t="str">
        <f t="shared" si="58"/>
        <v/>
      </c>
      <c r="U105" s="447" t="str">
        <f t="shared" si="58"/>
        <v/>
      </c>
    </row>
    <row r="106" spans="2:21" ht="15" x14ac:dyDescent="0.2">
      <c r="B106" s="368" t="str">
        <f>"Total Distributions ("&amp;B102&amp;")"</f>
        <v>Total Distributions (Hurdle 4)</v>
      </c>
      <c r="C106" s="368"/>
      <c r="D106" s="368"/>
      <c r="E106" s="368"/>
      <c r="F106" s="447">
        <f t="shared" ref="F106:U106" si="59">IF(F104="","",F104+F105)</f>
        <v>0</v>
      </c>
      <c r="G106" s="447">
        <f t="shared" si="59"/>
        <v>0</v>
      </c>
      <c r="H106" s="447">
        <f t="shared" si="59"/>
        <v>0</v>
      </c>
      <c r="I106" s="447">
        <f t="shared" si="59"/>
        <v>0</v>
      </c>
      <c r="J106" s="447">
        <f t="shared" si="59"/>
        <v>0</v>
      </c>
      <c r="K106" s="447">
        <f t="shared" si="59"/>
        <v>0</v>
      </c>
      <c r="L106" s="447">
        <f t="shared" si="59"/>
        <v>0</v>
      </c>
      <c r="M106" s="447">
        <f t="shared" si="59"/>
        <v>0</v>
      </c>
      <c r="N106" s="447">
        <f t="shared" si="59"/>
        <v>0</v>
      </c>
      <c r="O106" s="447">
        <f t="shared" si="59"/>
        <v>0</v>
      </c>
      <c r="P106" s="447">
        <f t="shared" si="59"/>
        <v>0</v>
      </c>
      <c r="Q106" s="447" t="str">
        <f t="shared" si="59"/>
        <v/>
      </c>
      <c r="R106" s="447" t="str">
        <f t="shared" si="59"/>
        <v/>
      </c>
      <c r="S106" s="447" t="str">
        <f t="shared" si="59"/>
        <v/>
      </c>
      <c r="T106" s="447" t="str">
        <f t="shared" si="59"/>
        <v/>
      </c>
      <c r="U106" s="447" t="str">
        <f t="shared" si="59"/>
        <v/>
      </c>
    </row>
    <row r="107" spans="2:21" ht="15" x14ac:dyDescent="0.2">
      <c r="B107" s="368" t="s">
        <v>723</v>
      </c>
      <c r="C107" s="368"/>
      <c r="D107" s="368"/>
      <c r="E107" s="368"/>
      <c r="F107" s="447">
        <f t="shared" ref="F107:U107" si="60">IF(F104="","",F100-F106)</f>
        <v>0</v>
      </c>
      <c r="G107" s="447">
        <f t="shared" si="60"/>
        <v>0</v>
      </c>
      <c r="H107" s="447">
        <f t="shared" si="60"/>
        <v>0</v>
      </c>
      <c r="I107" s="447">
        <f t="shared" si="60"/>
        <v>0</v>
      </c>
      <c r="J107" s="447">
        <f t="shared" si="60"/>
        <v>0</v>
      </c>
      <c r="K107" s="447">
        <f t="shared" si="60"/>
        <v>0</v>
      </c>
      <c r="L107" s="447">
        <f t="shared" si="60"/>
        <v>0</v>
      </c>
      <c r="M107" s="447">
        <f t="shared" si="60"/>
        <v>0</v>
      </c>
      <c r="N107" s="447">
        <f t="shared" si="60"/>
        <v>0</v>
      </c>
      <c r="O107" s="447">
        <f t="shared" si="60"/>
        <v>0</v>
      </c>
      <c r="P107" s="447">
        <f t="shared" si="60"/>
        <v>0</v>
      </c>
      <c r="Q107" s="447" t="str">
        <f t="shared" si="60"/>
        <v/>
      </c>
      <c r="R107" s="447" t="str">
        <f t="shared" si="60"/>
        <v/>
      </c>
      <c r="S107" s="447" t="str">
        <f t="shared" si="60"/>
        <v/>
      </c>
      <c r="T107" s="447" t="str">
        <f t="shared" si="60"/>
        <v/>
      </c>
      <c r="U107" s="447" t="str">
        <f t="shared" si="60"/>
        <v/>
      </c>
    </row>
    <row r="108" spans="2:21" ht="10" customHeight="1" x14ac:dyDescent="0.2"/>
    <row r="109" spans="2:21" ht="15" hidden="1" x14ac:dyDescent="0.2"/>
    <row r="110" spans="2:21" ht="15" hidden="1" x14ac:dyDescent="0.2"/>
    <row r="111" spans="2:21" ht="15" hidden="1" x14ac:dyDescent="0.2"/>
    <row r="112" spans="2:21" ht="15" hidden="1" x14ac:dyDescent="0.2"/>
  </sheetData>
  <sheetProtection selectLockedCells="1"/>
  <mergeCells count="8">
    <mergeCell ref="J16:N16"/>
    <mergeCell ref="J17:N17"/>
    <mergeCell ref="O4:S4"/>
    <mergeCell ref="O5:S5"/>
    <mergeCell ref="F12:G13"/>
    <mergeCell ref="H12:I12"/>
    <mergeCell ref="J14:N14"/>
    <mergeCell ref="J15:N15"/>
  </mergeCells>
  <conditionalFormatting sqref="B59">
    <cfRule type="expression" dxfId="19" priority="15">
      <formula>$C$4="Equity Multiple"</formula>
    </cfRule>
  </conditionalFormatting>
  <conditionalFormatting sqref="B67">
    <cfRule type="expression" dxfId="18" priority="5">
      <formula>$C$4="Equity Multiple"</formula>
    </cfRule>
  </conditionalFormatting>
  <conditionalFormatting sqref="B80">
    <cfRule type="expression" dxfId="17" priority="13">
      <formula>$C$4="Equity Multiple"</formula>
    </cfRule>
  </conditionalFormatting>
  <conditionalFormatting sqref="B95">
    <cfRule type="expression" dxfId="16" priority="12">
      <formula>$C$4="Equity Multiple"</formula>
    </cfRule>
  </conditionalFormatting>
  <conditionalFormatting sqref="C14:C17">
    <cfRule type="expression" dxfId="15" priority="16">
      <formula>$D$4&lt;&gt;"Equity Multiple"</formula>
    </cfRule>
  </conditionalFormatting>
  <conditionalFormatting sqref="C52">
    <cfRule type="expression" dxfId="14" priority="11">
      <formula>$C$4="Equity Multiple"</formula>
    </cfRule>
  </conditionalFormatting>
  <conditionalFormatting sqref="C73">
    <cfRule type="expression" dxfId="13" priority="10">
      <formula>$C$4="Equity Multiple"</formula>
    </cfRule>
  </conditionalFormatting>
  <conditionalFormatting sqref="C88">
    <cfRule type="expression" dxfId="12" priority="9">
      <formula>$C$4="Equity Multiple"</formula>
    </cfRule>
  </conditionalFormatting>
  <conditionalFormatting sqref="C103">
    <cfRule type="expression" dxfId="11" priority="8">
      <formula>$C$4="Equity Multiple"</formula>
    </cfRule>
  </conditionalFormatting>
  <conditionalFormatting sqref="D14:D17">
    <cfRule type="expression" dxfId="10" priority="18">
      <formula>$D$4="Equity Multiple"</formula>
    </cfRule>
  </conditionalFormatting>
  <conditionalFormatting sqref="E5">
    <cfRule type="expression" dxfId="9" priority="2">
      <formula>$H$14&gt;=$C$8</formula>
    </cfRule>
  </conditionalFormatting>
  <conditionalFormatting sqref="E14:E16">
    <cfRule type="expression" dxfId="8" priority="17">
      <formula>$D$4="Equity Multiple"</formula>
    </cfRule>
  </conditionalFormatting>
  <conditionalFormatting sqref="E59 E67 E80 E95">
    <cfRule type="expression" dxfId="7" priority="3">
      <formula>$D$4="Equity Multiple"</formula>
    </cfRule>
  </conditionalFormatting>
  <conditionalFormatting sqref="E59">
    <cfRule type="expression" dxfId="6" priority="14">
      <formula>$C$4="Equity Multiple"</formula>
    </cfRule>
  </conditionalFormatting>
  <conditionalFormatting sqref="E67">
    <cfRule type="expression" dxfId="5" priority="4">
      <formula>$C$4="Equity Multiple"</formula>
    </cfRule>
  </conditionalFormatting>
  <conditionalFormatting sqref="E80">
    <cfRule type="expression" dxfId="4" priority="7">
      <formula>$C$4="Equity Multiple"</formula>
    </cfRule>
  </conditionalFormatting>
  <conditionalFormatting sqref="E95">
    <cfRule type="expression" dxfId="3" priority="6">
      <formula>$C$4="Equity Multiple"</formula>
    </cfRule>
  </conditionalFormatting>
  <conditionalFormatting sqref="F5">
    <cfRule type="cellIs" dxfId="2" priority="1" operator="lessThanOrEqual">
      <formula>$G$4</formula>
    </cfRule>
  </conditionalFormatting>
  <conditionalFormatting sqref="G5 F7">
    <cfRule type="cellIs" dxfId="1" priority="20" operator="equal">
      <formula>$G$4</formula>
    </cfRule>
  </conditionalFormatting>
  <conditionalFormatting sqref="L8">
    <cfRule type="expression" dxfId="0" priority="19">
      <formula>$L$8="OK"</formula>
    </cfRule>
  </conditionalFormatting>
  <dataValidations count="3">
    <dataValidation type="list" allowBlank="1" showInputMessage="1" showErrorMessage="1" sqref="D4" xr:uid="{97B2987B-36D6-45DF-8008-DBCEEF3CD357}">
      <formula1>"IRR, Equity Multiple"</formula1>
    </dataValidation>
    <dataValidation type="list" allowBlank="1" showInputMessage="1" showErrorMessage="1" sqref="D5" xr:uid="{4B74B5B6-CD7F-453F-A982-93E01FCA88D1}">
      <formula1>"Pari Passu"</formula1>
    </dataValidation>
    <dataValidation type="list" allowBlank="1" showInputMessage="1" showErrorMessage="1" sqref="E5" xr:uid="{00927A2A-E9D2-4ABA-876A-9FB9D3E88A1B}">
      <formula1>"Yes, No"</formula1>
    </dataValidation>
  </dataValidations>
  <pageMargins left="0.7" right="0.7" top="0.75" bottom="0.75" header="0.3" footer="0.3"/>
  <pageSetup scale="35" orientation="portrait" horizontalDpi="4294967294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2060"/>
  </sheetPr>
  <dimension ref="A1:J27"/>
  <sheetViews>
    <sheetView workbookViewId="0"/>
  </sheetViews>
  <sheetFormatPr baseColWidth="10" defaultColWidth="9.1640625" defaultRowHeight="13" x14ac:dyDescent="0.15"/>
  <cols>
    <col min="1" max="1" width="25" style="3" customWidth="1"/>
    <col min="2" max="2" width="18.5" style="3" customWidth="1"/>
    <col min="3" max="3" width="10.1640625" style="3" customWidth="1"/>
    <col min="4" max="4" width="35.5" style="3" bestFit="1" customWidth="1"/>
    <col min="5" max="10" width="12.33203125" style="3" bestFit="1" customWidth="1"/>
    <col min="11" max="16384" width="9.1640625" style="3"/>
  </cols>
  <sheetData>
    <row r="1" spans="1:10" ht="8.5" customHeight="1" x14ac:dyDescent="0.15">
      <c r="A1" s="602"/>
      <c r="B1" s="602"/>
      <c r="C1" s="602"/>
      <c r="D1" s="602"/>
      <c r="E1" s="602"/>
      <c r="F1" s="602"/>
      <c r="G1" s="602"/>
      <c r="H1" s="602"/>
      <c r="I1" s="602"/>
      <c r="J1" s="602"/>
    </row>
    <row r="2" spans="1:10" x14ac:dyDescent="0.15">
      <c r="A2" s="4" t="str">
        <f>Proforma!C1</f>
        <v>Firelands Manor - 5810 US Hwy 20 East, Wakeman, OH 44889</v>
      </c>
      <c r="B2" s="602"/>
      <c r="C2" s="602"/>
      <c r="D2" s="602"/>
      <c r="E2" s="602"/>
      <c r="F2" s="602"/>
      <c r="G2" s="602"/>
      <c r="H2" s="602"/>
      <c r="I2" s="602"/>
      <c r="J2" s="602"/>
    </row>
    <row r="3" spans="1:10" x14ac:dyDescent="0.15">
      <c r="A3" s="38" t="s">
        <v>43</v>
      </c>
      <c r="B3" s="38"/>
      <c r="C3" s="603"/>
      <c r="D3" s="38" t="s">
        <v>44</v>
      </c>
      <c r="E3" s="39" t="s">
        <v>28</v>
      </c>
      <c r="F3" s="39" t="s">
        <v>29</v>
      </c>
      <c r="G3" s="39" t="s">
        <v>30</v>
      </c>
      <c r="H3" s="39" t="s">
        <v>31</v>
      </c>
      <c r="I3" s="39" t="s">
        <v>45</v>
      </c>
      <c r="J3" s="39" t="s">
        <v>46</v>
      </c>
    </row>
    <row r="4" spans="1:10" x14ac:dyDescent="0.15">
      <c r="A4" s="41" t="s">
        <v>47</v>
      </c>
      <c r="B4" s="42" t="s">
        <v>48</v>
      </c>
      <c r="C4" s="603"/>
      <c r="D4" s="25" t="s">
        <v>49</v>
      </c>
      <c r="E4" s="604">
        <f>Proforma!F53*12</f>
        <v>667626</v>
      </c>
      <c r="F4" s="604">
        <f>Proforma!G53*12</f>
        <v>761339.16</v>
      </c>
      <c r="G4" s="604">
        <f>Proforma!H53*12</f>
        <v>862307.38320000004</v>
      </c>
      <c r="H4" s="604">
        <f>Proforma!I53*12</f>
        <v>960226.17086399999</v>
      </c>
      <c r="I4" s="604">
        <f>Proforma!J53*12</f>
        <v>1008177.8462812799</v>
      </c>
      <c r="J4" s="604">
        <f>Proforma!K53*12</f>
        <v>1045524.8512069054</v>
      </c>
    </row>
    <row r="5" spans="1:10" x14ac:dyDescent="0.15">
      <c r="A5" s="25" t="s">
        <v>43</v>
      </c>
      <c r="B5" s="43">
        <f>Proforma!D4</f>
        <v>8243334</v>
      </c>
      <c r="C5" s="44"/>
      <c r="D5" s="25" t="s">
        <v>50</v>
      </c>
      <c r="E5" s="605">
        <f>Proforma!F80*12</f>
        <v>303598.76</v>
      </c>
      <c r="F5" s="605">
        <f>Proforma!G80*12</f>
        <v>309003.10920000001</v>
      </c>
      <c r="G5" s="605">
        <f>Proforma!H80*12</f>
        <v>319201.20338399999</v>
      </c>
      <c r="H5" s="605">
        <f>Proforma!I80*12</f>
        <v>329872.2994516801</v>
      </c>
      <c r="I5" s="605">
        <f>Proforma!J80*12</f>
        <v>340503.3774407137</v>
      </c>
      <c r="J5" s="605">
        <f>Proforma!K80*12</f>
        <v>348750.80258952791</v>
      </c>
    </row>
    <row r="6" spans="1:10" ht="14" thickBot="1" x14ac:dyDescent="0.2">
      <c r="A6" s="606" t="s">
        <v>51</v>
      </c>
      <c r="B6" s="607">
        <f>Proforma!D5</f>
        <v>895438.3</v>
      </c>
      <c r="C6" s="608"/>
      <c r="D6" s="674" t="s">
        <v>52</v>
      </c>
      <c r="E6" s="675">
        <f t="shared" ref="E6:J6" si="0">E4-E5</f>
        <v>364027.24</v>
      </c>
      <c r="F6" s="675">
        <f t="shared" si="0"/>
        <v>452336.05080000003</v>
      </c>
      <c r="G6" s="675">
        <f t="shared" si="0"/>
        <v>543106.17981600005</v>
      </c>
      <c r="H6" s="675">
        <f t="shared" si="0"/>
        <v>630353.87141231983</v>
      </c>
      <c r="I6" s="675">
        <f t="shared" si="0"/>
        <v>667674.46884056623</v>
      </c>
      <c r="J6" s="675">
        <f t="shared" si="0"/>
        <v>696774.04861737753</v>
      </c>
    </row>
    <row r="7" spans="1:10" ht="14" thickTop="1" x14ac:dyDescent="0.15">
      <c r="A7" s="45" t="s">
        <v>53</v>
      </c>
      <c r="B7" s="717">
        <f>SUM(B5:B6)</f>
        <v>9138772.3000000007</v>
      </c>
      <c r="C7" s="609"/>
      <c r="D7" s="1" t="s">
        <v>54</v>
      </c>
      <c r="E7" s="34">
        <f t="shared" ref="E7:J7" si="1">E6/E4</f>
        <v>0.54525623627599884</v>
      </c>
      <c r="F7" s="34">
        <f t="shared" si="1"/>
        <v>0.59413212214120181</v>
      </c>
      <c r="G7" s="34">
        <f t="shared" si="1"/>
        <v>0.62982898024199596</v>
      </c>
      <c r="H7" s="34">
        <f t="shared" si="1"/>
        <v>0.6564639566583933</v>
      </c>
      <c r="I7" s="34">
        <f t="shared" si="1"/>
        <v>0.66225861965061095</v>
      </c>
      <c r="J7" s="34">
        <f t="shared" si="1"/>
        <v>0.66643470770977264</v>
      </c>
    </row>
    <row r="8" spans="1:10" x14ac:dyDescent="0.15">
      <c r="A8" s="48" t="s">
        <v>55</v>
      </c>
      <c r="B8" s="49">
        <f>Proforma!D8</f>
        <v>3.9833276073636278E-2</v>
      </c>
      <c r="C8" s="602"/>
      <c r="D8" s="602"/>
      <c r="E8" s="602"/>
      <c r="F8" s="602"/>
      <c r="G8" s="602"/>
      <c r="H8" s="602"/>
      <c r="I8" s="602"/>
      <c r="J8" s="602"/>
    </row>
    <row r="9" spans="1:10" x14ac:dyDescent="0.15">
      <c r="A9" s="602"/>
      <c r="B9" s="602"/>
      <c r="C9" s="602"/>
      <c r="D9" s="50" t="s">
        <v>56</v>
      </c>
      <c r="E9" s="15">
        <f>-Proforma!F94</f>
        <v>-240455.41493298332</v>
      </c>
      <c r="F9" s="15">
        <f>-Proforma!G94</f>
        <v>-240455.41493298332</v>
      </c>
      <c r="G9" s="15">
        <f>-Proforma!H94</f>
        <v>-240455.41493298332</v>
      </c>
      <c r="H9" s="15">
        <f>-Proforma!I94</f>
        <v>-317991.28599888994</v>
      </c>
      <c r="I9" s="15">
        <f>-Proforma!J94</f>
        <v>-317991.28599888994</v>
      </c>
      <c r="J9" s="15">
        <f>-Proforma!K94</f>
        <v>-568233.74696755211</v>
      </c>
    </row>
    <row r="10" spans="1:10" x14ac:dyDescent="0.15">
      <c r="A10" s="25" t="s">
        <v>57</v>
      </c>
      <c r="B10" s="604">
        <f>B5-B11</f>
        <v>3124561.2800000003</v>
      </c>
      <c r="C10" s="51">
        <f>B11/B12</f>
        <v>0.62095903429364863</v>
      </c>
      <c r="D10" s="602"/>
      <c r="E10" s="602"/>
      <c r="F10" s="602"/>
      <c r="G10" s="602"/>
      <c r="H10" s="602"/>
      <c r="I10" s="602"/>
      <c r="J10" s="602"/>
    </row>
    <row r="11" spans="1:10" x14ac:dyDescent="0.15">
      <c r="A11" s="25" t="s">
        <v>58</v>
      </c>
      <c r="B11" s="43">
        <f>Proforma!F92</f>
        <v>5118772.72</v>
      </c>
      <c r="C11" s="602"/>
      <c r="D11" s="606" t="s">
        <v>59</v>
      </c>
      <c r="E11" s="604">
        <f t="shared" ref="E11:J11" si="2">E6+E9</f>
        <v>123571.82506701667</v>
      </c>
      <c r="F11" s="604">
        <f t="shared" si="2"/>
        <v>211880.63586701671</v>
      </c>
      <c r="G11" s="604">
        <f t="shared" si="2"/>
        <v>302650.7648830167</v>
      </c>
      <c r="H11" s="604">
        <f t="shared" si="2"/>
        <v>312362.58541342989</v>
      </c>
      <c r="I11" s="604">
        <f t="shared" si="2"/>
        <v>349683.18284167629</v>
      </c>
      <c r="J11" s="604">
        <f t="shared" si="2"/>
        <v>128540.30164982541</v>
      </c>
    </row>
    <row r="12" spans="1:10" ht="14" thickBot="1" x14ac:dyDescent="0.2">
      <c r="A12" s="45" t="s">
        <v>48</v>
      </c>
      <c r="B12" s="676">
        <f>SUM(B10:B11)</f>
        <v>8243334</v>
      </c>
      <c r="C12" s="609"/>
      <c r="D12" s="606" t="s">
        <v>60</v>
      </c>
      <c r="E12" s="8">
        <f>Proforma!F105</f>
        <v>0</v>
      </c>
      <c r="F12" s="8">
        <f>Proforma!G105</f>
        <v>0</v>
      </c>
      <c r="G12" s="8">
        <f>Proforma!H105</f>
        <v>0</v>
      </c>
      <c r="H12" s="8">
        <f>Proforma!I105</f>
        <v>0</v>
      </c>
      <c r="I12" s="8">
        <f>Proforma!J105</f>
        <v>0</v>
      </c>
      <c r="J12" s="8">
        <f>Proforma!K105</f>
        <v>0</v>
      </c>
    </row>
    <row r="13" spans="1:10" ht="14" thickTop="1" x14ac:dyDescent="0.15">
      <c r="A13" s="602"/>
      <c r="B13" s="602"/>
      <c r="C13" s="609"/>
      <c r="D13" s="606" t="s">
        <v>61</v>
      </c>
      <c r="E13" s="8">
        <f>Proforma!F113</f>
        <v>0</v>
      </c>
      <c r="F13" s="8">
        <f>Proforma!G113</f>
        <v>0</v>
      </c>
      <c r="G13" s="8">
        <f>Proforma!H113</f>
        <v>0</v>
      </c>
      <c r="H13" s="8">
        <f>Proforma!I113</f>
        <v>0</v>
      </c>
      <c r="I13" s="8">
        <f>Proforma!J113</f>
        <v>3306387.0905211652</v>
      </c>
      <c r="J13" s="8">
        <f>Proforma!K113</f>
        <v>0</v>
      </c>
    </row>
    <row r="14" spans="1:10" ht="14" thickBot="1" x14ac:dyDescent="0.2">
      <c r="A14" s="606" t="s">
        <v>51</v>
      </c>
      <c r="B14" s="607">
        <f>B6</f>
        <v>895438.3</v>
      </c>
      <c r="C14" s="609"/>
      <c r="D14" s="677" t="s">
        <v>62</v>
      </c>
      <c r="E14" s="678">
        <f>SUM(E11:E13)</f>
        <v>123571.82506701667</v>
      </c>
      <c r="F14" s="678">
        <f t="shared" ref="F14:I14" si="3">SUM(F11:F13)</f>
        <v>211880.63586701671</v>
      </c>
      <c r="G14" s="678">
        <f t="shared" si="3"/>
        <v>302650.7648830167</v>
      </c>
      <c r="H14" s="678">
        <f t="shared" si="3"/>
        <v>312362.58541342989</v>
      </c>
      <c r="I14" s="678">
        <f t="shared" si="3"/>
        <v>3656070.2733628415</v>
      </c>
      <c r="J14" s="678">
        <f t="shared" ref="J14" si="4">SUM(J11:J13)</f>
        <v>128540.30164982541</v>
      </c>
    </row>
    <row r="15" spans="1:10" ht="15" thickTop="1" thickBot="1" x14ac:dyDescent="0.2">
      <c r="A15" s="45" t="s">
        <v>63</v>
      </c>
      <c r="B15" s="676">
        <f>B10+B14</f>
        <v>4019999.58</v>
      </c>
      <c r="C15" s="609"/>
      <c r="D15" s="602"/>
      <c r="E15" s="602"/>
      <c r="F15" s="602"/>
      <c r="G15" s="602"/>
      <c r="H15" s="602"/>
      <c r="I15" s="602"/>
      <c r="J15" s="602"/>
    </row>
    <row r="16" spans="1:10" ht="14" thickTop="1" x14ac:dyDescent="0.15">
      <c r="A16" s="40"/>
      <c r="B16" s="40"/>
      <c r="C16" s="609"/>
      <c r="D16" s="18" t="s">
        <v>64</v>
      </c>
      <c r="E16" s="54">
        <f>Proforma!F130</f>
        <v>242827.82506701667</v>
      </c>
      <c r="F16" s="54">
        <f>Proforma!G130</f>
        <v>331136.63586701662</v>
      </c>
      <c r="G16" s="54">
        <f>Proforma!H130</f>
        <v>421906.7648830167</v>
      </c>
      <c r="H16" s="54">
        <f>Proforma!I130</f>
        <v>431618.58541343</v>
      </c>
      <c r="I16" s="54">
        <f>Proforma!J130</f>
        <v>3659612.46552015</v>
      </c>
      <c r="J16" s="54">
        <f>Proforma!K130</f>
        <v>123898.15082491271</v>
      </c>
    </row>
    <row r="17" spans="1:10" x14ac:dyDescent="0.15">
      <c r="A17" s="602" t="s">
        <v>65</v>
      </c>
      <c r="B17" s="605">
        <f>Proforma!D15</f>
        <v>158</v>
      </c>
      <c r="C17" s="609"/>
      <c r="D17" s="52" t="s">
        <v>66</v>
      </c>
      <c r="E17" s="53">
        <f>E16/$B$15</f>
        <v>6.040493791967428E-2</v>
      </c>
      <c r="F17" s="53">
        <f t="shared" ref="F17:I17" si="5">F16/$B$15</f>
        <v>8.2372306085419192E-2</v>
      </c>
      <c r="G17" s="53">
        <f t="shared" si="5"/>
        <v>0.1049519425280678</v>
      </c>
      <c r="H17" s="53">
        <f t="shared" si="5"/>
        <v>0.10736781853430691</v>
      </c>
      <c r="I17" s="53">
        <f t="shared" si="5"/>
        <v>0.91035145469347289</v>
      </c>
      <c r="J17" s="53">
        <f t="shared" ref="J17" si="6">J16/$B$15</f>
        <v>3.082043874863109E-2</v>
      </c>
    </row>
    <row r="18" spans="1:10" x14ac:dyDescent="0.15">
      <c r="A18" s="602" t="s">
        <v>67</v>
      </c>
      <c r="B18" s="610">
        <f>B5/B17</f>
        <v>52173</v>
      </c>
      <c r="C18" s="609"/>
      <c r="D18" s="602"/>
      <c r="E18" s="602"/>
      <c r="F18" s="602"/>
      <c r="G18" s="602"/>
      <c r="H18" s="602"/>
      <c r="I18" s="602"/>
      <c r="J18" s="602"/>
    </row>
    <row r="19" spans="1:10" x14ac:dyDescent="0.15">
      <c r="A19" s="602"/>
      <c r="B19" s="602"/>
      <c r="C19" s="609"/>
      <c r="D19" s="602"/>
      <c r="E19" s="602"/>
      <c r="F19" s="602"/>
      <c r="G19" s="602"/>
      <c r="H19" s="602"/>
      <c r="I19" s="602"/>
      <c r="J19" s="602"/>
    </row>
    <row r="20" spans="1:10" x14ac:dyDescent="0.15">
      <c r="A20" s="38" t="s">
        <v>68</v>
      </c>
      <c r="B20" s="38"/>
      <c r="C20" s="609"/>
      <c r="D20" s="602"/>
      <c r="E20" s="602"/>
      <c r="F20" s="602"/>
      <c r="G20" s="602"/>
      <c r="H20" s="602"/>
      <c r="I20" s="602"/>
      <c r="J20" s="602"/>
    </row>
    <row r="21" spans="1:10" x14ac:dyDescent="0.15">
      <c r="A21" s="40" t="s">
        <v>69</v>
      </c>
      <c r="B21" s="46">
        <f>Proforma!D134</f>
        <v>0.13925735435712761</v>
      </c>
      <c r="C21" s="609"/>
      <c r="D21" s="602"/>
      <c r="E21" s="602"/>
      <c r="F21" s="602"/>
      <c r="G21" s="602"/>
      <c r="H21" s="602"/>
      <c r="I21" s="602"/>
      <c r="J21" s="602"/>
    </row>
    <row r="22" spans="1:10" x14ac:dyDescent="0.15">
      <c r="A22" s="40" t="s">
        <v>70</v>
      </c>
      <c r="B22" s="47">
        <f>SUM(Proforma!F130:J130)/-Proforma!E130</f>
        <v>1.2654484597609408</v>
      </c>
      <c r="C22" s="609"/>
      <c r="D22" s="602"/>
      <c r="E22" s="602"/>
      <c r="F22" s="602"/>
      <c r="G22" s="602"/>
      <c r="H22" s="602"/>
      <c r="I22" s="602"/>
      <c r="J22" s="602"/>
    </row>
    <row r="23" spans="1:10" x14ac:dyDescent="0.15">
      <c r="A23" s="602" t="s">
        <v>71</v>
      </c>
      <c r="B23" s="604">
        <f>SUM(E16:I16)</f>
        <v>5087102.2767506298</v>
      </c>
      <c r="C23" s="609"/>
      <c r="D23" s="602"/>
      <c r="E23" s="602"/>
      <c r="F23" s="602"/>
      <c r="G23" s="602"/>
      <c r="H23" s="602"/>
      <c r="I23" s="602"/>
      <c r="J23" s="602"/>
    </row>
    <row r="24" spans="1:10" x14ac:dyDescent="0.15">
      <c r="A24" s="602"/>
      <c r="B24" s="602"/>
      <c r="C24" s="603"/>
      <c r="D24" s="602"/>
      <c r="E24" s="602"/>
      <c r="F24" s="602"/>
      <c r="G24" s="602"/>
      <c r="H24" s="602"/>
      <c r="I24" s="602"/>
      <c r="J24" s="602"/>
    </row>
    <row r="25" spans="1:10" x14ac:dyDescent="0.15">
      <c r="A25" s="602"/>
      <c r="B25" s="602"/>
      <c r="C25" s="609"/>
      <c r="D25" s="602"/>
      <c r="E25" s="602"/>
      <c r="F25" s="602"/>
      <c r="G25" s="602"/>
      <c r="H25" s="602"/>
      <c r="I25" s="602"/>
      <c r="J25" s="602"/>
    </row>
    <row r="26" spans="1:10" x14ac:dyDescent="0.15">
      <c r="A26" s="602"/>
      <c r="B26" s="602"/>
      <c r="C26" s="609"/>
      <c r="D26" s="602"/>
      <c r="E26" s="602"/>
      <c r="F26" s="602"/>
      <c r="G26" s="602"/>
      <c r="H26" s="602"/>
      <c r="I26" s="602"/>
      <c r="J26" s="602"/>
    </row>
    <row r="27" spans="1:10" x14ac:dyDescent="0.15">
      <c r="A27" s="602"/>
      <c r="B27" s="602"/>
      <c r="C27" s="609"/>
      <c r="D27" s="602"/>
      <c r="E27" s="602"/>
      <c r="F27" s="602"/>
      <c r="G27" s="602"/>
      <c r="H27" s="602"/>
      <c r="I27" s="602"/>
      <c r="J27" s="602"/>
    </row>
  </sheetData>
  <sheetProtection algorithmName="SHA-512" hashValue="9GVk2GXD3/M6MDOCJ0TL8Q+fsando3z6y+yOGKqSOgbwS+FFCo9Le6c6kMGPCaBW/4Sn0rQbipAIQKXcx+3k1A==" saltValue="Af+28R9r+ad/KoS8DHVLNg==" spinCount="100000" sheet="1" objects="1" scenarios="1"/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2060"/>
  </sheetPr>
  <dimension ref="A1"/>
  <sheetViews>
    <sheetView workbookViewId="0"/>
  </sheetViews>
  <sheetFormatPr baseColWidth="10" defaultColWidth="8.83203125" defaultRowHeight="13" x14ac:dyDescent="0.15"/>
  <cols>
    <col min="1" max="16384" width="8.83203125" style="81"/>
  </cols>
  <sheetData>
    <row r="1" spans="1:1" s="83" customFormat="1" ht="23" customHeight="1" x14ac:dyDescent="0.15">
      <c r="A1" s="82" t="str">
        <f>Proforma!C1</f>
        <v>Firelands Manor - 5810 US Hwy 20 East, Wakeman, OH 44889</v>
      </c>
    </row>
  </sheetData>
  <sheetProtection algorithmName="SHA-512" hashValue="mNFan6jaPMVcF3UAMK7D4spv8IBbDIwYC97VLiAiQ3avE3ZhETogYF5c3I/cy+OE3HeUhtaQh8w/Tyb2ItmyCg==" saltValue="pLunwjCOW+h6+PoUowsLeg==" spinCount="100000" sheet="1" objects="1" scenarios="1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  <pageSetUpPr fitToPage="1"/>
  </sheetPr>
  <dimension ref="A1:BZ384"/>
  <sheetViews>
    <sheetView topLeftCell="C1" zoomScaleNormal="100" workbookViewId="0">
      <selection activeCell="J28" sqref="J28"/>
    </sheetView>
  </sheetViews>
  <sheetFormatPr baseColWidth="10" defaultColWidth="12.33203125" defaultRowHeight="13" x14ac:dyDescent="0.15"/>
  <cols>
    <col min="1" max="1" width="15.83203125" style="6" hidden="1" customWidth="1"/>
    <col min="2" max="2" width="9.33203125" style="454" hidden="1" customWidth="1"/>
    <col min="3" max="3" width="54.33203125" style="6" bestFit="1" customWidth="1"/>
    <col min="4" max="4" width="14.5" style="5" customWidth="1"/>
    <col min="5" max="5" width="16.5" style="6" bestFit="1" customWidth="1"/>
    <col min="6" max="6" width="12.33203125" style="6" customWidth="1"/>
    <col min="7" max="7" width="15.33203125" style="6" customWidth="1"/>
    <col min="8" max="8" width="12.33203125" style="6" customWidth="1"/>
    <col min="9" max="9" width="14" style="6" customWidth="1"/>
    <col min="10" max="10" width="14.83203125" style="6" customWidth="1"/>
    <col min="11" max="12" width="14.5" style="6" customWidth="1"/>
    <col min="13" max="13" width="13.83203125" style="6" customWidth="1"/>
    <col min="14" max="14" width="15.1640625" style="6" customWidth="1"/>
    <col min="15" max="17" width="13.33203125" style="6" customWidth="1"/>
    <col min="18" max="18" width="12.33203125" style="6" customWidth="1"/>
    <col min="19" max="23" width="12.83203125" style="6" customWidth="1"/>
    <col min="24" max="24" width="14" style="6" customWidth="1"/>
    <col min="25" max="35" width="12.83203125" style="6" customWidth="1"/>
    <col min="36" max="36" width="16.1640625" style="6" bestFit="1" customWidth="1"/>
    <col min="37" max="16384" width="12.33203125" style="6"/>
  </cols>
  <sheetData>
    <row r="1" spans="3:25" x14ac:dyDescent="0.15">
      <c r="C1" s="7" t="s">
        <v>72</v>
      </c>
      <c r="D1" s="793" t="str">
        <f>HYPERLINK("http://maps.google.com/maps?q="&amp;T1,"View on Google Map")</f>
        <v>View on Google Map</v>
      </c>
      <c r="E1" s="793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333" t="str">
        <f>RIGHT(C1,LEN(C1)-SEARCH("-",C1))</f>
        <v xml:space="preserve"> 5810 US Hwy 20 East, Wakeman, OH 44889</v>
      </c>
      <c r="U1" s="333" t="str">
        <f>LEFT(C1,FIND("-",C1)-1)</f>
        <v xml:space="preserve">Firelands Manor </v>
      </c>
      <c r="V1" s="334" t="s">
        <v>73</v>
      </c>
      <c r="W1" s="333"/>
      <c r="X1" s="333"/>
      <c r="Y1" s="591"/>
    </row>
    <row r="2" spans="3:25" x14ac:dyDescent="0.15">
      <c r="C2" s="591"/>
      <c r="D2" s="13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333"/>
      <c r="U2" s="333"/>
      <c r="V2" s="333"/>
      <c r="W2" s="333"/>
      <c r="X2" s="333"/>
      <c r="Y2" s="591"/>
    </row>
    <row r="3" spans="3:25" x14ac:dyDescent="0.15">
      <c r="C3" s="2" t="s">
        <v>74</v>
      </c>
      <c r="D3" s="2"/>
      <c r="E3" s="26" t="s">
        <v>75</v>
      </c>
      <c r="F3" s="591"/>
      <c r="G3" s="591"/>
      <c r="H3" s="2" t="s">
        <v>76</v>
      </c>
      <c r="I3" s="2"/>
      <c r="J3" s="2"/>
      <c r="K3" s="2"/>
      <c r="L3" s="2"/>
      <c r="M3" s="2"/>
      <c r="N3" s="2"/>
      <c r="O3" s="216"/>
      <c r="P3" s="7"/>
      <c r="Q3" s="591"/>
      <c r="R3" s="591"/>
      <c r="S3" s="591"/>
      <c r="T3" s="333"/>
      <c r="U3" s="333"/>
      <c r="V3" s="333"/>
      <c r="W3" s="333"/>
      <c r="X3" s="333"/>
      <c r="Y3" s="591"/>
    </row>
    <row r="4" spans="3:25" x14ac:dyDescent="0.15">
      <c r="C4" s="606" t="s">
        <v>43</v>
      </c>
      <c r="D4" s="702">
        <v>8243334</v>
      </c>
      <c r="E4" s="611">
        <f>D4/$D$15</f>
        <v>52173</v>
      </c>
      <c r="F4" s="591"/>
      <c r="G4" s="591"/>
      <c r="H4" s="591" t="s">
        <v>77</v>
      </c>
      <c r="I4" s="612"/>
      <c r="J4" s="146">
        <v>0.02</v>
      </c>
      <c r="K4" s="591"/>
      <c r="L4" s="612" t="s">
        <v>78</v>
      </c>
      <c r="M4" s="591"/>
      <c r="N4" s="464" t="s">
        <v>79</v>
      </c>
      <c r="O4" s="216"/>
      <c r="P4" s="591"/>
      <c r="Q4" s="591"/>
      <c r="R4" s="591"/>
      <c r="S4" s="591"/>
      <c r="T4" s="333">
        <v>0</v>
      </c>
      <c r="U4" s="335">
        <v>2017</v>
      </c>
      <c r="V4" s="333">
        <v>0</v>
      </c>
      <c r="W4" s="333">
        <v>1</v>
      </c>
      <c r="X4" s="333">
        <v>2</v>
      </c>
      <c r="Y4" s="591">
        <v>4</v>
      </c>
    </row>
    <row r="5" spans="3:25" x14ac:dyDescent="0.15">
      <c r="C5" s="594" t="s">
        <v>80</v>
      </c>
      <c r="D5" s="14">
        <f>+Notes!C30</f>
        <v>895438.3</v>
      </c>
      <c r="E5" s="613">
        <f t="shared" ref="E5:E6" si="0">D5/$D$15</f>
        <v>5667.3310126582282</v>
      </c>
      <c r="F5" s="591"/>
      <c r="G5" s="591"/>
      <c r="H5" s="591" t="s">
        <v>81</v>
      </c>
      <c r="I5" s="612"/>
      <c r="J5" s="146">
        <v>0.05</v>
      </c>
      <c r="K5" s="591"/>
      <c r="L5" s="591" t="s">
        <v>82</v>
      </c>
      <c r="M5" s="591"/>
      <c r="N5" s="317" t="s">
        <v>83</v>
      </c>
      <c r="O5" s="591"/>
      <c r="P5" s="591"/>
      <c r="Q5" s="591"/>
      <c r="R5" s="591"/>
      <c r="S5" s="591"/>
      <c r="T5" s="333">
        <v>1</v>
      </c>
      <c r="U5" s="335" t="s">
        <v>79</v>
      </c>
      <c r="V5" s="333"/>
      <c r="W5" s="333"/>
      <c r="X5" s="333"/>
      <c r="Y5" s="591"/>
    </row>
    <row r="6" spans="3:25" ht="14" thickBot="1" x14ac:dyDescent="0.2">
      <c r="C6" s="674" t="s">
        <v>84</v>
      </c>
      <c r="D6" s="679">
        <f>SUM(D4:D5)</f>
        <v>9138772.3000000007</v>
      </c>
      <c r="E6" s="680">
        <f t="shared" si="0"/>
        <v>57840.331012658229</v>
      </c>
      <c r="F6" s="591"/>
      <c r="G6" s="614"/>
      <c r="H6" s="591" t="s">
        <v>85</v>
      </c>
      <c r="I6" s="612"/>
      <c r="J6" s="147">
        <v>0</v>
      </c>
      <c r="K6" s="591"/>
      <c r="L6" s="591" t="s">
        <v>86</v>
      </c>
      <c r="M6" s="592"/>
      <c r="N6" s="593">
        <v>0</v>
      </c>
      <c r="O6" s="591"/>
      <c r="P6" s="591"/>
      <c r="Q6" s="591"/>
      <c r="R6" s="591"/>
      <c r="S6" s="591"/>
      <c r="T6" s="333">
        <v>2</v>
      </c>
      <c r="U6" s="335" t="s">
        <v>87</v>
      </c>
      <c r="V6" s="333"/>
      <c r="W6" s="333"/>
      <c r="X6" s="333"/>
      <c r="Y6" s="591"/>
    </row>
    <row r="7" spans="3:25" ht="14" thickTop="1" x14ac:dyDescent="0.15">
      <c r="C7" s="602" t="s">
        <v>88</v>
      </c>
      <c r="D7" s="23">
        <f>E165</f>
        <v>3.7430327485016776E-2</v>
      </c>
      <c r="E7" s="15"/>
      <c r="F7" s="591"/>
      <c r="G7" s="591"/>
      <c r="H7" s="591" t="s">
        <v>89</v>
      </c>
      <c r="I7" s="591"/>
      <c r="J7" s="703">
        <v>10</v>
      </c>
      <c r="K7" s="591"/>
      <c r="L7" s="591" t="s">
        <v>90</v>
      </c>
      <c r="M7" s="591"/>
      <c r="N7" s="593">
        <v>0</v>
      </c>
      <c r="O7" s="591"/>
      <c r="P7" s="591"/>
      <c r="Q7" s="591"/>
      <c r="R7" s="591"/>
      <c r="S7" s="591"/>
      <c r="T7" s="333">
        <v>4</v>
      </c>
      <c r="U7" s="335" t="s">
        <v>91</v>
      </c>
      <c r="V7" s="333"/>
      <c r="W7" s="333"/>
      <c r="X7" s="333"/>
      <c r="Y7" s="591"/>
    </row>
    <row r="8" spans="3:25" x14ac:dyDescent="0.15">
      <c r="C8" s="591" t="s">
        <v>92</v>
      </c>
      <c r="D8" s="23">
        <f>F85/(D4+D5)</f>
        <v>3.9833276073636278E-2</v>
      </c>
      <c r="E8" s="591"/>
      <c r="F8" s="591"/>
      <c r="G8" s="591"/>
      <c r="H8" s="591" t="s">
        <v>93</v>
      </c>
      <c r="I8" s="591"/>
      <c r="J8" s="704">
        <v>250</v>
      </c>
      <c r="K8" s="615" t="s">
        <v>94</v>
      </c>
      <c r="L8" s="591" t="s">
        <v>95</v>
      </c>
      <c r="M8" s="591"/>
      <c r="N8" s="593">
        <v>0</v>
      </c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</row>
    <row r="9" spans="3:25" x14ac:dyDescent="0.15">
      <c r="C9" s="591" t="s">
        <v>96</v>
      </c>
      <c r="D9" s="23">
        <f>E102</f>
        <v>5.2499999999999998E-2</v>
      </c>
      <c r="E9" s="591"/>
      <c r="F9" s="591"/>
      <c r="G9" s="591"/>
      <c r="H9" s="591"/>
      <c r="I9" s="591"/>
      <c r="J9" s="591"/>
      <c r="K9" s="591"/>
      <c r="L9" s="591" t="s">
        <v>97</v>
      </c>
      <c r="M9" s="591"/>
      <c r="N9" s="593">
        <v>0</v>
      </c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</row>
    <row r="10" spans="3:25" x14ac:dyDescent="0.15">
      <c r="C10" s="591" t="s">
        <v>98</v>
      </c>
      <c r="D10" s="585">
        <f>+E4/F29/100</f>
        <v>1.4412430939226519</v>
      </c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</row>
    <row r="11" spans="3:25" x14ac:dyDescent="0.15">
      <c r="C11" s="57" t="s">
        <v>65</v>
      </c>
      <c r="D11" s="58" t="s">
        <v>48</v>
      </c>
      <c r="E11" s="58" t="s">
        <v>99</v>
      </c>
      <c r="F11" s="58" t="s">
        <v>100</v>
      </c>
      <c r="G11" s="58" t="s">
        <v>101</v>
      </c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</row>
    <row r="12" spans="3:25" x14ac:dyDescent="0.15">
      <c r="C12" s="606" t="s">
        <v>102</v>
      </c>
      <c r="D12" s="317">
        <v>158</v>
      </c>
      <c r="E12" s="317">
        <v>122</v>
      </c>
      <c r="F12" s="616">
        <f>D12-E12</f>
        <v>36</v>
      </c>
      <c r="G12" s="617">
        <f>F12/D12</f>
        <v>0.22784810126582278</v>
      </c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1"/>
    </row>
    <row r="13" spans="3:25" x14ac:dyDescent="0.15">
      <c r="C13" s="606" t="s">
        <v>103</v>
      </c>
      <c r="D13" s="317">
        <v>0</v>
      </c>
      <c r="E13" s="317">
        <v>0</v>
      </c>
      <c r="F13" s="616">
        <f>D13-E13</f>
        <v>0</v>
      </c>
      <c r="G13" s="617" t="str">
        <f>IF(ISERROR((F13/D13)),"-",(F13/D13))</f>
        <v>-</v>
      </c>
      <c r="H13" s="591"/>
      <c r="I13" s="591"/>
      <c r="J13" s="591"/>
      <c r="K13" s="591"/>
      <c r="L13" s="591"/>
      <c r="M13" s="591"/>
      <c r="N13" s="591"/>
      <c r="O13" s="591"/>
      <c r="P13" s="591"/>
      <c r="Q13" s="591"/>
      <c r="R13" s="591"/>
      <c r="S13" s="591"/>
      <c r="T13" s="591"/>
      <c r="U13" s="591"/>
      <c r="V13" s="591"/>
      <c r="W13" s="591"/>
      <c r="X13" s="591"/>
      <c r="Y13" s="591"/>
    </row>
    <row r="14" spans="3:25" x14ac:dyDescent="0.15">
      <c r="C14" s="606" t="s">
        <v>104</v>
      </c>
      <c r="D14" s="317">
        <v>0</v>
      </c>
      <c r="E14" s="317">
        <v>0</v>
      </c>
      <c r="F14" s="616">
        <f>D14-E14</f>
        <v>0</v>
      </c>
      <c r="G14" s="617" t="str">
        <f>IF(ISERROR((F14/D14)),"-",(F14/D14))</f>
        <v>-</v>
      </c>
      <c r="H14" s="591"/>
      <c r="I14" s="591"/>
      <c r="J14" s="591"/>
      <c r="K14" s="591"/>
      <c r="L14" s="591"/>
      <c r="M14" s="591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1"/>
      <c r="Y14" s="591"/>
    </row>
    <row r="15" spans="3:25" x14ac:dyDescent="0.15">
      <c r="C15" s="57" t="s">
        <v>48</v>
      </c>
      <c r="D15" s="58">
        <f>SUM(D12:D14)</f>
        <v>158</v>
      </c>
      <c r="E15" s="58">
        <f>SUM(E12:E14)</f>
        <v>122</v>
      </c>
      <c r="F15" s="618">
        <f t="shared" ref="F15" si="1">D15-E15</f>
        <v>36</v>
      </c>
      <c r="G15" s="74">
        <f>F15/D15</f>
        <v>0.22784810126582278</v>
      </c>
      <c r="H15" s="591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</row>
    <row r="16" spans="3:25" x14ac:dyDescent="0.15">
      <c r="C16" s="606"/>
      <c r="D16" s="59"/>
      <c r="E16" s="59"/>
      <c r="F16" s="616"/>
      <c r="G16" s="591"/>
      <c r="H16" s="591"/>
      <c r="I16" s="591"/>
      <c r="J16" s="591"/>
      <c r="K16" s="591"/>
      <c r="L16" s="591"/>
      <c r="M16" s="591"/>
      <c r="N16" s="591"/>
      <c r="O16" s="591"/>
      <c r="P16" s="591"/>
      <c r="Q16" s="591"/>
      <c r="R16" s="591"/>
      <c r="S16" s="591"/>
      <c r="T16" s="591"/>
      <c r="U16" s="591"/>
      <c r="V16" s="591"/>
      <c r="W16" s="591"/>
      <c r="X16" s="591"/>
      <c r="Y16" s="591"/>
    </row>
    <row r="17" spans="1:36" x14ac:dyDescent="0.15">
      <c r="A17" s="591"/>
      <c r="C17" s="606" t="s">
        <v>105</v>
      </c>
      <c r="D17" s="317">
        <v>52</v>
      </c>
      <c r="E17" s="317">
        <v>47</v>
      </c>
      <c r="F17" s="616">
        <f>D17-E17</f>
        <v>5</v>
      </c>
      <c r="G17" s="718">
        <v>0</v>
      </c>
      <c r="H17" s="719" t="s">
        <v>106</v>
      </c>
      <c r="I17" s="720"/>
      <c r="J17" s="591"/>
      <c r="K17" s="591"/>
      <c r="L17" s="591"/>
      <c r="M17" s="591"/>
      <c r="N17" s="591"/>
      <c r="O17" s="591"/>
      <c r="P17" s="591"/>
      <c r="Q17" s="591"/>
      <c r="R17" s="591"/>
      <c r="S17" s="591"/>
      <c r="T17" s="591"/>
      <c r="U17" s="591"/>
      <c r="V17" s="591"/>
      <c r="W17" s="591"/>
      <c r="X17" s="591"/>
      <c r="Y17" s="591"/>
      <c r="Z17" s="591"/>
      <c r="AA17" s="591"/>
      <c r="AB17" s="591"/>
      <c r="AC17" s="591"/>
      <c r="AD17" s="591"/>
      <c r="AE17" s="591"/>
      <c r="AF17" s="591"/>
      <c r="AG17" s="591"/>
      <c r="AH17" s="591"/>
      <c r="AI17" s="591"/>
      <c r="AJ17" s="591"/>
    </row>
    <row r="18" spans="1:36" ht="14" thickBot="1" x14ac:dyDescent="0.2">
      <c r="A18" s="591"/>
      <c r="C18" s="606"/>
      <c r="D18" s="59"/>
      <c r="E18" s="59"/>
      <c r="F18" s="59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</row>
    <row r="19" spans="1:36" ht="14" thickBot="1" x14ac:dyDescent="0.2">
      <c r="A19" s="591"/>
      <c r="C19" s="461" t="s">
        <v>107</v>
      </c>
      <c r="D19" s="465"/>
      <c r="E19" s="466" t="s">
        <v>108</v>
      </c>
      <c r="F19" s="466" t="s">
        <v>109</v>
      </c>
      <c r="G19" s="467" t="s">
        <v>110</v>
      </c>
      <c r="H19" s="591"/>
      <c r="I19" s="36" t="s">
        <v>111</v>
      </c>
      <c r="J19" s="36"/>
      <c r="K19" s="36"/>
      <c r="L19" s="591"/>
      <c r="M19" s="36" t="s">
        <v>112</v>
      </c>
      <c r="N19" s="36"/>
      <c r="O19" s="36"/>
      <c r="P19" s="591"/>
      <c r="Q19" s="591"/>
      <c r="R19" s="591"/>
      <c r="S19" s="591"/>
      <c r="T19" s="591"/>
      <c r="U19" s="591"/>
      <c r="V19" s="591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</row>
    <row r="20" spans="1:36" ht="14" thickBot="1" x14ac:dyDescent="0.2">
      <c r="A20" s="591"/>
      <c r="C20" s="619" t="str">
        <f>"30 Year Lev IRR -   "&amp;TEXT(D117,"0.0%")</f>
        <v>30 Year Lev IRR -   17.0%</v>
      </c>
      <c r="D20" s="468" t="s">
        <v>113</v>
      </c>
      <c r="E20" s="469">
        <f t="shared" ref="E20:G24" si="2">D169</f>
        <v>9.1907619803446083E-2</v>
      </c>
      <c r="F20" s="469">
        <f t="shared" si="2"/>
        <v>0.12385009217364273</v>
      </c>
      <c r="G20" s="470">
        <f t="shared" si="2"/>
        <v>0.11775460424877249</v>
      </c>
      <c r="H20" s="591"/>
      <c r="I20" s="612" t="s">
        <v>114</v>
      </c>
      <c r="J20" s="620"/>
      <c r="K20" s="146">
        <v>0.5</v>
      </c>
      <c r="L20" s="591"/>
      <c r="M20" s="591"/>
      <c r="N20" s="462" t="s">
        <v>115</v>
      </c>
      <c r="O20" s="462" t="s">
        <v>116</v>
      </c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</row>
    <row r="21" spans="1:36" x14ac:dyDescent="0.15">
      <c r="A21" s="591"/>
      <c r="C21" s="619" t="str">
        <f>"30 Year Investor IRR -   "&amp;TEXT(D134,"0.0%")</f>
        <v>30 Year Investor IRR -   13.9%</v>
      </c>
      <c r="D21" s="468" t="s">
        <v>117</v>
      </c>
      <c r="E21" s="469">
        <f t="shared" si="2"/>
        <v>0.14504393676384675</v>
      </c>
      <c r="F21" s="469">
        <f t="shared" si="2"/>
        <v>0.20115948277237883</v>
      </c>
      <c r="G21" s="470">
        <f t="shared" si="2"/>
        <v>0.19889915064877361</v>
      </c>
      <c r="H21" s="591"/>
      <c r="I21" s="612" t="s">
        <v>118</v>
      </c>
      <c r="J21" s="620"/>
      <c r="K21" s="621">
        <f>1-K20</f>
        <v>0.5</v>
      </c>
      <c r="L21" s="622"/>
      <c r="M21" s="591" t="s">
        <v>119</v>
      </c>
      <c r="N21" s="623">
        <f>47*370*12</f>
        <v>208680</v>
      </c>
      <c r="O21" s="623">
        <f>N21/47</f>
        <v>4440</v>
      </c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</row>
    <row r="22" spans="1:36" x14ac:dyDescent="0.15">
      <c r="A22" s="591"/>
      <c r="C22" s="619"/>
      <c r="D22" s="468" t="s">
        <v>120</v>
      </c>
      <c r="E22" s="469">
        <f t="shared" si="2"/>
        <v>9.9998723743233375E-2</v>
      </c>
      <c r="F22" s="469">
        <f t="shared" si="2"/>
        <v>0.13629589635225003</v>
      </c>
      <c r="G22" s="470">
        <f t="shared" si="2"/>
        <v>0.14898953767875489</v>
      </c>
      <c r="H22" s="591"/>
      <c r="I22" s="612" t="s">
        <v>121</v>
      </c>
      <c r="J22" s="620"/>
      <c r="K22" s="146">
        <v>0.05</v>
      </c>
      <c r="L22" s="591"/>
      <c r="M22" s="591" t="s">
        <v>122</v>
      </c>
      <c r="N22" s="623">
        <v>89424</v>
      </c>
      <c r="O22" s="623">
        <f>N22/47</f>
        <v>1902.6382978723404</v>
      </c>
      <c r="P22" s="591"/>
      <c r="Q22" s="591"/>
      <c r="R22" s="591"/>
      <c r="S22" s="591"/>
      <c r="T22" s="591"/>
      <c r="U22" s="591"/>
      <c r="V22" s="591"/>
      <c r="W22" s="591"/>
      <c r="X22" s="591"/>
      <c r="Y22" s="591"/>
      <c r="Z22" s="591"/>
      <c r="AA22" s="591"/>
      <c r="AB22" s="591"/>
      <c r="AC22" s="591"/>
      <c r="AD22" s="591"/>
      <c r="AE22" s="591"/>
      <c r="AF22" s="591"/>
      <c r="AG22" s="591"/>
      <c r="AH22" s="591"/>
      <c r="AI22" s="591"/>
      <c r="AJ22" s="591"/>
    </row>
    <row r="23" spans="1:36" x14ac:dyDescent="0.15">
      <c r="A23" s="591"/>
      <c r="C23" s="619" t="str">
        <f>"Year 5 Return On Cost -   "&amp;TEXT(J87,"0.0%")</f>
        <v>Year 5 Return On Cost -   7.3%</v>
      </c>
      <c r="D23" s="468" t="s">
        <v>123</v>
      </c>
      <c r="E23" s="471" t="str">
        <f t="shared" si="2"/>
        <v>1.3x</v>
      </c>
      <c r="F23" s="471" t="str">
        <f t="shared" si="2"/>
        <v>1.8x</v>
      </c>
      <c r="G23" s="472" t="str">
        <f t="shared" si="2"/>
        <v>2.4x</v>
      </c>
      <c r="H23" s="591"/>
      <c r="I23" s="612" t="s">
        <v>124</v>
      </c>
      <c r="J23" s="620"/>
      <c r="K23" s="146">
        <v>0.05</v>
      </c>
      <c r="L23" s="591"/>
      <c r="M23" s="591" t="s">
        <v>125</v>
      </c>
      <c r="N23" s="721">
        <f>+N21-N22</f>
        <v>119256</v>
      </c>
      <c r="O23" s="721">
        <f>+O21-O22</f>
        <v>2537.3617021276596</v>
      </c>
      <c r="P23" s="591"/>
      <c r="Q23" s="591"/>
      <c r="R23" s="591"/>
      <c r="S23" s="591"/>
      <c r="T23" s="591"/>
      <c r="U23" s="591"/>
      <c r="V23" s="591"/>
      <c r="W23" s="591"/>
      <c r="X23" s="591"/>
      <c r="Y23" s="591"/>
      <c r="Z23" s="591"/>
      <c r="AA23" s="591"/>
      <c r="AB23" s="591"/>
      <c r="AC23" s="591"/>
      <c r="AD23" s="591"/>
      <c r="AE23" s="591"/>
      <c r="AF23" s="591"/>
      <c r="AG23" s="591"/>
      <c r="AH23" s="591"/>
      <c r="AI23" s="591"/>
      <c r="AJ23" s="591"/>
    </row>
    <row r="24" spans="1:36" ht="14" thickBot="1" x14ac:dyDescent="0.2">
      <c r="A24" s="591"/>
      <c r="C24" s="619" t="str">
        <f>"Pct Equity Returned Over 5 Years "&amp;TEXT(J134,"0.0%")</f>
        <v>Pct Equity Returned Over 5 Years Cumm.= 126.5%</v>
      </c>
      <c r="D24" s="468" t="s">
        <v>126</v>
      </c>
      <c r="E24" s="473">
        <f t="shared" si="2"/>
        <v>5266000</v>
      </c>
      <c r="F24" s="473">
        <f t="shared" si="2"/>
        <v>7117000</v>
      </c>
      <c r="G24" s="474">
        <f t="shared" si="2"/>
        <v>9683000</v>
      </c>
      <c r="H24" s="591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1"/>
      <c r="Z24" s="591"/>
      <c r="AA24" s="591"/>
      <c r="AB24" s="591"/>
      <c r="AC24" s="591"/>
      <c r="AD24" s="591"/>
      <c r="AE24" s="591"/>
      <c r="AF24" s="591"/>
      <c r="AG24" s="591"/>
      <c r="AH24" s="591"/>
      <c r="AI24" s="591"/>
      <c r="AJ24" s="591"/>
    </row>
    <row r="25" spans="1:36" x14ac:dyDescent="0.15">
      <c r="A25" s="591"/>
      <c r="C25" s="619" t="str">
        <f>"Year 1 Leveraged Cash-On-Cash -   "&amp;TEXT(F116,"0.0%")</f>
        <v>Year 1 Leveraged Cash-On-Cash -   6.0%</v>
      </c>
      <c r="D25" s="468"/>
      <c r="E25" s="473"/>
      <c r="F25" s="473"/>
      <c r="G25" s="474"/>
      <c r="H25" s="586" t="s">
        <v>127</v>
      </c>
      <c r="I25" s="587" t="s">
        <v>128</v>
      </c>
      <c r="J25" s="616"/>
      <c r="K25" s="591"/>
      <c r="L25" s="591"/>
      <c r="M25" s="591"/>
      <c r="N25" s="591"/>
      <c r="O25" s="591"/>
      <c r="P25" s="591"/>
      <c r="Q25" s="591"/>
      <c r="R25" s="591"/>
      <c r="S25" s="591"/>
      <c r="T25" s="591"/>
      <c r="U25" s="591"/>
      <c r="V25" s="591"/>
      <c r="W25" s="591"/>
      <c r="X25" s="591"/>
      <c r="Y25" s="591"/>
      <c r="Z25" s="591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</row>
    <row r="26" spans="1:36" x14ac:dyDescent="0.15">
      <c r="A26" s="591"/>
      <c r="C26" s="624"/>
      <c r="D26" s="468"/>
      <c r="E26" s="473"/>
      <c r="F26" s="475"/>
      <c r="G26" s="476"/>
      <c r="H26" s="473">
        <f>ROUND(O102,-3)</f>
        <v>15782000</v>
      </c>
      <c r="I26" s="474">
        <f>ROUND(H26/NoOfSpaces,-2)</f>
        <v>99900</v>
      </c>
      <c r="J26" s="616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591"/>
      <c r="W26" s="591"/>
      <c r="X26" s="591"/>
      <c r="Y26" s="591"/>
      <c r="Z26" s="591"/>
      <c r="AA26" s="591"/>
      <c r="AB26" s="591"/>
      <c r="AC26" s="591"/>
      <c r="AD26" s="591"/>
      <c r="AE26" s="591"/>
      <c r="AF26" s="591"/>
      <c r="AG26" s="591"/>
      <c r="AH26" s="591"/>
      <c r="AI26" s="591"/>
      <c r="AJ26" s="591"/>
    </row>
    <row r="27" spans="1:36" x14ac:dyDescent="0.15">
      <c r="A27" s="616" t="s">
        <v>129</v>
      </c>
      <c r="B27" s="463" t="s">
        <v>130</v>
      </c>
      <c r="C27" s="16" t="s">
        <v>131</v>
      </c>
      <c r="D27" s="17" t="s">
        <v>132</v>
      </c>
      <c r="E27" s="722" t="s">
        <v>133</v>
      </c>
      <c r="F27" s="20">
        <v>1</v>
      </c>
      <c r="G27" s="20">
        <f>F27+1</f>
        <v>2</v>
      </c>
      <c r="H27" s="20">
        <f t="shared" ref="H27:AH27" si="3">G27+1</f>
        <v>3</v>
      </c>
      <c r="I27" s="20">
        <f t="shared" si="3"/>
        <v>4</v>
      </c>
      <c r="J27" s="20">
        <f t="shared" si="3"/>
        <v>5</v>
      </c>
      <c r="K27" s="20">
        <f t="shared" si="3"/>
        <v>6</v>
      </c>
      <c r="L27" s="20">
        <f t="shared" si="3"/>
        <v>7</v>
      </c>
      <c r="M27" s="20">
        <f t="shared" si="3"/>
        <v>8</v>
      </c>
      <c r="N27" s="20">
        <f t="shared" si="3"/>
        <v>9</v>
      </c>
      <c r="O27" s="20">
        <f t="shared" si="3"/>
        <v>10</v>
      </c>
      <c r="P27" s="20">
        <f t="shared" si="3"/>
        <v>11</v>
      </c>
      <c r="Q27" s="20">
        <f t="shared" si="3"/>
        <v>12</v>
      </c>
      <c r="R27" s="20">
        <f t="shared" si="3"/>
        <v>13</v>
      </c>
      <c r="S27" s="20">
        <f t="shared" si="3"/>
        <v>14</v>
      </c>
      <c r="T27" s="20">
        <f t="shared" si="3"/>
        <v>15</v>
      </c>
      <c r="U27" s="20">
        <f t="shared" si="3"/>
        <v>16</v>
      </c>
      <c r="V27" s="20">
        <f t="shared" si="3"/>
        <v>17</v>
      </c>
      <c r="W27" s="20">
        <f t="shared" si="3"/>
        <v>18</v>
      </c>
      <c r="X27" s="20">
        <f t="shared" si="3"/>
        <v>19</v>
      </c>
      <c r="Y27" s="20">
        <f t="shared" si="3"/>
        <v>20</v>
      </c>
      <c r="Z27" s="20">
        <f t="shared" si="3"/>
        <v>21</v>
      </c>
      <c r="AA27" s="20">
        <f t="shared" si="3"/>
        <v>22</v>
      </c>
      <c r="AB27" s="20">
        <f t="shared" si="3"/>
        <v>23</v>
      </c>
      <c r="AC27" s="20">
        <f t="shared" si="3"/>
        <v>24</v>
      </c>
      <c r="AD27" s="20">
        <f t="shared" si="3"/>
        <v>25</v>
      </c>
      <c r="AE27" s="20">
        <f t="shared" si="3"/>
        <v>26</v>
      </c>
      <c r="AF27" s="20">
        <f t="shared" si="3"/>
        <v>27</v>
      </c>
      <c r="AG27" s="20">
        <f t="shared" si="3"/>
        <v>28</v>
      </c>
      <c r="AH27" s="20">
        <f t="shared" si="3"/>
        <v>29</v>
      </c>
      <c r="AI27" s="20">
        <f t="shared" ref="AI27" si="4">AH27+1</f>
        <v>30</v>
      </c>
      <c r="AJ27" s="20">
        <f t="shared" ref="AJ27" si="5">AI27+1</f>
        <v>31</v>
      </c>
    </row>
    <row r="28" spans="1:36" x14ac:dyDescent="0.15">
      <c r="A28" s="591"/>
      <c r="C28" s="7" t="s">
        <v>134</v>
      </c>
      <c r="D28" s="136"/>
      <c r="E28" s="625"/>
      <c r="F28" s="256"/>
      <c r="G28" s="706" t="str">
        <f>"YOY = "&amp;TEXT(((G29-F29)/F29),"0.0%")</f>
        <v>YOY = 8.3%</v>
      </c>
      <c r="H28" s="706" t="str">
        <f>"YOY = "&amp;TEXT(((H29-G29)/G29),"0.0%")</f>
        <v>YOY = 7.7%</v>
      </c>
      <c r="I28" s="706" t="str">
        <f t="shared" ref="I28:AH28" si="6">"YOY = "&amp;TEXT(((I29-H29)/H29),"0.0%")</f>
        <v>YOY = 7.1%</v>
      </c>
      <c r="J28" s="706" t="str">
        <f t="shared" si="6"/>
        <v>YOY = 5.5%</v>
      </c>
      <c r="K28" s="217" t="str">
        <f t="shared" si="6"/>
        <v>YOY = 4.0%</v>
      </c>
      <c r="L28" s="217" t="str">
        <f t="shared" si="6"/>
        <v>YOY = 4.0%</v>
      </c>
      <c r="M28" s="217" t="str">
        <f t="shared" si="6"/>
        <v>YOY = 4.0%</v>
      </c>
      <c r="N28" s="217" t="str">
        <f t="shared" si="6"/>
        <v>YOY = 4.0%</v>
      </c>
      <c r="O28" s="217" t="str">
        <f t="shared" si="6"/>
        <v>YOY = 4.0%</v>
      </c>
      <c r="P28" s="217" t="str">
        <f t="shared" si="6"/>
        <v>YOY = 4.0%</v>
      </c>
      <c r="Q28" s="217" t="str">
        <f t="shared" si="6"/>
        <v>YOY = 4.0%</v>
      </c>
      <c r="R28" s="217" t="str">
        <f t="shared" si="6"/>
        <v>YOY = 4.0%</v>
      </c>
      <c r="S28" s="217" t="str">
        <f t="shared" si="6"/>
        <v>YOY = 4.0%</v>
      </c>
      <c r="T28" s="217" t="str">
        <f t="shared" si="6"/>
        <v>YOY = 4.0%</v>
      </c>
      <c r="U28" s="217" t="str">
        <f t="shared" si="6"/>
        <v>YOY = 4.0%</v>
      </c>
      <c r="V28" s="217" t="str">
        <f t="shared" si="6"/>
        <v>YOY = 4.0%</v>
      </c>
      <c r="W28" s="217" t="str">
        <f t="shared" si="6"/>
        <v>YOY = 4.0%</v>
      </c>
      <c r="X28" s="217" t="str">
        <f t="shared" si="6"/>
        <v>YOY = 4.0%</v>
      </c>
      <c r="Y28" s="217" t="str">
        <f t="shared" si="6"/>
        <v>YOY = 4.0%</v>
      </c>
      <c r="Z28" s="217" t="str">
        <f t="shared" si="6"/>
        <v>YOY = 4.0%</v>
      </c>
      <c r="AA28" s="217" t="str">
        <f t="shared" si="6"/>
        <v>YOY = 4.0%</v>
      </c>
      <c r="AB28" s="217" t="str">
        <f t="shared" si="6"/>
        <v>YOY = 4.0%</v>
      </c>
      <c r="AC28" s="217" t="str">
        <f t="shared" si="6"/>
        <v>YOY = 4.0%</v>
      </c>
      <c r="AD28" s="217" t="str">
        <f t="shared" si="6"/>
        <v>YOY = 4.0%</v>
      </c>
      <c r="AE28" s="217" t="str">
        <f t="shared" si="6"/>
        <v>YOY = 4.0%</v>
      </c>
      <c r="AF28" s="217" t="str">
        <f t="shared" si="6"/>
        <v>YOY = 4.0%</v>
      </c>
      <c r="AG28" s="217" t="str">
        <f t="shared" si="6"/>
        <v>YOY = 4.0%</v>
      </c>
      <c r="AH28" s="217" t="str">
        <f t="shared" si="6"/>
        <v>YOY = 4.0%</v>
      </c>
      <c r="AI28" s="217" t="str">
        <f t="shared" ref="AI28" si="7">"YOY = "&amp;TEXT(((AI29-AH29)/AH29),"0.0%")</f>
        <v>YOY = 4.0%</v>
      </c>
      <c r="AJ28" s="217" t="str">
        <f t="shared" ref="AJ28" si="8">"YOY = "&amp;TEXT(((AJ29-AI29)/AI29),"0.0%")</f>
        <v>YOY = 4.0%</v>
      </c>
    </row>
    <row r="29" spans="1:36" x14ac:dyDescent="0.15">
      <c r="A29" s="591"/>
      <c r="C29" s="594" t="str">
        <f>C12</f>
        <v xml:space="preserve">MH </v>
      </c>
      <c r="D29" s="137">
        <v>347</v>
      </c>
      <c r="E29" s="257">
        <v>0.04</v>
      </c>
      <c r="F29" s="256">
        <f>D29+15</f>
        <v>362</v>
      </c>
      <c r="G29" s="256">
        <f>F29+30</f>
        <v>392</v>
      </c>
      <c r="H29" s="256">
        <f t="shared" ref="H29:I29" si="9">G29+30</f>
        <v>422</v>
      </c>
      <c r="I29" s="256">
        <f t="shared" si="9"/>
        <v>452</v>
      </c>
      <c r="J29" s="256">
        <f>I29+25</f>
        <v>477</v>
      </c>
      <c r="K29" s="256">
        <f t="shared" ref="K29" si="10">J29*(1+$E$29)</f>
        <v>496.08000000000004</v>
      </c>
      <c r="L29" s="256">
        <f t="shared" ref="L29:AH29" si="11">K29*(1+$E$29)</f>
        <v>515.92320000000007</v>
      </c>
      <c r="M29" s="256">
        <f t="shared" si="11"/>
        <v>536.56012800000008</v>
      </c>
      <c r="N29" s="256">
        <f t="shared" si="11"/>
        <v>558.02253312000005</v>
      </c>
      <c r="O29" s="256">
        <f t="shared" si="11"/>
        <v>580.3434344448001</v>
      </c>
      <c r="P29" s="256">
        <f t="shared" si="11"/>
        <v>603.55717182259207</v>
      </c>
      <c r="Q29" s="256">
        <f t="shared" si="11"/>
        <v>627.69945869549576</v>
      </c>
      <c r="R29" s="256">
        <f t="shared" si="11"/>
        <v>652.80743704331564</v>
      </c>
      <c r="S29" s="256">
        <f t="shared" si="11"/>
        <v>678.91973452504828</v>
      </c>
      <c r="T29" s="256">
        <f t="shared" si="11"/>
        <v>706.07652390605028</v>
      </c>
      <c r="U29" s="256">
        <f t="shared" si="11"/>
        <v>734.31958486229234</v>
      </c>
      <c r="V29" s="256">
        <f t="shared" si="11"/>
        <v>763.69236825678411</v>
      </c>
      <c r="W29" s="256">
        <f t="shared" si="11"/>
        <v>794.24006298705547</v>
      </c>
      <c r="X29" s="256">
        <f t="shared" si="11"/>
        <v>826.00966550653766</v>
      </c>
      <c r="Y29" s="256">
        <f t="shared" si="11"/>
        <v>859.05005212679919</v>
      </c>
      <c r="Z29" s="256">
        <f t="shared" si="11"/>
        <v>893.41205421187124</v>
      </c>
      <c r="AA29" s="256">
        <f t="shared" si="11"/>
        <v>929.14853638034617</v>
      </c>
      <c r="AB29" s="256">
        <f t="shared" si="11"/>
        <v>966.31447783556007</v>
      </c>
      <c r="AC29" s="256">
        <f t="shared" si="11"/>
        <v>1004.9670569489825</v>
      </c>
      <c r="AD29" s="256">
        <f t="shared" si="11"/>
        <v>1045.1657392269419</v>
      </c>
      <c r="AE29" s="256">
        <f t="shared" si="11"/>
        <v>1086.9723687960197</v>
      </c>
      <c r="AF29" s="256">
        <f t="shared" si="11"/>
        <v>1130.4512635478607</v>
      </c>
      <c r="AG29" s="256">
        <f t="shared" si="11"/>
        <v>1175.6693140897751</v>
      </c>
      <c r="AH29" s="256">
        <f t="shared" si="11"/>
        <v>1222.6960866533661</v>
      </c>
      <c r="AI29" s="256">
        <f t="shared" ref="AI29" si="12">AH29*(1+$E$29)</f>
        <v>1271.6039301195008</v>
      </c>
      <c r="AJ29" s="256">
        <f t="shared" ref="AJ29" si="13">AI29*(1+$E$29)</f>
        <v>1322.4680873242808</v>
      </c>
    </row>
    <row r="30" spans="1:36" x14ac:dyDescent="0.15">
      <c r="A30" s="591"/>
      <c r="C30" s="594" t="str">
        <f>C13</f>
        <v>RV</v>
      </c>
      <c r="D30" s="137">
        <v>0</v>
      </c>
      <c r="E30" s="257">
        <v>0.04</v>
      </c>
      <c r="F30" s="256">
        <f>D30</f>
        <v>0</v>
      </c>
      <c r="G30" s="256">
        <f t="shared" ref="G30" si="14">F30*(1+$E$30)</f>
        <v>0</v>
      </c>
      <c r="H30" s="256">
        <f t="shared" ref="H30" si="15">G30*(1+$E$30)</f>
        <v>0</v>
      </c>
      <c r="I30" s="256">
        <f t="shared" ref="I30" si="16">H30*(1+$E$30)</f>
        <v>0</v>
      </c>
      <c r="J30" s="256">
        <f t="shared" ref="J30" si="17">I30*(1+$E$30)</f>
        <v>0</v>
      </c>
      <c r="K30" s="256">
        <f t="shared" ref="K30:AH30" si="18">J30*(1+$E$30)</f>
        <v>0</v>
      </c>
      <c r="L30" s="256">
        <f t="shared" si="18"/>
        <v>0</v>
      </c>
      <c r="M30" s="256">
        <f t="shared" si="18"/>
        <v>0</v>
      </c>
      <c r="N30" s="256">
        <f t="shared" si="18"/>
        <v>0</v>
      </c>
      <c r="O30" s="256">
        <f t="shared" si="18"/>
        <v>0</v>
      </c>
      <c r="P30" s="256">
        <f t="shared" si="18"/>
        <v>0</v>
      </c>
      <c r="Q30" s="256">
        <f t="shared" si="18"/>
        <v>0</v>
      </c>
      <c r="R30" s="256">
        <f t="shared" si="18"/>
        <v>0</v>
      </c>
      <c r="S30" s="256">
        <f t="shared" si="18"/>
        <v>0</v>
      </c>
      <c r="T30" s="256">
        <f t="shared" si="18"/>
        <v>0</v>
      </c>
      <c r="U30" s="256">
        <f t="shared" si="18"/>
        <v>0</v>
      </c>
      <c r="V30" s="256">
        <f t="shared" si="18"/>
        <v>0</v>
      </c>
      <c r="W30" s="256">
        <f t="shared" si="18"/>
        <v>0</v>
      </c>
      <c r="X30" s="256">
        <f t="shared" si="18"/>
        <v>0</v>
      </c>
      <c r="Y30" s="256">
        <f t="shared" si="18"/>
        <v>0</v>
      </c>
      <c r="Z30" s="256">
        <f t="shared" si="18"/>
        <v>0</v>
      </c>
      <c r="AA30" s="256">
        <f t="shared" si="18"/>
        <v>0</v>
      </c>
      <c r="AB30" s="256">
        <f t="shared" si="18"/>
        <v>0</v>
      </c>
      <c r="AC30" s="256">
        <f t="shared" si="18"/>
        <v>0</v>
      </c>
      <c r="AD30" s="256">
        <f t="shared" si="18"/>
        <v>0</v>
      </c>
      <c r="AE30" s="256">
        <f t="shared" si="18"/>
        <v>0</v>
      </c>
      <c r="AF30" s="256">
        <f t="shared" si="18"/>
        <v>0</v>
      </c>
      <c r="AG30" s="256">
        <f t="shared" si="18"/>
        <v>0</v>
      </c>
      <c r="AH30" s="256">
        <f t="shared" si="18"/>
        <v>0</v>
      </c>
      <c r="AI30" s="256">
        <f t="shared" ref="AI30" si="19">AH30*(1+$E$30)</f>
        <v>0</v>
      </c>
      <c r="AJ30" s="256">
        <f t="shared" ref="AJ30" si="20">AI30*(1+$E$30)</f>
        <v>0</v>
      </c>
    </row>
    <row r="31" spans="1:36" x14ac:dyDescent="0.15">
      <c r="A31" s="591"/>
      <c r="C31" s="594" t="str">
        <f>C14</f>
        <v>Other</v>
      </c>
      <c r="D31" s="137">
        <v>0</v>
      </c>
      <c r="E31" s="257">
        <v>0.04</v>
      </c>
      <c r="F31" s="256">
        <f>D31</f>
        <v>0</v>
      </c>
      <c r="G31" s="256">
        <f t="shared" ref="G31" si="21">F31*(1+$E$31)</f>
        <v>0</v>
      </c>
      <c r="H31" s="256">
        <f t="shared" ref="H31" si="22">G31*(1+$E$31)</f>
        <v>0</v>
      </c>
      <c r="I31" s="256">
        <f t="shared" ref="I31" si="23">H31*(1+$E$31)</f>
        <v>0</v>
      </c>
      <c r="J31" s="256">
        <f t="shared" ref="J31" si="24">I31*(1+$E$31)</f>
        <v>0</v>
      </c>
      <c r="K31" s="256">
        <f t="shared" ref="K31:AH31" si="25">J31*(1+$E$31)</f>
        <v>0</v>
      </c>
      <c r="L31" s="256">
        <f t="shared" si="25"/>
        <v>0</v>
      </c>
      <c r="M31" s="256">
        <f t="shared" si="25"/>
        <v>0</v>
      </c>
      <c r="N31" s="256">
        <f t="shared" si="25"/>
        <v>0</v>
      </c>
      <c r="O31" s="256">
        <f t="shared" si="25"/>
        <v>0</v>
      </c>
      <c r="P31" s="256">
        <f t="shared" si="25"/>
        <v>0</v>
      </c>
      <c r="Q31" s="256">
        <f t="shared" si="25"/>
        <v>0</v>
      </c>
      <c r="R31" s="256">
        <f t="shared" si="25"/>
        <v>0</v>
      </c>
      <c r="S31" s="256">
        <f t="shared" si="25"/>
        <v>0</v>
      </c>
      <c r="T31" s="256">
        <f t="shared" si="25"/>
        <v>0</v>
      </c>
      <c r="U31" s="256">
        <f t="shared" si="25"/>
        <v>0</v>
      </c>
      <c r="V31" s="256">
        <f t="shared" si="25"/>
        <v>0</v>
      </c>
      <c r="W31" s="256">
        <f t="shared" si="25"/>
        <v>0</v>
      </c>
      <c r="X31" s="256">
        <f t="shared" si="25"/>
        <v>0</v>
      </c>
      <c r="Y31" s="256">
        <f t="shared" si="25"/>
        <v>0</v>
      </c>
      <c r="Z31" s="256">
        <f t="shared" si="25"/>
        <v>0</v>
      </c>
      <c r="AA31" s="256">
        <f t="shared" si="25"/>
        <v>0</v>
      </c>
      <c r="AB31" s="256">
        <f t="shared" si="25"/>
        <v>0</v>
      </c>
      <c r="AC31" s="256">
        <f t="shared" si="25"/>
        <v>0</v>
      </c>
      <c r="AD31" s="256">
        <f t="shared" si="25"/>
        <v>0</v>
      </c>
      <c r="AE31" s="256">
        <f t="shared" si="25"/>
        <v>0</v>
      </c>
      <c r="AF31" s="256">
        <f t="shared" si="25"/>
        <v>0</v>
      </c>
      <c r="AG31" s="256">
        <f t="shared" si="25"/>
        <v>0</v>
      </c>
      <c r="AH31" s="256">
        <f t="shared" si="25"/>
        <v>0</v>
      </c>
      <c r="AI31" s="256">
        <f t="shared" ref="AI31" si="26">AH31*(1+$E$31)</f>
        <v>0</v>
      </c>
      <c r="AJ31" s="256">
        <f t="shared" ref="AJ31" si="27">AI31*(1+$E$31)</f>
        <v>0</v>
      </c>
    </row>
    <row r="32" spans="1:36" x14ac:dyDescent="0.15">
      <c r="A32" s="591"/>
      <c r="C32" s="591"/>
      <c r="D32" s="136"/>
      <c r="E32" s="625"/>
      <c r="F32" s="723"/>
      <c r="G32" s="724"/>
      <c r="H32" s="724"/>
      <c r="I32" s="724"/>
      <c r="J32" s="724"/>
      <c r="K32" s="724"/>
      <c r="L32" s="724"/>
      <c r="M32" s="724"/>
      <c r="N32" s="724"/>
      <c r="O32" s="724"/>
      <c r="P32" s="724"/>
      <c r="Q32" s="724"/>
      <c r="R32" s="724"/>
      <c r="S32" s="724"/>
      <c r="T32" s="724"/>
      <c r="U32" s="724"/>
      <c r="V32" s="724"/>
      <c r="W32" s="724"/>
      <c r="X32" s="724"/>
      <c r="Y32" s="724"/>
      <c r="Z32" s="724"/>
      <c r="AA32" s="724"/>
      <c r="AB32" s="724"/>
      <c r="AC32" s="724"/>
      <c r="AD32" s="724"/>
      <c r="AE32" s="724"/>
      <c r="AF32" s="724"/>
      <c r="AG32" s="724"/>
      <c r="AH32" s="724"/>
      <c r="AI32" s="724"/>
      <c r="AJ32" s="724"/>
    </row>
    <row r="33" spans="1:36" ht="16" x14ac:dyDescent="0.3">
      <c r="A33" s="591"/>
      <c r="C33" s="7" t="s">
        <v>135</v>
      </c>
      <c r="D33" s="138"/>
      <c r="E33" s="305" t="s">
        <v>136</v>
      </c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</row>
    <row r="34" spans="1:36" x14ac:dyDescent="0.15">
      <c r="A34" s="591"/>
      <c r="B34" s="455">
        <f>(F34*12)</f>
        <v>686352</v>
      </c>
      <c r="C34" s="594" t="str">
        <f>C29</f>
        <v xml:space="preserve">MH </v>
      </c>
      <c r="D34" s="136">
        <f>D29*D12*12</f>
        <v>657912</v>
      </c>
      <c r="E34" s="306">
        <f>D12</f>
        <v>158</v>
      </c>
      <c r="F34" s="256">
        <f>F29*$E$34</f>
        <v>57196</v>
      </c>
      <c r="G34" s="256">
        <f t="shared" ref="G34:AH34" si="28">G29*$E34</f>
        <v>61936</v>
      </c>
      <c r="H34" s="256">
        <f t="shared" si="28"/>
        <v>66676</v>
      </c>
      <c r="I34" s="256">
        <f t="shared" si="28"/>
        <v>71416</v>
      </c>
      <c r="J34" s="256">
        <f t="shared" si="28"/>
        <v>75366</v>
      </c>
      <c r="K34" s="256">
        <f t="shared" si="28"/>
        <v>78380.639999999999</v>
      </c>
      <c r="L34" s="256">
        <f t="shared" si="28"/>
        <v>81515.865600000005</v>
      </c>
      <c r="M34" s="256">
        <f t="shared" si="28"/>
        <v>84776.500224000018</v>
      </c>
      <c r="N34" s="256">
        <f t="shared" si="28"/>
        <v>88167.560232960008</v>
      </c>
      <c r="O34" s="256">
        <f t="shared" si="28"/>
        <v>91694.262642278409</v>
      </c>
      <c r="P34" s="256">
        <f t="shared" si="28"/>
        <v>95362.033147969545</v>
      </c>
      <c r="Q34" s="256">
        <f t="shared" si="28"/>
        <v>99176.514473888325</v>
      </c>
      <c r="R34" s="256">
        <f t="shared" si="28"/>
        <v>103143.57505284387</v>
      </c>
      <c r="S34" s="256">
        <f t="shared" si="28"/>
        <v>107269.31805495764</v>
      </c>
      <c r="T34" s="256">
        <f t="shared" si="28"/>
        <v>111560.09077715594</v>
      </c>
      <c r="U34" s="256">
        <f t="shared" si="28"/>
        <v>116022.49440824219</v>
      </c>
      <c r="V34" s="256">
        <f t="shared" si="28"/>
        <v>120663.39418457189</v>
      </c>
      <c r="W34" s="256">
        <f t="shared" si="28"/>
        <v>125489.92995195476</v>
      </c>
      <c r="X34" s="256">
        <f t="shared" si="28"/>
        <v>130509.52715003295</v>
      </c>
      <c r="Y34" s="256">
        <f t="shared" si="28"/>
        <v>135729.90823603427</v>
      </c>
      <c r="Z34" s="256">
        <f t="shared" si="28"/>
        <v>141159.10456547566</v>
      </c>
      <c r="AA34" s="256">
        <f t="shared" si="28"/>
        <v>146805.46874809469</v>
      </c>
      <c r="AB34" s="256">
        <f t="shared" si="28"/>
        <v>152677.68749801849</v>
      </c>
      <c r="AC34" s="256">
        <f t="shared" si="28"/>
        <v>158784.79499793923</v>
      </c>
      <c r="AD34" s="256">
        <f t="shared" si="28"/>
        <v>165136.18679785682</v>
      </c>
      <c r="AE34" s="256">
        <f t="shared" si="28"/>
        <v>171741.63426977111</v>
      </c>
      <c r="AF34" s="256">
        <f t="shared" si="28"/>
        <v>178611.29964056198</v>
      </c>
      <c r="AG34" s="256">
        <f t="shared" si="28"/>
        <v>185755.75162618447</v>
      </c>
      <c r="AH34" s="256">
        <f t="shared" si="28"/>
        <v>193185.98169123186</v>
      </c>
      <c r="AI34" s="256">
        <f t="shared" ref="AI34:AJ34" si="29">AI29*$E34</f>
        <v>200913.42095888112</v>
      </c>
      <c r="AJ34" s="256">
        <f t="shared" si="29"/>
        <v>208949.95779723636</v>
      </c>
    </row>
    <row r="35" spans="1:36" x14ac:dyDescent="0.15">
      <c r="A35" s="591"/>
      <c r="B35" s="455">
        <f>(F35*12)</f>
        <v>0</v>
      </c>
      <c r="C35" s="594" t="str">
        <f>C30</f>
        <v>RV</v>
      </c>
      <c r="D35" s="136">
        <f>D30*D13*12</f>
        <v>0</v>
      </c>
      <c r="E35" s="306">
        <f>D13</f>
        <v>0</v>
      </c>
      <c r="F35" s="256">
        <f t="shared" ref="F35:AH35" si="30">F30*$E$35</f>
        <v>0</v>
      </c>
      <c r="G35" s="256">
        <f t="shared" si="30"/>
        <v>0</v>
      </c>
      <c r="H35" s="256">
        <f t="shared" si="30"/>
        <v>0</v>
      </c>
      <c r="I35" s="256">
        <f t="shared" si="30"/>
        <v>0</v>
      </c>
      <c r="J35" s="256">
        <f t="shared" si="30"/>
        <v>0</v>
      </c>
      <c r="K35" s="256">
        <f t="shared" si="30"/>
        <v>0</v>
      </c>
      <c r="L35" s="256">
        <f t="shared" si="30"/>
        <v>0</v>
      </c>
      <c r="M35" s="256">
        <f t="shared" si="30"/>
        <v>0</v>
      </c>
      <c r="N35" s="256">
        <f t="shared" si="30"/>
        <v>0</v>
      </c>
      <c r="O35" s="256">
        <f t="shared" si="30"/>
        <v>0</v>
      </c>
      <c r="P35" s="256">
        <f t="shared" si="30"/>
        <v>0</v>
      </c>
      <c r="Q35" s="256">
        <f t="shared" si="30"/>
        <v>0</v>
      </c>
      <c r="R35" s="256">
        <f t="shared" si="30"/>
        <v>0</v>
      </c>
      <c r="S35" s="256">
        <f t="shared" si="30"/>
        <v>0</v>
      </c>
      <c r="T35" s="256">
        <f t="shared" si="30"/>
        <v>0</v>
      </c>
      <c r="U35" s="256">
        <f t="shared" si="30"/>
        <v>0</v>
      </c>
      <c r="V35" s="256">
        <f t="shared" si="30"/>
        <v>0</v>
      </c>
      <c r="W35" s="256">
        <f t="shared" si="30"/>
        <v>0</v>
      </c>
      <c r="X35" s="256">
        <f t="shared" si="30"/>
        <v>0</v>
      </c>
      <c r="Y35" s="256">
        <f t="shared" si="30"/>
        <v>0</v>
      </c>
      <c r="Z35" s="256">
        <f t="shared" si="30"/>
        <v>0</v>
      </c>
      <c r="AA35" s="256">
        <f t="shared" si="30"/>
        <v>0</v>
      </c>
      <c r="AB35" s="256">
        <f t="shared" si="30"/>
        <v>0</v>
      </c>
      <c r="AC35" s="256">
        <f t="shared" si="30"/>
        <v>0</v>
      </c>
      <c r="AD35" s="256">
        <f t="shared" si="30"/>
        <v>0</v>
      </c>
      <c r="AE35" s="256">
        <f t="shared" si="30"/>
        <v>0</v>
      </c>
      <c r="AF35" s="256">
        <f t="shared" si="30"/>
        <v>0</v>
      </c>
      <c r="AG35" s="256">
        <f t="shared" si="30"/>
        <v>0</v>
      </c>
      <c r="AH35" s="256">
        <f t="shared" si="30"/>
        <v>0</v>
      </c>
      <c r="AI35" s="256">
        <f t="shared" ref="AI35:AJ35" si="31">AI30*$E$35</f>
        <v>0</v>
      </c>
      <c r="AJ35" s="256">
        <f t="shared" si="31"/>
        <v>0</v>
      </c>
    </row>
    <row r="36" spans="1:36" x14ac:dyDescent="0.15">
      <c r="A36" s="591"/>
      <c r="B36" s="455">
        <f>(F36*12)</f>
        <v>0</v>
      </c>
      <c r="C36" s="594" t="str">
        <f>C31</f>
        <v>Other</v>
      </c>
      <c r="D36" s="136">
        <f>D31*D14*12</f>
        <v>0</v>
      </c>
      <c r="E36" s="306">
        <f>D14</f>
        <v>0</v>
      </c>
      <c r="F36" s="307">
        <f t="shared" ref="F36:AH36" si="32">F31*$E$36</f>
        <v>0</v>
      </c>
      <c r="G36" s="307">
        <f t="shared" si="32"/>
        <v>0</v>
      </c>
      <c r="H36" s="307">
        <f t="shared" si="32"/>
        <v>0</v>
      </c>
      <c r="I36" s="256">
        <f t="shared" si="32"/>
        <v>0</v>
      </c>
      <c r="J36" s="256">
        <f t="shared" si="32"/>
        <v>0</v>
      </c>
      <c r="K36" s="256">
        <f t="shared" si="32"/>
        <v>0</v>
      </c>
      <c r="L36" s="256">
        <f t="shared" si="32"/>
        <v>0</v>
      </c>
      <c r="M36" s="256">
        <f t="shared" si="32"/>
        <v>0</v>
      </c>
      <c r="N36" s="256">
        <f t="shared" si="32"/>
        <v>0</v>
      </c>
      <c r="O36" s="256">
        <f t="shared" si="32"/>
        <v>0</v>
      </c>
      <c r="P36" s="256">
        <f t="shared" si="32"/>
        <v>0</v>
      </c>
      <c r="Q36" s="256">
        <f t="shared" si="32"/>
        <v>0</v>
      </c>
      <c r="R36" s="256">
        <f t="shared" si="32"/>
        <v>0</v>
      </c>
      <c r="S36" s="256">
        <f t="shared" si="32"/>
        <v>0</v>
      </c>
      <c r="T36" s="256">
        <f t="shared" si="32"/>
        <v>0</v>
      </c>
      <c r="U36" s="256">
        <f t="shared" si="32"/>
        <v>0</v>
      </c>
      <c r="V36" s="256">
        <f t="shared" si="32"/>
        <v>0</v>
      </c>
      <c r="W36" s="256">
        <f t="shared" si="32"/>
        <v>0</v>
      </c>
      <c r="X36" s="256">
        <f t="shared" si="32"/>
        <v>0</v>
      </c>
      <c r="Y36" s="256">
        <f t="shared" si="32"/>
        <v>0</v>
      </c>
      <c r="Z36" s="256">
        <f t="shared" si="32"/>
        <v>0</v>
      </c>
      <c r="AA36" s="256">
        <f t="shared" si="32"/>
        <v>0</v>
      </c>
      <c r="AB36" s="256">
        <f t="shared" si="32"/>
        <v>0</v>
      </c>
      <c r="AC36" s="256">
        <f t="shared" si="32"/>
        <v>0</v>
      </c>
      <c r="AD36" s="256">
        <f t="shared" si="32"/>
        <v>0</v>
      </c>
      <c r="AE36" s="256">
        <f t="shared" si="32"/>
        <v>0</v>
      </c>
      <c r="AF36" s="256">
        <f t="shared" si="32"/>
        <v>0</v>
      </c>
      <c r="AG36" s="256">
        <f t="shared" si="32"/>
        <v>0</v>
      </c>
      <c r="AH36" s="256">
        <f t="shared" si="32"/>
        <v>0</v>
      </c>
      <c r="AI36" s="256">
        <f t="shared" ref="AI36:AJ36" si="33">AI31*$E$36</f>
        <v>0</v>
      </c>
      <c r="AJ36" s="256">
        <f t="shared" si="33"/>
        <v>0</v>
      </c>
    </row>
    <row r="37" spans="1:36" s="31" customFormat="1" ht="12" x14ac:dyDescent="0.15">
      <c r="B37" s="456"/>
      <c r="D37" s="266" t="s">
        <v>137</v>
      </c>
      <c r="E37" s="267">
        <f>F12</f>
        <v>36</v>
      </c>
      <c r="F37" s="268">
        <f>E37</f>
        <v>36</v>
      </c>
      <c r="G37" s="268">
        <f t="shared" ref="G37:AH37" si="34">MAX($E$38*$D$12,F37-$J$7)</f>
        <v>26</v>
      </c>
      <c r="H37" s="268">
        <f t="shared" si="34"/>
        <v>16</v>
      </c>
      <c r="I37" s="268">
        <f t="shared" si="34"/>
        <v>7.9</v>
      </c>
      <c r="J37" s="268">
        <f t="shared" si="34"/>
        <v>7.9</v>
      </c>
      <c r="K37" s="268">
        <f t="shared" si="34"/>
        <v>7.9</v>
      </c>
      <c r="L37" s="268">
        <f t="shared" si="34"/>
        <v>7.9</v>
      </c>
      <c r="M37" s="268">
        <f t="shared" si="34"/>
        <v>7.9</v>
      </c>
      <c r="N37" s="268">
        <f t="shared" si="34"/>
        <v>7.9</v>
      </c>
      <c r="O37" s="268">
        <f t="shared" si="34"/>
        <v>7.9</v>
      </c>
      <c r="P37" s="268">
        <f t="shared" si="34"/>
        <v>7.9</v>
      </c>
      <c r="Q37" s="268">
        <f t="shared" si="34"/>
        <v>7.9</v>
      </c>
      <c r="R37" s="268">
        <f t="shared" si="34"/>
        <v>7.9</v>
      </c>
      <c r="S37" s="268">
        <f t="shared" si="34"/>
        <v>7.9</v>
      </c>
      <c r="T37" s="268">
        <f t="shared" si="34"/>
        <v>7.9</v>
      </c>
      <c r="U37" s="268">
        <f t="shared" si="34"/>
        <v>7.9</v>
      </c>
      <c r="V37" s="268">
        <f t="shared" si="34"/>
        <v>7.9</v>
      </c>
      <c r="W37" s="268">
        <f t="shared" si="34"/>
        <v>7.9</v>
      </c>
      <c r="X37" s="268">
        <f t="shared" si="34"/>
        <v>7.9</v>
      </c>
      <c r="Y37" s="268">
        <f t="shared" si="34"/>
        <v>7.9</v>
      </c>
      <c r="Z37" s="268">
        <f t="shared" si="34"/>
        <v>7.9</v>
      </c>
      <c r="AA37" s="268">
        <f t="shared" si="34"/>
        <v>7.9</v>
      </c>
      <c r="AB37" s="268">
        <f t="shared" si="34"/>
        <v>7.9</v>
      </c>
      <c r="AC37" s="268">
        <f t="shared" si="34"/>
        <v>7.9</v>
      </c>
      <c r="AD37" s="268">
        <f t="shared" si="34"/>
        <v>7.9</v>
      </c>
      <c r="AE37" s="268">
        <f t="shared" si="34"/>
        <v>7.9</v>
      </c>
      <c r="AF37" s="268">
        <f t="shared" si="34"/>
        <v>7.9</v>
      </c>
      <c r="AG37" s="268">
        <f t="shared" si="34"/>
        <v>7.9</v>
      </c>
      <c r="AH37" s="268">
        <f t="shared" si="34"/>
        <v>7.9</v>
      </c>
      <c r="AI37" s="268">
        <f t="shared" ref="AI37" si="35">MAX($E$38*$D$12,AH37-$J$7)</f>
        <v>7.9</v>
      </c>
      <c r="AJ37" s="268">
        <f t="shared" ref="AJ37" si="36">MAX($E$38*$D$12,AI37-$J$7)</f>
        <v>7.9</v>
      </c>
    </row>
    <row r="38" spans="1:36" x14ac:dyDescent="0.15">
      <c r="A38" s="591"/>
      <c r="B38" s="455">
        <f t="shared" ref="B38:B41" si="37">(F38*12)</f>
        <v>-156384</v>
      </c>
      <c r="C38" s="594" t="str">
        <f>C34&amp;" Min Vacancy Rate"</f>
        <v>MH  Min Vacancy Rate</v>
      </c>
      <c r="D38" s="139">
        <f>F38*12</f>
        <v>-156384</v>
      </c>
      <c r="E38" s="257">
        <v>0.05</v>
      </c>
      <c r="F38" s="256">
        <f>-F34*F37/$D$12</f>
        <v>-13032</v>
      </c>
      <c r="G38" s="256">
        <f t="shared" ref="G38:AH38" si="38">-G34*G37/$D$12</f>
        <v>-10192</v>
      </c>
      <c r="H38" s="256">
        <f t="shared" si="38"/>
        <v>-6752</v>
      </c>
      <c r="I38" s="256">
        <f t="shared" si="38"/>
        <v>-3570.8</v>
      </c>
      <c r="J38" s="256">
        <f t="shared" si="38"/>
        <v>-3768.3</v>
      </c>
      <c r="K38" s="256">
        <f t="shared" si="38"/>
        <v>-3919.0319999999997</v>
      </c>
      <c r="L38" s="256">
        <f t="shared" si="38"/>
        <v>-4075.7932800000003</v>
      </c>
      <c r="M38" s="256">
        <f t="shared" si="38"/>
        <v>-4238.8250112000014</v>
      </c>
      <c r="N38" s="256">
        <f t="shared" si="38"/>
        <v>-4408.3780116480011</v>
      </c>
      <c r="O38" s="256">
        <f t="shared" si="38"/>
        <v>-4584.7131321139204</v>
      </c>
      <c r="P38" s="256">
        <f t="shared" si="38"/>
        <v>-4768.101657398478</v>
      </c>
      <c r="Q38" s="256">
        <f t="shared" si="38"/>
        <v>-4958.8257236944164</v>
      </c>
      <c r="R38" s="256">
        <f t="shared" si="38"/>
        <v>-5157.1787526421931</v>
      </c>
      <c r="S38" s="256">
        <f t="shared" si="38"/>
        <v>-5363.465902747882</v>
      </c>
      <c r="T38" s="256">
        <f t="shared" si="38"/>
        <v>-5578.0045388577973</v>
      </c>
      <c r="U38" s="256">
        <f t="shared" si="38"/>
        <v>-5801.12472041211</v>
      </c>
      <c r="V38" s="256">
        <f t="shared" si="38"/>
        <v>-6033.1697092285949</v>
      </c>
      <c r="W38" s="256">
        <f t="shared" si="38"/>
        <v>-6274.4964975977382</v>
      </c>
      <c r="X38" s="256">
        <f t="shared" si="38"/>
        <v>-6525.4763575016477</v>
      </c>
      <c r="Y38" s="256">
        <f t="shared" si="38"/>
        <v>-6786.4954118017131</v>
      </c>
      <c r="Z38" s="256">
        <f t="shared" si="38"/>
        <v>-7057.9552282737832</v>
      </c>
      <c r="AA38" s="256">
        <f t="shared" si="38"/>
        <v>-7340.273437404735</v>
      </c>
      <c r="AB38" s="256">
        <f t="shared" si="38"/>
        <v>-7633.8843749009247</v>
      </c>
      <c r="AC38" s="256">
        <f t="shared" si="38"/>
        <v>-7939.2397498969622</v>
      </c>
      <c r="AD38" s="256">
        <f t="shared" si="38"/>
        <v>-8256.8093398928413</v>
      </c>
      <c r="AE38" s="256">
        <f t="shared" si="38"/>
        <v>-8587.0817134885547</v>
      </c>
      <c r="AF38" s="256">
        <f t="shared" si="38"/>
        <v>-8930.5649820280996</v>
      </c>
      <c r="AG38" s="256">
        <f t="shared" si="38"/>
        <v>-9287.7875813092232</v>
      </c>
      <c r="AH38" s="256">
        <f t="shared" si="38"/>
        <v>-9659.2990845615932</v>
      </c>
      <c r="AI38" s="256">
        <f t="shared" ref="AI38:AJ38" si="39">-AI34*AI37/$D$12</f>
        <v>-10045.671047944057</v>
      </c>
      <c r="AJ38" s="256">
        <f t="shared" si="39"/>
        <v>-10447.497889861817</v>
      </c>
    </row>
    <row r="39" spans="1:36" x14ac:dyDescent="0.15">
      <c r="A39" s="591"/>
      <c r="B39" s="455">
        <f t="shared" si="37"/>
        <v>0</v>
      </c>
      <c r="C39" s="594" t="str">
        <f>C35&amp;" Min Vacancy Rate"</f>
        <v>RV Min Vacancy Rate</v>
      </c>
      <c r="D39" s="139">
        <v>0</v>
      </c>
      <c r="E39" s="257">
        <v>0.05</v>
      </c>
      <c r="F39" s="256">
        <f>$E$39*-F35</f>
        <v>0</v>
      </c>
      <c r="G39" s="256">
        <f t="shared" ref="G39:AH39" si="40">$E$39*-G35</f>
        <v>0</v>
      </c>
      <c r="H39" s="256">
        <f t="shared" si="40"/>
        <v>0</v>
      </c>
      <c r="I39" s="256">
        <f t="shared" si="40"/>
        <v>0</v>
      </c>
      <c r="J39" s="256">
        <f t="shared" si="40"/>
        <v>0</v>
      </c>
      <c r="K39" s="256">
        <f t="shared" si="40"/>
        <v>0</v>
      </c>
      <c r="L39" s="256">
        <f t="shared" si="40"/>
        <v>0</v>
      </c>
      <c r="M39" s="256">
        <f t="shared" si="40"/>
        <v>0</v>
      </c>
      <c r="N39" s="256">
        <f t="shared" si="40"/>
        <v>0</v>
      </c>
      <c r="O39" s="256">
        <f t="shared" si="40"/>
        <v>0</v>
      </c>
      <c r="P39" s="256">
        <f t="shared" si="40"/>
        <v>0</v>
      </c>
      <c r="Q39" s="256">
        <f t="shared" si="40"/>
        <v>0</v>
      </c>
      <c r="R39" s="256">
        <f t="shared" si="40"/>
        <v>0</v>
      </c>
      <c r="S39" s="256">
        <f t="shared" si="40"/>
        <v>0</v>
      </c>
      <c r="T39" s="256">
        <f t="shared" si="40"/>
        <v>0</v>
      </c>
      <c r="U39" s="256">
        <f t="shared" si="40"/>
        <v>0</v>
      </c>
      <c r="V39" s="256">
        <f t="shared" si="40"/>
        <v>0</v>
      </c>
      <c r="W39" s="256">
        <f t="shared" si="40"/>
        <v>0</v>
      </c>
      <c r="X39" s="256">
        <f t="shared" si="40"/>
        <v>0</v>
      </c>
      <c r="Y39" s="256">
        <f t="shared" si="40"/>
        <v>0</v>
      </c>
      <c r="Z39" s="256">
        <f t="shared" si="40"/>
        <v>0</v>
      </c>
      <c r="AA39" s="256">
        <f t="shared" si="40"/>
        <v>0</v>
      </c>
      <c r="AB39" s="256">
        <f t="shared" si="40"/>
        <v>0</v>
      </c>
      <c r="AC39" s="256">
        <f t="shared" si="40"/>
        <v>0</v>
      </c>
      <c r="AD39" s="256">
        <f t="shared" si="40"/>
        <v>0</v>
      </c>
      <c r="AE39" s="256">
        <f t="shared" si="40"/>
        <v>0</v>
      </c>
      <c r="AF39" s="256">
        <f t="shared" si="40"/>
        <v>0</v>
      </c>
      <c r="AG39" s="256">
        <f t="shared" si="40"/>
        <v>0</v>
      </c>
      <c r="AH39" s="256">
        <f t="shared" si="40"/>
        <v>0</v>
      </c>
      <c r="AI39" s="256">
        <f t="shared" ref="AI39:AJ39" si="41">$E$39*-AI35</f>
        <v>0</v>
      </c>
      <c r="AJ39" s="256">
        <f t="shared" si="41"/>
        <v>0</v>
      </c>
    </row>
    <row r="40" spans="1:36" x14ac:dyDescent="0.15">
      <c r="A40" s="591"/>
      <c r="B40" s="455">
        <f t="shared" si="37"/>
        <v>0</v>
      </c>
      <c r="C40" s="594" t="str">
        <f t="shared" ref="C40" si="42">C36&amp;" Min Vacancy Rate"</f>
        <v>Other Min Vacancy Rate</v>
      </c>
      <c r="D40" s="139">
        <v>0</v>
      </c>
      <c r="E40" s="257">
        <v>0.05</v>
      </c>
      <c r="F40" s="256">
        <f t="shared" ref="F40:AH40" si="43">$E$40*-F36</f>
        <v>0</v>
      </c>
      <c r="G40" s="256">
        <f t="shared" si="43"/>
        <v>0</v>
      </c>
      <c r="H40" s="256">
        <f t="shared" si="43"/>
        <v>0</v>
      </c>
      <c r="I40" s="256">
        <f t="shared" si="43"/>
        <v>0</v>
      </c>
      <c r="J40" s="256">
        <f t="shared" si="43"/>
        <v>0</v>
      </c>
      <c r="K40" s="256">
        <f t="shared" si="43"/>
        <v>0</v>
      </c>
      <c r="L40" s="256">
        <f t="shared" si="43"/>
        <v>0</v>
      </c>
      <c r="M40" s="256">
        <f t="shared" si="43"/>
        <v>0</v>
      </c>
      <c r="N40" s="256">
        <f t="shared" si="43"/>
        <v>0</v>
      </c>
      <c r="O40" s="256">
        <f t="shared" si="43"/>
        <v>0</v>
      </c>
      <c r="P40" s="256">
        <f t="shared" si="43"/>
        <v>0</v>
      </c>
      <c r="Q40" s="256">
        <f t="shared" si="43"/>
        <v>0</v>
      </c>
      <c r="R40" s="256">
        <f t="shared" si="43"/>
        <v>0</v>
      </c>
      <c r="S40" s="256">
        <f t="shared" si="43"/>
        <v>0</v>
      </c>
      <c r="T40" s="256">
        <f t="shared" si="43"/>
        <v>0</v>
      </c>
      <c r="U40" s="256">
        <f t="shared" si="43"/>
        <v>0</v>
      </c>
      <c r="V40" s="256">
        <f t="shared" si="43"/>
        <v>0</v>
      </c>
      <c r="W40" s="256">
        <f t="shared" si="43"/>
        <v>0</v>
      </c>
      <c r="X40" s="256">
        <f t="shared" si="43"/>
        <v>0</v>
      </c>
      <c r="Y40" s="256">
        <f t="shared" si="43"/>
        <v>0</v>
      </c>
      <c r="Z40" s="256">
        <f t="shared" si="43"/>
        <v>0</v>
      </c>
      <c r="AA40" s="256">
        <f t="shared" si="43"/>
        <v>0</v>
      </c>
      <c r="AB40" s="256">
        <f t="shared" si="43"/>
        <v>0</v>
      </c>
      <c r="AC40" s="256">
        <f t="shared" si="43"/>
        <v>0</v>
      </c>
      <c r="AD40" s="256">
        <f t="shared" si="43"/>
        <v>0</v>
      </c>
      <c r="AE40" s="256">
        <f t="shared" si="43"/>
        <v>0</v>
      </c>
      <c r="AF40" s="256">
        <f t="shared" si="43"/>
        <v>0</v>
      </c>
      <c r="AG40" s="256">
        <f t="shared" si="43"/>
        <v>0</v>
      </c>
      <c r="AH40" s="256">
        <f t="shared" si="43"/>
        <v>0</v>
      </c>
      <c r="AI40" s="256">
        <f t="shared" ref="AI40:AJ40" si="44">$E$40*-AI36</f>
        <v>0</v>
      </c>
      <c r="AJ40" s="256">
        <f t="shared" si="44"/>
        <v>0</v>
      </c>
    </row>
    <row r="41" spans="1:36" ht="14" thickBot="1" x14ac:dyDescent="0.2">
      <c r="A41" s="591">
        <v>4101</v>
      </c>
      <c r="B41" s="681">
        <f t="shared" si="37"/>
        <v>529968</v>
      </c>
      <c r="C41" s="682" t="s">
        <v>138</v>
      </c>
      <c r="D41" s="683">
        <f>(SUM(D34:D36)+SUM(D38:D40))</f>
        <v>501528</v>
      </c>
      <c r="E41" s="684">
        <f>F41*12</f>
        <v>529968</v>
      </c>
      <c r="F41" s="685">
        <f t="shared" ref="F41:AH41" si="45">SUM(F34:F36)+SUM(F38:F40)</f>
        <v>44164</v>
      </c>
      <c r="G41" s="685">
        <f t="shared" si="45"/>
        <v>51744</v>
      </c>
      <c r="H41" s="685">
        <f t="shared" si="45"/>
        <v>59924</v>
      </c>
      <c r="I41" s="685">
        <f t="shared" si="45"/>
        <v>67845.2</v>
      </c>
      <c r="J41" s="685">
        <f t="shared" si="45"/>
        <v>71597.7</v>
      </c>
      <c r="K41" s="685">
        <f t="shared" si="45"/>
        <v>74461.607999999993</v>
      </c>
      <c r="L41" s="685">
        <f t="shared" si="45"/>
        <v>77440.072320000007</v>
      </c>
      <c r="M41" s="685">
        <f t="shared" si="45"/>
        <v>80537.675212800023</v>
      </c>
      <c r="N41" s="685">
        <f t="shared" si="45"/>
        <v>83759.182221312003</v>
      </c>
      <c r="O41" s="685">
        <f t="shared" si="45"/>
        <v>87109.549510164492</v>
      </c>
      <c r="P41" s="685">
        <f t="shared" si="45"/>
        <v>90593.931490571063</v>
      </c>
      <c r="Q41" s="685">
        <f t="shared" si="45"/>
        <v>94217.688750193905</v>
      </c>
      <c r="R41" s="685">
        <f t="shared" si="45"/>
        <v>97986.396300201668</v>
      </c>
      <c r="S41" s="685">
        <f t="shared" si="45"/>
        <v>101905.85215220976</v>
      </c>
      <c r="T41" s="685">
        <f t="shared" si="45"/>
        <v>105982.08623829814</v>
      </c>
      <c r="U41" s="685">
        <f t="shared" si="45"/>
        <v>110221.36968783007</v>
      </c>
      <c r="V41" s="685">
        <f t="shared" si="45"/>
        <v>114630.2244753433</v>
      </c>
      <c r="W41" s="685">
        <f t="shared" si="45"/>
        <v>119215.43345435703</v>
      </c>
      <c r="X41" s="685">
        <f t="shared" si="45"/>
        <v>123984.05079253131</v>
      </c>
      <c r="Y41" s="685">
        <f t="shared" si="45"/>
        <v>128943.41282423255</v>
      </c>
      <c r="Z41" s="685">
        <f t="shared" si="45"/>
        <v>134101.14933720187</v>
      </c>
      <c r="AA41" s="685">
        <f t="shared" si="45"/>
        <v>139465.19531068995</v>
      </c>
      <c r="AB41" s="685">
        <f t="shared" si="45"/>
        <v>145043.80312311757</v>
      </c>
      <c r="AC41" s="685">
        <f t="shared" si="45"/>
        <v>150845.55524804228</v>
      </c>
      <c r="AD41" s="685">
        <f t="shared" si="45"/>
        <v>156879.37745796397</v>
      </c>
      <c r="AE41" s="685">
        <f t="shared" si="45"/>
        <v>163154.55255628255</v>
      </c>
      <c r="AF41" s="685">
        <f t="shared" si="45"/>
        <v>169680.73465853388</v>
      </c>
      <c r="AG41" s="685">
        <f t="shared" si="45"/>
        <v>176467.96404487526</v>
      </c>
      <c r="AH41" s="685">
        <f t="shared" si="45"/>
        <v>183526.68260667028</v>
      </c>
      <c r="AI41" s="685">
        <f t="shared" ref="AI41:AJ41" si="46">SUM(AI34:AI36)+SUM(AI38:AI40)</f>
        <v>190867.74991093707</v>
      </c>
      <c r="AJ41" s="685">
        <f t="shared" si="46"/>
        <v>198502.45990737455</v>
      </c>
    </row>
    <row r="42" spans="1:36" ht="14" thickTop="1" x14ac:dyDescent="0.15">
      <c r="A42" s="591"/>
      <c r="C42" s="626"/>
      <c r="D42" s="21"/>
      <c r="E42" s="309"/>
      <c r="F42" s="591"/>
      <c r="G42" s="591"/>
      <c r="H42" s="591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1"/>
      <c r="Z42" s="591"/>
      <c r="AA42" s="591"/>
      <c r="AB42" s="591"/>
      <c r="AC42" s="591"/>
      <c r="AD42" s="591"/>
      <c r="AE42" s="591"/>
      <c r="AF42" s="591"/>
      <c r="AG42" s="591"/>
      <c r="AH42" s="591"/>
      <c r="AI42" s="591"/>
      <c r="AJ42" s="591"/>
    </row>
    <row r="43" spans="1:36" ht="16" x14ac:dyDescent="0.3">
      <c r="A43" s="591"/>
      <c r="C43" s="7" t="s">
        <v>139</v>
      </c>
      <c r="D43" s="22" t="s">
        <v>140</v>
      </c>
      <c r="E43" s="310" t="s">
        <v>140</v>
      </c>
      <c r="F43" s="591"/>
      <c r="G43" s="591"/>
      <c r="H43" s="591"/>
      <c r="I43" s="591"/>
      <c r="J43" s="591"/>
      <c r="K43" s="591"/>
      <c r="L43" s="591"/>
      <c r="M43" s="591"/>
      <c r="N43" s="591"/>
      <c r="O43" s="591"/>
      <c r="P43" s="591"/>
      <c r="Q43" s="591"/>
      <c r="R43" s="591"/>
      <c r="S43" s="591"/>
      <c r="T43" s="591"/>
      <c r="U43" s="591"/>
      <c r="V43" s="591"/>
      <c r="W43" s="591"/>
      <c r="X43" s="591"/>
      <c r="Y43" s="591"/>
      <c r="Z43" s="591"/>
      <c r="AA43" s="591"/>
      <c r="AB43" s="591"/>
      <c r="AC43" s="591"/>
      <c r="AD43" s="591"/>
      <c r="AE43" s="591"/>
      <c r="AF43" s="591"/>
      <c r="AG43" s="591"/>
      <c r="AH43" s="591"/>
      <c r="AI43" s="591"/>
      <c r="AJ43" s="591"/>
    </row>
    <row r="44" spans="1:36" x14ac:dyDescent="0.15">
      <c r="A44" s="616">
        <v>4403</v>
      </c>
      <c r="B44" s="457">
        <f t="shared" ref="B44:B53" si="47">(F44*12)</f>
        <v>137658</v>
      </c>
      <c r="C44" s="594" t="s">
        <v>141</v>
      </c>
      <c r="D44" s="136">
        <v>137658</v>
      </c>
      <c r="E44" s="257"/>
      <c r="F44" s="256">
        <f>D44/12</f>
        <v>11471.5</v>
      </c>
      <c r="G44" s="256">
        <f t="shared" ref="G44:AH44" si="48">F44*(1+GlobalInflation)</f>
        <v>11700.93</v>
      </c>
      <c r="H44" s="256">
        <f t="shared" si="48"/>
        <v>11934.9486</v>
      </c>
      <c r="I44" s="256">
        <f t="shared" si="48"/>
        <v>12173.647572</v>
      </c>
      <c r="J44" s="256">
        <f t="shared" si="48"/>
        <v>12417.12052344</v>
      </c>
      <c r="K44" s="256">
        <f t="shared" si="48"/>
        <v>12665.462933908801</v>
      </c>
      <c r="L44" s="256">
        <f t="shared" si="48"/>
        <v>12918.772192586977</v>
      </c>
      <c r="M44" s="256">
        <f t="shared" si="48"/>
        <v>13177.147636438716</v>
      </c>
      <c r="N44" s="256">
        <f t="shared" si="48"/>
        <v>13440.690589167491</v>
      </c>
      <c r="O44" s="256">
        <f t="shared" si="48"/>
        <v>13709.50440095084</v>
      </c>
      <c r="P44" s="256">
        <f t="shared" si="48"/>
        <v>13983.694488969857</v>
      </c>
      <c r="Q44" s="256">
        <f t="shared" si="48"/>
        <v>14263.368378749254</v>
      </c>
      <c r="R44" s="256">
        <f t="shared" si="48"/>
        <v>14548.635746324238</v>
      </c>
      <c r="S44" s="256">
        <f t="shared" si="48"/>
        <v>14839.608461250724</v>
      </c>
      <c r="T44" s="256">
        <f t="shared" si="48"/>
        <v>15136.400630475739</v>
      </c>
      <c r="U44" s="256">
        <f t="shared" si="48"/>
        <v>15439.128643085254</v>
      </c>
      <c r="V44" s="256">
        <f t="shared" si="48"/>
        <v>15747.911215946959</v>
      </c>
      <c r="W44" s="256">
        <f t="shared" si="48"/>
        <v>16062.869440265898</v>
      </c>
      <c r="X44" s="256">
        <f t="shared" si="48"/>
        <v>16384.126829071218</v>
      </c>
      <c r="Y44" s="256">
        <f t="shared" si="48"/>
        <v>16711.809365652643</v>
      </c>
      <c r="Z44" s="256">
        <f t="shared" si="48"/>
        <v>17046.045552965697</v>
      </c>
      <c r="AA44" s="256">
        <f t="shared" si="48"/>
        <v>17386.966464025012</v>
      </c>
      <c r="AB44" s="256">
        <f t="shared" si="48"/>
        <v>17734.705793305511</v>
      </c>
      <c r="AC44" s="256">
        <f t="shared" si="48"/>
        <v>18089.399909171621</v>
      </c>
      <c r="AD44" s="256">
        <f t="shared" si="48"/>
        <v>18451.187907355055</v>
      </c>
      <c r="AE44" s="256">
        <f t="shared" si="48"/>
        <v>18820.211665502156</v>
      </c>
      <c r="AF44" s="256">
        <f t="shared" si="48"/>
        <v>19196.615898812201</v>
      </c>
      <c r="AG44" s="256">
        <f t="shared" si="48"/>
        <v>19580.548216788444</v>
      </c>
      <c r="AH44" s="256">
        <f t="shared" si="48"/>
        <v>19972.159181124214</v>
      </c>
      <c r="AI44" s="256">
        <f t="shared" ref="AI44:AI49" si="49">AH44*(1+GlobalInflation)</f>
        <v>20371.602364746697</v>
      </c>
      <c r="AJ44" s="256">
        <f t="shared" ref="AJ44:AJ49" si="50">AI44*(1+GlobalInflation)</f>
        <v>20779.03441204163</v>
      </c>
    </row>
    <row r="45" spans="1:36" x14ac:dyDescent="0.15">
      <c r="A45" s="616">
        <v>4401</v>
      </c>
      <c r="B45" s="457">
        <f t="shared" si="47"/>
        <v>0</v>
      </c>
      <c r="C45" s="594" t="s">
        <v>142</v>
      </c>
      <c r="D45" s="136">
        <v>0</v>
      </c>
      <c r="E45" s="257"/>
      <c r="F45" s="256">
        <f t="shared" ref="F45:F49" si="51">D45/12</f>
        <v>0</v>
      </c>
      <c r="G45" s="256">
        <f t="shared" ref="G45:AH45" si="52">F45*(1+GlobalInflation)</f>
        <v>0</v>
      </c>
      <c r="H45" s="256">
        <f t="shared" si="52"/>
        <v>0</v>
      </c>
      <c r="I45" s="256">
        <f t="shared" si="52"/>
        <v>0</v>
      </c>
      <c r="J45" s="256">
        <f t="shared" si="52"/>
        <v>0</v>
      </c>
      <c r="K45" s="256">
        <f t="shared" si="52"/>
        <v>0</v>
      </c>
      <c r="L45" s="256">
        <f t="shared" si="52"/>
        <v>0</v>
      </c>
      <c r="M45" s="256">
        <f t="shared" si="52"/>
        <v>0</v>
      </c>
      <c r="N45" s="256">
        <f t="shared" si="52"/>
        <v>0</v>
      </c>
      <c r="O45" s="256">
        <f t="shared" si="52"/>
        <v>0</v>
      </c>
      <c r="P45" s="256">
        <f t="shared" si="52"/>
        <v>0</v>
      </c>
      <c r="Q45" s="256">
        <f t="shared" si="52"/>
        <v>0</v>
      </c>
      <c r="R45" s="256">
        <f t="shared" si="52"/>
        <v>0</v>
      </c>
      <c r="S45" s="256">
        <f t="shared" si="52"/>
        <v>0</v>
      </c>
      <c r="T45" s="256">
        <f t="shared" si="52"/>
        <v>0</v>
      </c>
      <c r="U45" s="256">
        <f t="shared" si="52"/>
        <v>0</v>
      </c>
      <c r="V45" s="256">
        <f t="shared" si="52"/>
        <v>0</v>
      </c>
      <c r="W45" s="256">
        <f t="shared" si="52"/>
        <v>0</v>
      </c>
      <c r="X45" s="256">
        <f t="shared" si="52"/>
        <v>0</v>
      </c>
      <c r="Y45" s="256">
        <f t="shared" si="52"/>
        <v>0</v>
      </c>
      <c r="Z45" s="256">
        <f t="shared" si="52"/>
        <v>0</v>
      </c>
      <c r="AA45" s="256">
        <f t="shared" si="52"/>
        <v>0</v>
      </c>
      <c r="AB45" s="256">
        <f t="shared" si="52"/>
        <v>0</v>
      </c>
      <c r="AC45" s="256">
        <f t="shared" si="52"/>
        <v>0</v>
      </c>
      <c r="AD45" s="256">
        <f t="shared" si="52"/>
        <v>0</v>
      </c>
      <c r="AE45" s="256">
        <f t="shared" si="52"/>
        <v>0</v>
      </c>
      <c r="AF45" s="256">
        <f t="shared" si="52"/>
        <v>0</v>
      </c>
      <c r="AG45" s="256">
        <f t="shared" si="52"/>
        <v>0</v>
      </c>
      <c r="AH45" s="256">
        <f t="shared" si="52"/>
        <v>0</v>
      </c>
      <c r="AI45" s="256">
        <f t="shared" si="49"/>
        <v>0</v>
      </c>
      <c r="AJ45" s="256">
        <f t="shared" si="50"/>
        <v>0</v>
      </c>
    </row>
    <row r="46" spans="1:36" x14ac:dyDescent="0.15">
      <c r="A46" s="616">
        <v>4404</v>
      </c>
      <c r="B46" s="457">
        <f t="shared" si="47"/>
        <v>0</v>
      </c>
      <c r="C46" s="594" t="s">
        <v>143</v>
      </c>
      <c r="D46" s="136">
        <v>0</v>
      </c>
      <c r="E46" s="257"/>
      <c r="F46" s="256">
        <f t="shared" si="51"/>
        <v>0</v>
      </c>
      <c r="G46" s="256">
        <f t="shared" ref="G46:AH46" si="53">F46*(1+GlobalInflation)</f>
        <v>0</v>
      </c>
      <c r="H46" s="256">
        <f t="shared" si="53"/>
        <v>0</v>
      </c>
      <c r="I46" s="256">
        <f t="shared" si="53"/>
        <v>0</v>
      </c>
      <c r="J46" s="256">
        <f t="shared" si="53"/>
        <v>0</v>
      </c>
      <c r="K46" s="256">
        <f t="shared" si="53"/>
        <v>0</v>
      </c>
      <c r="L46" s="256">
        <f t="shared" si="53"/>
        <v>0</v>
      </c>
      <c r="M46" s="256">
        <f t="shared" si="53"/>
        <v>0</v>
      </c>
      <c r="N46" s="256">
        <f t="shared" si="53"/>
        <v>0</v>
      </c>
      <c r="O46" s="256">
        <f t="shared" si="53"/>
        <v>0</v>
      </c>
      <c r="P46" s="256">
        <f t="shared" si="53"/>
        <v>0</v>
      </c>
      <c r="Q46" s="256">
        <f t="shared" si="53"/>
        <v>0</v>
      </c>
      <c r="R46" s="256">
        <f t="shared" si="53"/>
        <v>0</v>
      </c>
      <c r="S46" s="256">
        <f t="shared" si="53"/>
        <v>0</v>
      </c>
      <c r="T46" s="256">
        <f t="shared" si="53"/>
        <v>0</v>
      </c>
      <c r="U46" s="256">
        <f t="shared" si="53"/>
        <v>0</v>
      </c>
      <c r="V46" s="256">
        <f t="shared" si="53"/>
        <v>0</v>
      </c>
      <c r="W46" s="256">
        <f t="shared" si="53"/>
        <v>0</v>
      </c>
      <c r="X46" s="256">
        <f t="shared" si="53"/>
        <v>0</v>
      </c>
      <c r="Y46" s="256">
        <f t="shared" si="53"/>
        <v>0</v>
      </c>
      <c r="Z46" s="256">
        <f t="shared" si="53"/>
        <v>0</v>
      </c>
      <c r="AA46" s="256">
        <f t="shared" si="53"/>
        <v>0</v>
      </c>
      <c r="AB46" s="256">
        <f t="shared" si="53"/>
        <v>0</v>
      </c>
      <c r="AC46" s="256">
        <f t="shared" si="53"/>
        <v>0</v>
      </c>
      <c r="AD46" s="256">
        <f t="shared" si="53"/>
        <v>0</v>
      </c>
      <c r="AE46" s="256">
        <f t="shared" si="53"/>
        <v>0</v>
      </c>
      <c r="AF46" s="256">
        <f t="shared" si="53"/>
        <v>0</v>
      </c>
      <c r="AG46" s="256">
        <f t="shared" si="53"/>
        <v>0</v>
      </c>
      <c r="AH46" s="256">
        <f t="shared" si="53"/>
        <v>0</v>
      </c>
      <c r="AI46" s="256">
        <f t="shared" si="49"/>
        <v>0</v>
      </c>
      <c r="AJ46" s="256">
        <f t="shared" si="50"/>
        <v>0</v>
      </c>
    </row>
    <row r="47" spans="1:36" x14ac:dyDescent="0.15">
      <c r="A47" s="616">
        <v>4405</v>
      </c>
      <c r="B47" s="457">
        <f t="shared" si="47"/>
        <v>0</v>
      </c>
      <c r="C47" s="594" t="s">
        <v>144</v>
      </c>
      <c r="D47" s="136">
        <v>0</v>
      </c>
      <c r="E47" s="257"/>
      <c r="F47" s="256">
        <f t="shared" si="51"/>
        <v>0</v>
      </c>
      <c r="G47" s="256">
        <f t="shared" ref="G47:AH47" si="54">F47*(1+GlobalInflation)</f>
        <v>0</v>
      </c>
      <c r="H47" s="256">
        <f t="shared" si="54"/>
        <v>0</v>
      </c>
      <c r="I47" s="256">
        <f t="shared" si="54"/>
        <v>0</v>
      </c>
      <c r="J47" s="256">
        <f t="shared" si="54"/>
        <v>0</v>
      </c>
      <c r="K47" s="256">
        <f t="shared" si="54"/>
        <v>0</v>
      </c>
      <c r="L47" s="256">
        <f t="shared" si="54"/>
        <v>0</v>
      </c>
      <c r="M47" s="256">
        <f t="shared" si="54"/>
        <v>0</v>
      </c>
      <c r="N47" s="256">
        <f t="shared" si="54"/>
        <v>0</v>
      </c>
      <c r="O47" s="256">
        <f t="shared" si="54"/>
        <v>0</v>
      </c>
      <c r="P47" s="256">
        <f t="shared" si="54"/>
        <v>0</v>
      </c>
      <c r="Q47" s="256">
        <f t="shared" si="54"/>
        <v>0</v>
      </c>
      <c r="R47" s="256">
        <f t="shared" si="54"/>
        <v>0</v>
      </c>
      <c r="S47" s="256">
        <f t="shared" si="54"/>
        <v>0</v>
      </c>
      <c r="T47" s="256">
        <f t="shared" si="54"/>
        <v>0</v>
      </c>
      <c r="U47" s="256">
        <f t="shared" si="54"/>
        <v>0</v>
      </c>
      <c r="V47" s="256">
        <f t="shared" si="54"/>
        <v>0</v>
      </c>
      <c r="W47" s="256">
        <f t="shared" si="54"/>
        <v>0</v>
      </c>
      <c r="X47" s="256">
        <f t="shared" si="54"/>
        <v>0</v>
      </c>
      <c r="Y47" s="256">
        <f t="shared" si="54"/>
        <v>0</v>
      </c>
      <c r="Z47" s="256">
        <f t="shared" si="54"/>
        <v>0</v>
      </c>
      <c r="AA47" s="256">
        <f t="shared" si="54"/>
        <v>0</v>
      </c>
      <c r="AB47" s="256">
        <f t="shared" si="54"/>
        <v>0</v>
      </c>
      <c r="AC47" s="256">
        <f t="shared" si="54"/>
        <v>0</v>
      </c>
      <c r="AD47" s="256">
        <f t="shared" si="54"/>
        <v>0</v>
      </c>
      <c r="AE47" s="256">
        <f t="shared" si="54"/>
        <v>0</v>
      </c>
      <c r="AF47" s="256">
        <f t="shared" si="54"/>
        <v>0</v>
      </c>
      <c r="AG47" s="256">
        <f t="shared" si="54"/>
        <v>0</v>
      </c>
      <c r="AH47" s="256">
        <f t="shared" si="54"/>
        <v>0</v>
      </c>
      <c r="AI47" s="256">
        <f t="shared" si="49"/>
        <v>0</v>
      </c>
      <c r="AJ47" s="256">
        <f t="shared" si="50"/>
        <v>0</v>
      </c>
    </row>
    <row r="48" spans="1:36" x14ac:dyDescent="0.15">
      <c r="A48" s="616">
        <v>4402</v>
      </c>
      <c r="B48" s="457">
        <f t="shared" si="47"/>
        <v>0</v>
      </c>
      <c r="C48" s="594" t="s">
        <v>145</v>
      </c>
      <c r="D48" s="136">
        <v>0</v>
      </c>
      <c r="E48" s="257"/>
      <c r="F48" s="256">
        <f t="shared" si="51"/>
        <v>0</v>
      </c>
      <c r="G48" s="256">
        <f t="shared" ref="G48:AH48" si="55">F48*(1+GlobalInflation)</f>
        <v>0</v>
      </c>
      <c r="H48" s="256">
        <f t="shared" si="55"/>
        <v>0</v>
      </c>
      <c r="I48" s="256">
        <f t="shared" si="55"/>
        <v>0</v>
      </c>
      <c r="J48" s="256">
        <f t="shared" si="55"/>
        <v>0</v>
      </c>
      <c r="K48" s="256">
        <f t="shared" si="55"/>
        <v>0</v>
      </c>
      <c r="L48" s="256">
        <f t="shared" si="55"/>
        <v>0</v>
      </c>
      <c r="M48" s="256">
        <f t="shared" si="55"/>
        <v>0</v>
      </c>
      <c r="N48" s="256">
        <f t="shared" si="55"/>
        <v>0</v>
      </c>
      <c r="O48" s="256">
        <f t="shared" si="55"/>
        <v>0</v>
      </c>
      <c r="P48" s="256">
        <f t="shared" si="55"/>
        <v>0</v>
      </c>
      <c r="Q48" s="256">
        <f t="shared" si="55"/>
        <v>0</v>
      </c>
      <c r="R48" s="256">
        <f t="shared" si="55"/>
        <v>0</v>
      </c>
      <c r="S48" s="256">
        <f t="shared" si="55"/>
        <v>0</v>
      </c>
      <c r="T48" s="256">
        <f t="shared" si="55"/>
        <v>0</v>
      </c>
      <c r="U48" s="256">
        <f t="shared" si="55"/>
        <v>0</v>
      </c>
      <c r="V48" s="256">
        <f t="shared" si="55"/>
        <v>0</v>
      </c>
      <c r="W48" s="256">
        <f t="shared" si="55"/>
        <v>0</v>
      </c>
      <c r="X48" s="256">
        <f t="shared" si="55"/>
        <v>0</v>
      </c>
      <c r="Y48" s="256">
        <f t="shared" si="55"/>
        <v>0</v>
      </c>
      <c r="Z48" s="256">
        <f t="shared" si="55"/>
        <v>0</v>
      </c>
      <c r="AA48" s="256">
        <f t="shared" si="55"/>
        <v>0</v>
      </c>
      <c r="AB48" s="256">
        <f t="shared" si="55"/>
        <v>0</v>
      </c>
      <c r="AC48" s="256">
        <f t="shared" si="55"/>
        <v>0</v>
      </c>
      <c r="AD48" s="256">
        <f t="shared" si="55"/>
        <v>0</v>
      </c>
      <c r="AE48" s="256">
        <f t="shared" si="55"/>
        <v>0</v>
      </c>
      <c r="AF48" s="256">
        <f t="shared" si="55"/>
        <v>0</v>
      </c>
      <c r="AG48" s="256">
        <f t="shared" si="55"/>
        <v>0</v>
      </c>
      <c r="AH48" s="256">
        <f t="shared" si="55"/>
        <v>0</v>
      </c>
      <c r="AI48" s="256">
        <f t="shared" si="49"/>
        <v>0</v>
      </c>
      <c r="AJ48" s="256">
        <f t="shared" si="50"/>
        <v>0</v>
      </c>
    </row>
    <row r="49" spans="1:42" x14ac:dyDescent="0.15">
      <c r="A49" s="616">
        <v>4998</v>
      </c>
      <c r="B49" s="458">
        <f t="shared" si="47"/>
        <v>0</v>
      </c>
      <c r="C49" s="594" t="s">
        <v>146</v>
      </c>
      <c r="D49" s="140">
        <v>0</v>
      </c>
      <c r="E49" s="258"/>
      <c r="F49" s="256">
        <f t="shared" si="51"/>
        <v>0</v>
      </c>
      <c r="G49" s="256">
        <f t="shared" ref="G49:AH49" si="56">F49*(1+GlobalInflation)</f>
        <v>0</v>
      </c>
      <c r="H49" s="256">
        <f t="shared" si="56"/>
        <v>0</v>
      </c>
      <c r="I49" s="256">
        <f t="shared" si="56"/>
        <v>0</v>
      </c>
      <c r="J49" s="256">
        <f t="shared" si="56"/>
        <v>0</v>
      </c>
      <c r="K49" s="256">
        <f t="shared" si="56"/>
        <v>0</v>
      </c>
      <c r="L49" s="256">
        <f t="shared" si="56"/>
        <v>0</v>
      </c>
      <c r="M49" s="256">
        <f t="shared" si="56"/>
        <v>0</v>
      </c>
      <c r="N49" s="256">
        <f t="shared" si="56"/>
        <v>0</v>
      </c>
      <c r="O49" s="256">
        <f t="shared" si="56"/>
        <v>0</v>
      </c>
      <c r="P49" s="256">
        <f t="shared" si="56"/>
        <v>0</v>
      </c>
      <c r="Q49" s="256">
        <f t="shared" si="56"/>
        <v>0</v>
      </c>
      <c r="R49" s="256">
        <f t="shared" si="56"/>
        <v>0</v>
      </c>
      <c r="S49" s="256">
        <f t="shared" si="56"/>
        <v>0</v>
      </c>
      <c r="T49" s="256">
        <f t="shared" si="56"/>
        <v>0</v>
      </c>
      <c r="U49" s="256">
        <f t="shared" si="56"/>
        <v>0</v>
      </c>
      <c r="V49" s="256">
        <f t="shared" si="56"/>
        <v>0</v>
      </c>
      <c r="W49" s="256">
        <f t="shared" si="56"/>
        <v>0</v>
      </c>
      <c r="X49" s="256">
        <f t="shared" si="56"/>
        <v>0</v>
      </c>
      <c r="Y49" s="256">
        <f t="shared" si="56"/>
        <v>0</v>
      </c>
      <c r="Z49" s="256">
        <f t="shared" si="56"/>
        <v>0</v>
      </c>
      <c r="AA49" s="256">
        <f t="shared" si="56"/>
        <v>0</v>
      </c>
      <c r="AB49" s="256">
        <f t="shared" si="56"/>
        <v>0</v>
      </c>
      <c r="AC49" s="256">
        <f t="shared" si="56"/>
        <v>0</v>
      </c>
      <c r="AD49" s="256">
        <f t="shared" si="56"/>
        <v>0</v>
      </c>
      <c r="AE49" s="256">
        <f t="shared" si="56"/>
        <v>0</v>
      </c>
      <c r="AF49" s="256">
        <f t="shared" si="56"/>
        <v>0</v>
      </c>
      <c r="AG49" s="256">
        <f t="shared" si="56"/>
        <v>0</v>
      </c>
      <c r="AH49" s="256">
        <f t="shared" si="56"/>
        <v>0</v>
      </c>
      <c r="AI49" s="256">
        <f t="shared" si="49"/>
        <v>0</v>
      </c>
      <c r="AJ49" s="256">
        <f t="shared" si="50"/>
        <v>0</v>
      </c>
      <c r="AK49" s="591"/>
      <c r="AL49" s="591"/>
      <c r="AM49" s="591"/>
      <c r="AN49" s="591"/>
      <c r="AO49" s="591"/>
      <c r="AP49" s="591"/>
    </row>
    <row r="50" spans="1:42" x14ac:dyDescent="0.15">
      <c r="A50" s="591"/>
      <c r="B50" s="457">
        <f t="shared" si="47"/>
        <v>137658</v>
      </c>
      <c r="C50" s="725" t="s">
        <v>147</v>
      </c>
      <c r="D50" s="141">
        <f>SUM(D44:D49)</f>
        <v>137658</v>
      </c>
      <c r="E50" s="726">
        <f>F50*12</f>
        <v>137658</v>
      </c>
      <c r="F50" s="727">
        <f t="shared" ref="F50:AH50" si="57">SUM(F44:F49)</f>
        <v>11471.5</v>
      </c>
      <c r="G50" s="727">
        <f t="shared" si="57"/>
        <v>11700.93</v>
      </c>
      <c r="H50" s="727">
        <f t="shared" si="57"/>
        <v>11934.9486</v>
      </c>
      <c r="I50" s="727">
        <f t="shared" si="57"/>
        <v>12173.647572</v>
      </c>
      <c r="J50" s="727">
        <f t="shared" si="57"/>
        <v>12417.12052344</v>
      </c>
      <c r="K50" s="727">
        <f t="shared" si="57"/>
        <v>12665.462933908801</v>
      </c>
      <c r="L50" s="727">
        <f t="shared" si="57"/>
        <v>12918.772192586977</v>
      </c>
      <c r="M50" s="727">
        <f t="shared" si="57"/>
        <v>13177.147636438716</v>
      </c>
      <c r="N50" s="727">
        <f t="shared" si="57"/>
        <v>13440.690589167491</v>
      </c>
      <c r="O50" s="727">
        <f t="shared" si="57"/>
        <v>13709.50440095084</v>
      </c>
      <c r="P50" s="727">
        <f t="shared" si="57"/>
        <v>13983.694488969857</v>
      </c>
      <c r="Q50" s="727">
        <f t="shared" si="57"/>
        <v>14263.368378749254</v>
      </c>
      <c r="R50" s="727">
        <f t="shared" si="57"/>
        <v>14548.635746324238</v>
      </c>
      <c r="S50" s="727">
        <f t="shared" si="57"/>
        <v>14839.608461250724</v>
      </c>
      <c r="T50" s="727">
        <f t="shared" si="57"/>
        <v>15136.400630475739</v>
      </c>
      <c r="U50" s="727">
        <f t="shared" si="57"/>
        <v>15439.128643085254</v>
      </c>
      <c r="V50" s="727">
        <f t="shared" si="57"/>
        <v>15747.911215946959</v>
      </c>
      <c r="W50" s="727">
        <f t="shared" si="57"/>
        <v>16062.869440265898</v>
      </c>
      <c r="X50" s="727">
        <f t="shared" si="57"/>
        <v>16384.126829071218</v>
      </c>
      <c r="Y50" s="727">
        <f t="shared" si="57"/>
        <v>16711.809365652643</v>
      </c>
      <c r="Z50" s="727">
        <f t="shared" si="57"/>
        <v>17046.045552965697</v>
      </c>
      <c r="AA50" s="727">
        <f t="shared" si="57"/>
        <v>17386.966464025012</v>
      </c>
      <c r="AB50" s="727">
        <f t="shared" si="57"/>
        <v>17734.705793305511</v>
      </c>
      <c r="AC50" s="727">
        <f t="shared" si="57"/>
        <v>18089.399909171621</v>
      </c>
      <c r="AD50" s="727">
        <f t="shared" si="57"/>
        <v>18451.187907355055</v>
      </c>
      <c r="AE50" s="727">
        <f t="shared" si="57"/>
        <v>18820.211665502156</v>
      </c>
      <c r="AF50" s="727">
        <f t="shared" si="57"/>
        <v>19196.615898812201</v>
      </c>
      <c r="AG50" s="727">
        <f t="shared" si="57"/>
        <v>19580.548216788444</v>
      </c>
      <c r="AH50" s="727">
        <f t="shared" si="57"/>
        <v>19972.159181124214</v>
      </c>
      <c r="AI50" s="727">
        <f t="shared" ref="AI50:AJ50" si="58">SUM(AI44:AI49)</f>
        <v>20371.602364746697</v>
      </c>
      <c r="AJ50" s="727">
        <f t="shared" si="58"/>
        <v>20779.03441204163</v>
      </c>
      <c r="AK50" s="591"/>
      <c r="AL50" s="591"/>
      <c r="AM50" s="591"/>
      <c r="AN50" s="591"/>
      <c r="AO50" s="591"/>
      <c r="AP50" s="591"/>
    </row>
    <row r="51" spans="1:42" x14ac:dyDescent="0.15">
      <c r="A51" s="616">
        <v>4134</v>
      </c>
      <c r="B51" s="457">
        <f t="shared" si="47"/>
        <v>0</v>
      </c>
      <c r="C51" s="612" t="s">
        <v>148</v>
      </c>
      <c r="D51" s="136">
        <v>0</v>
      </c>
      <c r="E51" s="309">
        <f>F51*12</f>
        <v>0</v>
      </c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591"/>
      <c r="AL51" s="591"/>
      <c r="AM51" s="591"/>
      <c r="AN51" s="591"/>
      <c r="AO51" s="591"/>
      <c r="AP51" s="591"/>
    </row>
    <row r="52" spans="1:42" x14ac:dyDescent="0.15">
      <c r="A52" s="591"/>
      <c r="C52" s="591"/>
      <c r="D52" s="136">
        <f>D50+D41+D51</f>
        <v>639186</v>
      </c>
      <c r="E52" s="311">
        <f>F53*12</f>
        <v>667626</v>
      </c>
      <c r="F52" s="308">
        <f t="shared" ref="F52:K52" si="59">F53*12</f>
        <v>667626</v>
      </c>
      <c r="G52" s="308">
        <f t="shared" si="59"/>
        <v>761339.16</v>
      </c>
      <c r="H52" s="308">
        <f t="shared" si="59"/>
        <v>862307.38320000004</v>
      </c>
      <c r="I52" s="308">
        <f t="shared" si="59"/>
        <v>960226.17086399999</v>
      </c>
      <c r="J52" s="308">
        <f t="shared" si="59"/>
        <v>1008177.8462812799</v>
      </c>
      <c r="K52" s="308">
        <f t="shared" si="59"/>
        <v>1045524.8512069054</v>
      </c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591"/>
      <c r="AL52" s="591"/>
      <c r="AM52" s="591"/>
      <c r="AN52" s="591"/>
      <c r="AO52" s="591"/>
      <c r="AP52" s="591"/>
    </row>
    <row r="53" spans="1:42" ht="14" thickBot="1" x14ac:dyDescent="0.2">
      <c r="A53" s="591"/>
      <c r="B53" s="686">
        <f t="shared" si="47"/>
        <v>667626</v>
      </c>
      <c r="C53" s="677" t="s">
        <v>149</v>
      </c>
      <c r="D53" s="687">
        <f>D52/12</f>
        <v>53265.5</v>
      </c>
      <c r="E53" s="684">
        <f>E52/12</f>
        <v>55635.5</v>
      </c>
      <c r="F53" s="685">
        <f t="shared" ref="F53:AH53" si="60">F41+SUM(F50:F51)</f>
        <v>55635.5</v>
      </c>
      <c r="G53" s="685">
        <f t="shared" si="60"/>
        <v>63444.93</v>
      </c>
      <c r="H53" s="685">
        <f t="shared" si="60"/>
        <v>71858.948600000003</v>
      </c>
      <c r="I53" s="685">
        <f t="shared" si="60"/>
        <v>80018.847571999999</v>
      </c>
      <c r="J53" s="685">
        <f t="shared" si="60"/>
        <v>84014.820523439994</v>
      </c>
      <c r="K53" s="685">
        <f t="shared" si="60"/>
        <v>87127.070933908792</v>
      </c>
      <c r="L53" s="685">
        <f t="shared" si="60"/>
        <v>90358.844512586977</v>
      </c>
      <c r="M53" s="685">
        <f t="shared" si="60"/>
        <v>93714.822849238742</v>
      </c>
      <c r="N53" s="685">
        <f t="shared" si="60"/>
        <v>97199.872810479486</v>
      </c>
      <c r="O53" s="685">
        <f t="shared" si="60"/>
        <v>100819.05391111533</v>
      </c>
      <c r="P53" s="685">
        <f t="shared" si="60"/>
        <v>104577.62597954093</v>
      </c>
      <c r="Q53" s="685">
        <f t="shared" si="60"/>
        <v>108481.05712894315</v>
      </c>
      <c r="R53" s="685">
        <f t="shared" si="60"/>
        <v>112535.03204652591</v>
      </c>
      <c r="S53" s="685">
        <f t="shared" si="60"/>
        <v>116745.46061346048</v>
      </c>
      <c r="T53" s="685">
        <f t="shared" si="60"/>
        <v>121118.48686877388</v>
      </c>
      <c r="U53" s="685">
        <f t="shared" si="60"/>
        <v>125660.49833091532</v>
      </c>
      <c r="V53" s="685">
        <f t="shared" si="60"/>
        <v>130378.13569129026</v>
      </c>
      <c r="W53" s="685">
        <f t="shared" si="60"/>
        <v>135278.30289462293</v>
      </c>
      <c r="X53" s="685">
        <f t="shared" si="60"/>
        <v>140368.17762160255</v>
      </c>
      <c r="Y53" s="685">
        <f t="shared" si="60"/>
        <v>145655.22218988519</v>
      </c>
      <c r="Z53" s="685">
        <f t="shared" si="60"/>
        <v>151147.19489016756</v>
      </c>
      <c r="AA53" s="685">
        <f t="shared" si="60"/>
        <v>156852.16177471494</v>
      </c>
      <c r="AB53" s="685">
        <f t="shared" si="60"/>
        <v>162778.50891642307</v>
      </c>
      <c r="AC53" s="685">
        <f t="shared" si="60"/>
        <v>168934.9551572139</v>
      </c>
      <c r="AD53" s="685">
        <f t="shared" si="60"/>
        <v>175330.56536531902</v>
      </c>
      <c r="AE53" s="685">
        <f t="shared" si="60"/>
        <v>181974.76422178472</v>
      </c>
      <c r="AF53" s="685">
        <f t="shared" si="60"/>
        <v>188877.35055734607</v>
      </c>
      <c r="AG53" s="685">
        <f t="shared" si="60"/>
        <v>196048.51226166371</v>
      </c>
      <c r="AH53" s="685">
        <f t="shared" si="60"/>
        <v>203498.84178779449</v>
      </c>
      <c r="AI53" s="685">
        <f t="shared" ref="AI53:AJ53" si="61">AI41+SUM(AI50:AI51)</f>
        <v>211239.35227568378</v>
      </c>
      <c r="AJ53" s="685">
        <f t="shared" si="61"/>
        <v>219281.49431941618</v>
      </c>
      <c r="AK53" s="591"/>
      <c r="AL53" s="591"/>
      <c r="AM53" s="591"/>
      <c r="AN53" s="591"/>
      <c r="AO53" s="591"/>
      <c r="AP53" s="591"/>
    </row>
    <row r="54" spans="1:42" ht="14" thickTop="1" x14ac:dyDescent="0.15">
      <c r="A54" s="591"/>
      <c r="C54" s="10"/>
      <c r="D54" s="300" t="s">
        <v>150</v>
      </c>
      <c r="E54" s="627"/>
      <c r="F54" s="591"/>
      <c r="G54" s="591"/>
      <c r="H54" s="591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1"/>
      <c r="Z54" s="591"/>
      <c r="AA54" s="591"/>
      <c r="AB54" s="591"/>
      <c r="AC54" s="591"/>
      <c r="AD54" s="591"/>
      <c r="AE54" s="591"/>
      <c r="AF54" s="591"/>
      <c r="AG54" s="591"/>
      <c r="AH54" s="591"/>
      <c r="AI54" s="591"/>
      <c r="AJ54" s="591"/>
      <c r="AK54" s="591"/>
      <c r="AL54" s="591"/>
      <c r="AM54" s="591"/>
      <c r="AN54" s="591"/>
      <c r="AO54" s="591"/>
      <c r="AP54" s="591"/>
    </row>
    <row r="55" spans="1:42" ht="16" x14ac:dyDescent="0.3">
      <c r="A55" s="591"/>
      <c r="B55" s="463" t="s">
        <v>151</v>
      </c>
      <c r="C55" s="7" t="s">
        <v>152</v>
      </c>
      <c r="D55" s="299" t="str">
        <f>N4</f>
        <v>Trailing 12</v>
      </c>
      <c r="E55" s="310" t="s">
        <v>140</v>
      </c>
      <c r="F55" s="591"/>
      <c r="G55" s="591"/>
      <c r="H55" s="591"/>
      <c r="I55" s="591"/>
      <c r="J55" s="591"/>
      <c r="K55" s="591"/>
      <c r="L55" s="591"/>
      <c r="M55" s="591"/>
      <c r="N55" s="591"/>
      <c r="O55" s="591"/>
      <c r="P55" s="591"/>
      <c r="Q55" s="591"/>
      <c r="R55" s="591"/>
      <c r="S55" s="591"/>
      <c r="T55" s="591"/>
      <c r="U55" s="591"/>
      <c r="V55" s="591"/>
      <c r="W55" s="591"/>
      <c r="X55" s="591"/>
      <c r="Y55" s="591"/>
      <c r="Z55" s="591"/>
      <c r="AA55" s="591"/>
      <c r="AB55" s="591"/>
      <c r="AC55" s="591"/>
      <c r="AD55" s="591"/>
      <c r="AE55" s="591"/>
      <c r="AF55" s="591"/>
      <c r="AG55" s="591"/>
      <c r="AH55" s="591"/>
      <c r="AI55" s="591"/>
      <c r="AJ55" s="591"/>
      <c r="AK55" s="591"/>
      <c r="AL55" s="591"/>
      <c r="AM55" s="591"/>
      <c r="AN55" s="591"/>
      <c r="AO55" s="591"/>
      <c r="AP55" s="591"/>
    </row>
    <row r="56" spans="1:42" x14ac:dyDescent="0.15">
      <c r="A56" s="616">
        <v>5701</v>
      </c>
      <c r="B56" s="457">
        <f t="shared" ref="B56:B80" si="62">E56/NoOfSpaces</f>
        <v>211.74683544303798</v>
      </c>
      <c r="C56" s="594" t="s">
        <v>153</v>
      </c>
      <c r="D56" s="137">
        <f ca="1">OFFSET('IE SUMMARY'!D32,0,MoveCount)</f>
        <v>33459.599999999999</v>
      </c>
      <c r="E56" s="256">
        <f>2788*12</f>
        <v>33456</v>
      </c>
      <c r="F56" s="312">
        <f t="shared" ref="F56:F65" si="63">E56/12</f>
        <v>2788</v>
      </c>
      <c r="G56" s="256">
        <f t="shared" ref="G56:AH56" si="64">F56*(1+GlobalInflation)</f>
        <v>2843.76</v>
      </c>
      <c r="H56" s="256">
        <f t="shared" si="64"/>
        <v>2900.6352000000002</v>
      </c>
      <c r="I56" s="256">
        <f t="shared" si="64"/>
        <v>2958.6479040000004</v>
      </c>
      <c r="J56" s="256">
        <f t="shared" si="64"/>
        <v>3017.8208620800006</v>
      </c>
      <c r="K56" s="256">
        <f t="shared" si="64"/>
        <v>3078.1772793216005</v>
      </c>
      <c r="L56" s="256">
        <f t="shared" si="64"/>
        <v>3139.7408249080327</v>
      </c>
      <c r="M56" s="256">
        <f t="shared" si="64"/>
        <v>3202.5356414061935</v>
      </c>
      <c r="N56" s="256">
        <f t="shared" si="64"/>
        <v>3266.5863542343172</v>
      </c>
      <c r="O56" s="256">
        <f t="shared" si="64"/>
        <v>3331.9180813190037</v>
      </c>
      <c r="P56" s="256">
        <f t="shared" si="64"/>
        <v>3398.5564429453839</v>
      </c>
      <c r="Q56" s="256">
        <f t="shared" si="64"/>
        <v>3466.5275718042917</v>
      </c>
      <c r="R56" s="256">
        <f t="shared" si="64"/>
        <v>3535.8581232403776</v>
      </c>
      <c r="S56" s="256">
        <f t="shared" si="64"/>
        <v>3606.5752857051853</v>
      </c>
      <c r="T56" s="256">
        <f t="shared" si="64"/>
        <v>3678.7067914192889</v>
      </c>
      <c r="U56" s="256">
        <f t="shared" si="64"/>
        <v>3752.2809272476748</v>
      </c>
      <c r="V56" s="256">
        <f t="shared" si="64"/>
        <v>3827.3265457926282</v>
      </c>
      <c r="W56" s="256">
        <f t="shared" si="64"/>
        <v>3903.8730767084808</v>
      </c>
      <c r="X56" s="256">
        <f t="shared" si="64"/>
        <v>3981.9505382426505</v>
      </c>
      <c r="Y56" s="256">
        <f t="shared" si="64"/>
        <v>4061.5895490075036</v>
      </c>
      <c r="Z56" s="256">
        <f t="shared" si="64"/>
        <v>4142.821339987654</v>
      </c>
      <c r="AA56" s="256">
        <f t="shared" si="64"/>
        <v>4225.6777667874076</v>
      </c>
      <c r="AB56" s="256">
        <f t="shared" si="64"/>
        <v>4310.1913221231562</v>
      </c>
      <c r="AC56" s="256">
        <f t="shared" si="64"/>
        <v>4396.3951485656198</v>
      </c>
      <c r="AD56" s="256">
        <f t="shared" si="64"/>
        <v>4484.3230515369323</v>
      </c>
      <c r="AE56" s="256">
        <f t="shared" si="64"/>
        <v>4574.0095125676708</v>
      </c>
      <c r="AF56" s="256">
        <f t="shared" si="64"/>
        <v>4665.4897028190244</v>
      </c>
      <c r="AG56" s="256">
        <f t="shared" si="64"/>
        <v>4758.7994968754047</v>
      </c>
      <c r="AH56" s="256">
        <f t="shared" si="64"/>
        <v>4853.975486812913</v>
      </c>
      <c r="AI56" s="256">
        <f t="shared" ref="AI56:AI78" si="65">AH56*(1+GlobalInflation)</f>
        <v>4951.0549965491709</v>
      </c>
      <c r="AJ56" s="256">
        <f t="shared" ref="AJ56:AJ78" si="66">AI56*(1+GlobalInflation)</f>
        <v>5050.0760964801548</v>
      </c>
      <c r="AK56" s="8"/>
      <c r="AL56" s="8"/>
      <c r="AM56" s="8"/>
      <c r="AN56" s="8"/>
      <c r="AO56" s="8"/>
      <c r="AP56" s="8"/>
    </row>
    <row r="57" spans="1:42" x14ac:dyDescent="0.15">
      <c r="A57" s="616">
        <v>5305</v>
      </c>
      <c r="B57" s="457">
        <f t="shared" si="62"/>
        <v>29.373417721518987</v>
      </c>
      <c r="C57" s="594" t="s">
        <v>154</v>
      </c>
      <c r="D57" s="137">
        <f ca="1">OFFSET('IE SUMMARY'!D33,0,MoveCount)</f>
        <v>0</v>
      </c>
      <c r="E57" s="256">
        <v>4641</v>
      </c>
      <c r="F57" s="312">
        <f t="shared" si="63"/>
        <v>386.75</v>
      </c>
      <c r="G57" s="256">
        <f t="shared" ref="G57:AH57" si="67">F57*(1+GlobalInflation)</f>
        <v>394.48500000000001</v>
      </c>
      <c r="H57" s="256">
        <f t="shared" si="67"/>
        <v>402.37470000000002</v>
      </c>
      <c r="I57" s="256">
        <f t="shared" si="67"/>
        <v>410.42219400000005</v>
      </c>
      <c r="J57" s="256">
        <f t="shared" si="67"/>
        <v>418.63063788000005</v>
      </c>
      <c r="K57" s="256">
        <f t="shared" si="67"/>
        <v>427.00325063760005</v>
      </c>
      <c r="L57" s="256">
        <f t="shared" si="67"/>
        <v>435.54331565035204</v>
      </c>
      <c r="M57" s="256">
        <f t="shared" si="67"/>
        <v>444.25418196335909</v>
      </c>
      <c r="N57" s="256">
        <f t="shared" si="67"/>
        <v>453.13926560262627</v>
      </c>
      <c r="O57" s="256">
        <f t="shared" si="67"/>
        <v>462.20205091467881</v>
      </c>
      <c r="P57" s="256">
        <f t="shared" si="67"/>
        <v>471.44609193297237</v>
      </c>
      <c r="Q57" s="256">
        <f t="shared" si="67"/>
        <v>480.87501377163181</v>
      </c>
      <c r="R57" s="256">
        <f t="shared" si="67"/>
        <v>490.49251404706445</v>
      </c>
      <c r="S57" s="256">
        <f t="shared" si="67"/>
        <v>500.30236432800575</v>
      </c>
      <c r="T57" s="256">
        <f t="shared" si="67"/>
        <v>510.3084116145659</v>
      </c>
      <c r="U57" s="256">
        <f t="shared" si="67"/>
        <v>520.51457984685726</v>
      </c>
      <c r="V57" s="256">
        <f t="shared" si="67"/>
        <v>530.92487144379436</v>
      </c>
      <c r="W57" s="256">
        <f t="shared" si="67"/>
        <v>541.54336887267027</v>
      </c>
      <c r="X57" s="256">
        <f t="shared" si="67"/>
        <v>552.37423625012366</v>
      </c>
      <c r="Y57" s="256">
        <f t="shared" si="67"/>
        <v>563.42172097512616</v>
      </c>
      <c r="Z57" s="256">
        <f t="shared" si="67"/>
        <v>574.69015539462873</v>
      </c>
      <c r="AA57" s="256">
        <f t="shared" si="67"/>
        <v>586.18395850252136</v>
      </c>
      <c r="AB57" s="256">
        <f t="shared" si="67"/>
        <v>597.90763767257181</v>
      </c>
      <c r="AC57" s="256">
        <f t="shared" si="67"/>
        <v>609.8657904260233</v>
      </c>
      <c r="AD57" s="256">
        <f t="shared" si="67"/>
        <v>622.06310623454374</v>
      </c>
      <c r="AE57" s="256">
        <f t="shared" si="67"/>
        <v>634.5043683592346</v>
      </c>
      <c r="AF57" s="256">
        <f t="shared" si="67"/>
        <v>647.19445572641928</v>
      </c>
      <c r="AG57" s="256">
        <f t="shared" si="67"/>
        <v>660.13834484094764</v>
      </c>
      <c r="AH57" s="256">
        <f t="shared" si="67"/>
        <v>673.3411117377666</v>
      </c>
      <c r="AI57" s="256">
        <f t="shared" si="65"/>
        <v>686.80793397252194</v>
      </c>
      <c r="AJ57" s="256">
        <f t="shared" si="66"/>
        <v>700.54409265197239</v>
      </c>
      <c r="AK57" s="8"/>
      <c r="AL57" s="8"/>
      <c r="AM57" s="8"/>
      <c r="AN57" s="8"/>
      <c r="AO57" s="8"/>
      <c r="AP57" s="8"/>
    </row>
    <row r="58" spans="1:42" x14ac:dyDescent="0.15">
      <c r="A58" s="616">
        <v>5306</v>
      </c>
      <c r="B58" s="457">
        <f t="shared" si="62"/>
        <v>10.367088607594937</v>
      </c>
      <c r="C58" s="594" t="s">
        <v>155</v>
      </c>
      <c r="D58" s="137">
        <f ca="1">OFFSET('IE SUMMARY'!D34,0,MoveCount)</f>
        <v>0</v>
      </c>
      <c r="E58" s="256">
        <v>1638</v>
      </c>
      <c r="F58" s="312">
        <f t="shared" si="63"/>
        <v>136.5</v>
      </c>
      <c r="G58" s="256">
        <f t="shared" ref="G58:AH58" si="68">F58*(1+GlobalInflation)</f>
        <v>139.22999999999999</v>
      </c>
      <c r="H58" s="256">
        <f t="shared" si="68"/>
        <v>142.0146</v>
      </c>
      <c r="I58" s="256">
        <f t="shared" si="68"/>
        <v>144.85489200000001</v>
      </c>
      <c r="J58" s="256">
        <f t="shared" si="68"/>
        <v>147.75198984000002</v>
      </c>
      <c r="K58" s="256">
        <f t="shared" si="68"/>
        <v>150.70702963680003</v>
      </c>
      <c r="L58" s="256">
        <f t="shared" si="68"/>
        <v>153.72117022953603</v>
      </c>
      <c r="M58" s="256">
        <f t="shared" si="68"/>
        <v>156.79559363412676</v>
      </c>
      <c r="N58" s="256">
        <f t="shared" si="68"/>
        <v>159.93150550680929</v>
      </c>
      <c r="O58" s="256">
        <f t="shared" si="68"/>
        <v>163.13013561694547</v>
      </c>
      <c r="P58" s="256">
        <f t="shared" si="68"/>
        <v>166.39273832928438</v>
      </c>
      <c r="Q58" s="256">
        <f t="shared" si="68"/>
        <v>169.72059309587007</v>
      </c>
      <c r="R58" s="256">
        <f t="shared" si="68"/>
        <v>173.11500495778748</v>
      </c>
      <c r="S58" s="256">
        <f t="shared" si="68"/>
        <v>176.57730505694323</v>
      </c>
      <c r="T58" s="256">
        <f t="shared" si="68"/>
        <v>180.1088511580821</v>
      </c>
      <c r="U58" s="256">
        <f t="shared" si="68"/>
        <v>183.71102818124376</v>
      </c>
      <c r="V58" s="256">
        <f t="shared" si="68"/>
        <v>187.38524874486865</v>
      </c>
      <c r="W58" s="256">
        <f t="shared" si="68"/>
        <v>191.13295371976602</v>
      </c>
      <c r="X58" s="256">
        <f t="shared" si="68"/>
        <v>194.95561279416134</v>
      </c>
      <c r="Y58" s="256">
        <f t="shared" si="68"/>
        <v>198.85472505004458</v>
      </c>
      <c r="Z58" s="256">
        <f t="shared" si="68"/>
        <v>202.83181955104547</v>
      </c>
      <c r="AA58" s="256">
        <f t="shared" si="68"/>
        <v>206.88845594206637</v>
      </c>
      <c r="AB58" s="256">
        <f t="shared" si="68"/>
        <v>211.02622506090771</v>
      </c>
      <c r="AC58" s="256">
        <f t="shared" si="68"/>
        <v>215.24674956212587</v>
      </c>
      <c r="AD58" s="256">
        <f t="shared" si="68"/>
        <v>219.5516845533684</v>
      </c>
      <c r="AE58" s="256">
        <f t="shared" si="68"/>
        <v>223.94271824443578</v>
      </c>
      <c r="AF58" s="256">
        <f t="shared" si="68"/>
        <v>228.4215726093245</v>
      </c>
      <c r="AG58" s="256">
        <f t="shared" si="68"/>
        <v>232.990004061511</v>
      </c>
      <c r="AH58" s="256">
        <f t="shared" si="68"/>
        <v>237.64980414274123</v>
      </c>
      <c r="AI58" s="256">
        <f t="shared" si="65"/>
        <v>242.40280022559605</v>
      </c>
      <c r="AJ58" s="256">
        <f t="shared" si="66"/>
        <v>247.25085623010798</v>
      </c>
      <c r="AK58" s="8"/>
      <c r="AL58" s="8"/>
      <c r="AM58" s="8"/>
      <c r="AN58" s="8"/>
      <c r="AO58" s="8"/>
      <c r="AP58" s="8"/>
    </row>
    <row r="59" spans="1:42" x14ac:dyDescent="0.15">
      <c r="A59" s="616">
        <v>5404</v>
      </c>
      <c r="B59" s="457">
        <f t="shared" si="62"/>
        <v>136.42177215189872</v>
      </c>
      <c r="C59" s="594" t="s">
        <v>156</v>
      </c>
      <c r="D59" s="137">
        <f ca="1">OFFSET('IE SUMMARY'!D35,0,MoveCount)</f>
        <v>19850.37</v>
      </c>
      <c r="E59" s="256">
        <v>21554.639999999999</v>
      </c>
      <c r="F59" s="312">
        <f t="shared" si="63"/>
        <v>1796.22</v>
      </c>
      <c r="G59" s="256">
        <f t="shared" ref="G59:AH59" si="69">F59*(1+GlobalInflation)</f>
        <v>1832.1444000000001</v>
      </c>
      <c r="H59" s="256">
        <f t="shared" si="69"/>
        <v>1868.7872880000002</v>
      </c>
      <c r="I59" s="256">
        <f t="shared" si="69"/>
        <v>1906.1630337600002</v>
      </c>
      <c r="J59" s="256">
        <f t="shared" si="69"/>
        <v>1944.2862944352003</v>
      </c>
      <c r="K59" s="256">
        <f t="shared" si="69"/>
        <v>1983.1720203239042</v>
      </c>
      <c r="L59" s="256">
        <f t="shared" si="69"/>
        <v>2022.8354607303825</v>
      </c>
      <c r="M59" s="256">
        <f t="shared" si="69"/>
        <v>2063.2921699449903</v>
      </c>
      <c r="N59" s="256">
        <f t="shared" si="69"/>
        <v>2104.5580133438903</v>
      </c>
      <c r="O59" s="256">
        <f t="shared" si="69"/>
        <v>2146.6491736107682</v>
      </c>
      <c r="P59" s="256">
        <f t="shared" si="69"/>
        <v>2189.5821570829835</v>
      </c>
      <c r="Q59" s="256">
        <f t="shared" si="69"/>
        <v>2233.3738002246432</v>
      </c>
      <c r="R59" s="256">
        <f t="shared" si="69"/>
        <v>2278.0412762291362</v>
      </c>
      <c r="S59" s="256">
        <f t="shared" si="69"/>
        <v>2323.6021017537191</v>
      </c>
      <c r="T59" s="256">
        <f t="shared" si="69"/>
        <v>2370.0741437887937</v>
      </c>
      <c r="U59" s="256">
        <f t="shared" si="69"/>
        <v>2417.4756266645695</v>
      </c>
      <c r="V59" s="256">
        <f t="shared" si="69"/>
        <v>2465.8251391978611</v>
      </c>
      <c r="W59" s="256">
        <f t="shared" si="69"/>
        <v>2515.1416419818183</v>
      </c>
      <c r="X59" s="256">
        <f t="shared" si="69"/>
        <v>2565.4444748214546</v>
      </c>
      <c r="Y59" s="256">
        <f t="shared" si="69"/>
        <v>2616.7533643178836</v>
      </c>
      <c r="Z59" s="256">
        <f t="shared" si="69"/>
        <v>2669.0884316042411</v>
      </c>
      <c r="AA59" s="256">
        <f t="shared" si="69"/>
        <v>2722.470200236326</v>
      </c>
      <c r="AB59" s="256">
        <f t="shared" si="69"/>
        <v>2776.9196042410526</v>
      </c>
      <c r="AC59" s="256">
        <f t="shared" si="69"/>
        <v>2832.4579963258739</v>
      </c>
      <c r="AD59" s="256">
        <f t="shared" si="69"/>
        <v>2889.1071562523912</v>
      </c>
      <c r="AE59" s="256">
        <f t="shared" si="69"/>
        <v>2946.8892993774389</v>
      </c>
      <c r="AF59" s="256">
        <f t="shared" si="69"/>
        <v>3005.8270853649879</v>
      </c>
      <c r="AG59" s="256">
        <f t="shared" si="69"/>
        <v>3065.9436270722877</v>
      </c>
      <c r="AH59" s="256">
        <f t="shared" si="69"/>
        <v>3127.2624996137333</v>
      </c>
      <c r="AI59" s="256">
        <f t="shared" si="65"/>
        <v>3189.8077496060082</v>
      </c>
      <c r="AJ59" s="256">
        <f t="shared" si="66"/>
        <v>3253.6039045981283</v>
      </c>
      <c r="AK59" s="8"/>
      <c r="AL59" s="8"/>
      <c r="AM59" s="8"/>
      <c r="AN59" s="8"/>
      <c r="AO59" s="8"/>
      <c r="AP59" s="8"/>
    </row>
    <row r="60" spans="1:42" x14ac:dyDescent="0.15">
      <c r="A60" s="616">
        <v>5401</v>
      </c>
      <c r="B60" s="457">
        <f t="shared" si="62"/>
        <v>278.10493670886075</v>
      </c>
      <c r="C60" s="594" t="s">
        <v>157</v>
      </c>
      <c r="D60" s="137">
        <f ca="1">OFFSET('IE SUMMARY'!D36,0,MoveCount)</f>
        <v>64321.55</v>
      </c>
      <c r="E60" s="256">
        <v>43940.58</v>
      </c>
      <c r="F60" s="312">
        <f t="shared" si="63"/>
        <v>3661.7150000000001</v>
      </c>
      <c r="G60" s="256">
        <f t="shared" ref="G60:AH60" si="70">F60*(1+GlobalInflation)</f>
        <v>3734.9493000000002</v>
      </c>
      <c r="H60" s="256">
        <f t="shared" si="70"/>
        <v>3809.6482860000001</v>
      </c>
      <c r="I60" s="256">
        <f t="shared" si="70"/>
        <v>3885.8412517199999</v>
      </c>
      <c r="J60" s="256">
        <f t="shared" si="70"/>
        <v>3963.5580767544002</v>
      </c>
      <c r="K60" s="256">
        <f t="shared" si="70"/>
        <v>4042.8292382894883</v>
      </c>
      <c r="L60" s="256">
        <f t="shared" si="70"/>
        <v>4123.685823055278</v>
      </c>
      <c r="M60" s="256">
        <f t="shared" si="70"/>
        <v>4206.159539516384</v>
      </c>
      <c r="N60" s="256">
        <f t="shared" si="70"/>
        <v>4290.2827303067115</v>
      </c>
      <c r="O60" s="256">
        <f t="shared" si="70"/>
        <v>4376.0883849128459</v>
      </c>
      <c r="P60" s="256">
        <f t="shared" si="70"/>
        <v>4463.6101526111024</v>
      </c>
      <c r="Q60" s="256">
        <f t="shared" si="70"/>
        <v>4552.8823556633242</v>
      </c>
      <c r="R60" s="256">
        <f t="shared" si="70"/>
        <v>4643.9400027765905</v>
      </c>
      <c r="S60" s="256">
        <f t="shared" si="70"/>
        <v>4736.8188028321229</v>
      </c>
      <c r="T60" s="256">
        <f t="shared" si="70"/>
        <v>4831.5551788887651</v>
      </c>
      <c r="U60" s="256">
        <f t="shared" si="70"/>
        <v>4928.1862824665404</v>
      </c>
      <c r="V60" s="256">
        <f t="shared" si="70"/>
        <v>5026.7500081158714</v>
      </c>
      <c r="W60" s="256">
        <f t="shared" si="70"/>
        <v>5127.2850082781888</v>
      </c>
      <c r="X60" s="256">
        <f t="shared" si="70"/>
        <v>5229.8307084437529</v>
      </c>
      <c r="Y60" s="256">
        <f t="shared" si="70"/>
        <v>5334.4273226126279</v>
      </c>
      <c r="Z60" s="256">
        <f t="shared" si="70"/>
        <v>5441.1158690648808</v>
      </c>
      <c r="AA60" s="256">
        <f t="shared" si="70"/>
        <v>5549.9381864461784</v>
      </c>
      <c r="AB60" s="256">
        <f t="shared" si="70"/>
        <v>5660.9369501751016</v>
      </c>
      <c r="AC60" s="256">
        <f t="shared" si="70"/>
        <v>5774.155689178604</v>
      </c>
      <c r="AD60" s="256">
        <f t="shared" si="70"/>
        <v>5889.6388029621758</v>
      </c>
      <c r="AE60" s="256">
        <f t="shared" si="70"/>
        <v>6007.4315790214196</v>
      </c>
      <c r="AF60" s="256">
        <f t="shared" si="70"/>
        <v>6127.5802106018482</v>
      </c>
      <c r="AG60" s="256">
        <f t="shared" si="70"/>
        <v>6250.1318148138853</v>
      </c>
      <c r="AH60" s="256">
        <f t="shared" si="70"/>
        <v>6375.1344511101634</v>
      </c>
      <c r="AI60" s="256">
        <f t="shared" si="65"/>
        <v>6502.6371401323668</v>
      </c>
      <c r="AJ60" s="256">
        <f t="shared" si="66"/>
        <v>6632.6898829350139</v>
      </c>
      <c r="AK60" s="8"/>
      <c r="AL60" s="8"/>
      <c r="AM60" s="8"/>
      <c r="AN60" s="8"/>
      <c r="AO60" s="8"/>
      <c r="AP60" s="8"/>
    </row>
    <row r="61" spans="1:42" x14ac:dyDescent="0.15">
      <c r="A61" s="616">
        <v>5405</v>
      </c>
      <c r="B61" s="457">
        <f t="shared" si="62"/>
        <v>184.62</v>
      </c>
      <c r="C61" s="594" t="s">
        <v>143</v>
      </c>
      <c r="D61" s="137">
        <f ca="1">OFFSET('IE SUMMARY'!D37,0,MoveCount)</f>
        <v>29432.37</v>
      </c>
      <c r="E61" s="256">
        <v>29169.96</v>
      </c>
      <c r="F61" s="312">
        <f t="shared" si="63"/>
        <v>2430.83</v>
      </c>
      <c r="G61" s="256">
        <f t="shared" ref="G61:AH61" si="71">F61*(1+GlobalInflation)</f>
        <v>2479.4465999999998</v>
      </c>
      <c r="H61" s="256">
        <f t="shared" si="71"/>
        <v>2529.0355319999999</v>
      </c>
      <c r="I61" s="256">
        <f t="shared" si="71"/>
        <v>2579.6162426400001</v>
      </c>
      <c r="J61" s="256">
        <f t="shared" si="71"/>
        <v>2631.2085674928003</v>
      </c>
      <c r="K61" s="256">
        <f t="shared" si="71"/>
        <v>2683.8327388426565</v>
      </c>
      <c r="L61" s="256">
        <f t="shared" si="71"/>
        <v>2737.5093936195094</v>
      </c>
      <c r="M61" s="256">
        <f t="shared" si="71"/>
        <v>2792.2595814918996</v>
      </c>
      <c r="N61" s="256">
        <f t="shared" si="71"/>
        <v>2848.1047731217377</v>
      </c>
      <c r="O61" s="256">
        <f t="shared" si="71"/>
        <v>2905.0668685841724</v>
      </c>
      <c r="P61" s="256">
        <f t="shared" si="71"/>
        <v>2963.1682059558561</v>
      </c>
      <c r="Q61" s="256">
        <f t="shared" si="71"/>
        <v>3022.4315700749735</v>
      </c>
      <c r="R61" s="256">
        <f t="shared" si="71"/>
        <v>3082.8802014764728</v>
      </c>
      <c r="S61" s="256">
        <f t="shared" si="71"/>
        <v>3144.5378055060023</v>
      </c>
      <c r="T61" s="256">
        <f t="shared" si="71"/>
        <v>3207.4285616161224</v>
      </c>
      <c r="U61" s="256">
        <f t="shared" si="71"/>
        <v>3271.5771328484448</v>
      </c>
      <c r="V61" s="256">
        <f t="shared" si="71"/>
        <v>3337.0086755054135</v>
      </c>
      <c r="W61" s="256">
        <f t="shared" si="71"/>
        <v>3403.748849015522</v>
      </c>
      <c r="X61" s="256">
        <f t="shared" si="71"/>
        <v>3471.8238259958325</v>
      </c>
      <c r="Y61" s="256">
        <f t="shared" si="71"/>
        <v>3541.2603025157491</v>
      </c>
      <c r="Z61" s="256">
        <f t="shared" si="71"/>
        <v>3612.0855085660642</v>
      </c>
      <c r="AA61" s="256">
        <f t="shared" si="71"/>
        <v>3684.3272187373855</v>
      </c>
      <c r="AB61" s="256">
        <f t="shared" si="71"/>
        <v>3758.0137631121333</v>
      </c>
      <c r="AC61" s="256">
        <f t="shared" si="71"/>
        <v>3833.1740383743759</v>
      </c>
      <c r="AD61" s="256">
        <f t="shared" si="71"/>
        <v>3909.8375191418636</v>
      </c>
      <c r="AE61" s="256">
        <f t="shared" si="71"/>
        <v>3988.0342695247009</v>
      </c>
      <c r="AF61" s="256">
        <f t="shared" si="71"/>
        <v>4067.7949549151949</v>
      </c>
      <c r="AG61" s="256">
        <f t="shared" si="71"/>
        <v>4149.1508540134992</v>
      </c>
      <c r="AH61" s="256">
        <f t="shared" si="71"/>
        <v>4232.1338710937689</v>
      </c>
      <c r="AI61" s="256">
        <f t="shared" si="65"/>
        <v>4316.7765485156442</v>
      </c>
      <c r="AJ61" s="256">
        <f t="shared" si="66"/>
        <v>4403.1120794859571</v>
      </c>
      <c r="AK61" s="8"/>
      <c r="AL61" s="8"/>
      <c r="AM61" s="8"/>
      <c r="AN61" s="8"/>
      <c r="AO61" s="8"/>
      <c r="AP61" s="8"/>
    </row>
    <row r="62" spans="1:42" x14ac:dyDescent="0.15">
      <c r="A62" s="616">
        <v>5403</v>
      </c>
      <c r="B62" s="457">
        <f t="shared" si="62"/>
        <v>51.671392405063294</v>
      </c>
      <c r="C62" s="594" t="s">
        <v>158</v>
      </c>
      <c r="D62" s="137">
        <f ca="1">OFFSET('IE SUMMARY'!D38,0,MoveCount)</f>
        <v>8298.1</v>
      </c>
      <c r="E62" s="256">
        <v>8164.08</v>
      </c>
      <c r="F62" s="312">
        <f t="shared" ref="F62" si="72">E62/12</f>
        <v>680.34</v>
      </c>
      <c r="G62" s="256">
        <f t="shared" ref="G62" si="73">F62*(1+GlobalInflation)</f>
        <v>693.94680000000005</v>
      </c>
      <c r="H62" s="256">
        <f t="shared" ref="H62" si="74">G62*(1+GlobalInflation)</f>
        <v>707.82573600000012</v>
      </c>
      <c r="I62" s="256">
        <f t="shared" ref="I62" si="75">H62*(1+GlobalInflation)</f>
        <v>721.98225072000014</v>
      </c>
      <c r="J62" s="256">
        <f t="shared" ref="J62" si="76">I62*(1+GlobalInflation)</f>
        <v>736.42189573440021</v>
      </c>
      <c r="K62" s="256">
        <f t="shared" ref="K62" si="77">J62*(1+GlobalInflation)</f>
        <v>751.15033364908822</v>
      </c>
      <c r="L62" s="256">
        <f t="shared" ref="L62" si="78">K62*(1+GlobalInflation)</f>
        <v>766.17334032206998</v>
      </c>
      <c r="M62" s="256">
        <f t="shared" ref="M62" si="79">L62*(1+GlobalInflation)</f>
        <v>781.49680712851136</v>
      </c>
      <c r="N62" s="256">
        <f t="shared" ref="N62" si="80">M62*(1+GlobalInflation)</f>
        <v>797.12674327108164</v>
      </c>
      <c r="O62" s="256">
        <f t="shared" ref="O62" si="81">N62*(1+GlobalInflation)</f>
        <v>813.06927813650327</v>
      </c>
      <c r="P62" s="256">
        <f t="shared" ref="P62" si="82">O62*(1+GlobalInflation)</f>
        <v>829.33066369923336</v>
      </c>
      <c r="Q62" s="256">
        <f t="shared" ref="Q62" si="83">P62*(1+GlobalInflation)</f>
        <v>845.91727697321801</v>
      </c>
      <c r="R62" s="256">
        <f t="shared" ref="R62" si="84">Q62*(1+GlobalInflation)</f>
        <v>862.83562251268233</v>
      </c>
      <c r="S62" s="256">
        <f t="shared" ref="S62" si="85">R62*(1+GlobalInflation)</f>
        <v>880.09233496293598</v>
      </c>
      <c r="T62" s="256">
        <f t="shared" ref="T62" si="86">S62*(1+GlobalInflation)</f>
        <v>897.69418166219475</v>
      </c>
      <c r="U62" s="256">
        <f t="shared" ref="U62" si="87">T62*(1+GlobalInflation)</f>
        <v>915.64806529543864</v>
      </c>
      <c r="V62" s="256">
        <f t="shared" ref="V62" si="88">U62*(1+GlobalInflation)</f>
        <v>933.96102660134738</v>
      </c>
      <c r="W62" s="256">
        <f t="shared" ref="W62" si="89">V62*(1+GlobalInflation)</f>
        <v>952.64024713337437</v>
      </c>
      <c r="X62" s="256">
        <f t="shared" ref="X62" si="90">W62*(1+GlobalInflation)</f>
        <v>971.69305207604191</v>
      </c>
      <c r="Y62" s="256">
        <f t="shared" ref="Y62" si="91">X62*(1+GlobalInflation)</f>
        <v>991.12691311756271</v>
      </c>
      <c r="Z62" s="256">
        <f t="shared" ref="Z62" si="92">Y62*(1+GlobalInflation)</f>
        <v>1010.949451379914</v>
      </c>
      <c r="AA62" s="256">
        <f t="shared" ref="AA62" si="93">Z62*(1+GlobalInflation)</f>
        <v>1031.1684404075122</v>
      </c>
      <c r="AB62" s="256">
        <f t="shared" ref="AB62" si="94">AA62*(1+GlobalInflation)</f>
        <v>1051.7918092156624</v>
      </c>
      <c r="AC62" s="256">
        <f t="shared" ref="AC62" si="95">AB62*(1+GlobalInflation)</f>
        <v>1072.8276453999756</v>
      </c>
      <c r="AD62" s="256">
        <f t="shared" ref="AD62" si="96">AC62*(1+GlobalInflation)</f>
        <v>1094.2841983079752</v>
      </c>
      <c r="AE62" s="256">
        <f t="shared" ref="AE62" si="97">AD62*(1+GlobalInflation)</f>
        <v>1116.1698822741348</v>
      </c>
      <c r="AF62" s="256">
        <f t="shared" ref="AF62" si="98">AE62*(1+GlobalInflation)</f>
        <v>1138.4932799196176</v>
      </c>
      <c r="AG62" s="256">
        <f t="shared" ref="AG62" si="99">AF62*(1+GlobalInflation)</f>
        <v>1161.2631455180101</v>
      </c>
      <c r="AH62" s="256">
        <f t="shared" ref="AH62" si="100">AG62*(1+GlobalInflation)</f>
        <v>1184.4884084283703</v>
      </c>
      <c r="AI62" s="256">
        <f t="shared" si="65"/>
        <v>1208.1781765969379</v>
      </c>
      <c r="AJ62" s="256">
        <f t="shared" si="66"/>
        <v>1232.3417401288766</v>
      </c>
      <c r="AK62" s="8"/>
      <c r="AL62" s="8"/>
      <c r="AM62" s="8"/>
      <c r="AN62" s="8"/>
      <c r="AO62" s="8"/>
      <c r="AP62" s="8"/>
    </row>
    <row r="63" spans="1:42" x14ac:dyDescent="0.15">
      <c r="A63" s="616">
        <v>5402</v>
      </c>
      <c r="B63" s="457">
        <f t="shared" si="62"/>
        <v>217.48594936708861</v>
      </c>
      <c r="C63" s="594" t="s">
        <v>159</v>
      </c>
      <c r="D63" s="137">
        <f ca="1">OFFSET('IE SUMMARY'!D39,0,MoveCount)</f>
        <v>34340.129999999997</v>
      </c>
      <c r="E63" s="256">
        <v>34362.78</v>
      </c>
      <c r="F63" s="312">
        <f t="shared" si="63"/>
        <v>2863.5650000000001</v>
      </c>
      <c r="G63" s="256">
        <f t="shared" ref="G63:AH64" si="101">F63*(1+GlobalInflation)</f>
        <v>2920.8362999999999</v>
      </c>
      <c r="H63" s="256">
        <f t="shared" si="101"/>
        <v>2979.2530259999999</v>
      </c>
      <c r="I63" s="256">
        <f t="shared" si="101"/>
        <v>3038.8380865199997</v>
      </c>
      <c r="J63" s="256">
        <f t="shared" si="101"/>
        <v>3099.6148482504</v>
      </c>
      <c r="K63" s="256">
        <f t="shared" si="101"/>
        <v>3161.6071452154079</v>
      </c>
      <c r="L63" s="256">
        <f t="shared" si="101"/>
        <v>3224.839288119716</v>
      </c>
      <c r="M63" s="256">
        <f t="shared" si="101"/>
        <v>3289.3360738821102</v>
      </c>
      <c r="N63" s="256">
        <f t="shared" si="101"/>
        <v>3355.1227953597527</v>
      </c>
      <c r="O63" s="256">
        <f t="shared" si="101"/>
        <v>3422.2252512669479</v>
      </c>
      <c r="P63" s="256">
        <f t="shared" si="101"/>
        <v>3490.6697562922868</v>
      </c>
      <c r="Q63" s="256">
        <f t="shared" si="101"/>
        <v>3560.4831514181328</v>
      </c>
      <c r="R63" s="256">
        <f t="shared" si="101"/>
        <v>3631.6928144464955</v>
      </c>
      <c r="S63" s="256">
        <f t="shared" si="101"/>
        <v>3704.3266707354255</v>
      </c>
      <c r="T63" s="256">
        <f t="shared" si="101"/>
        <v>3778.4132041501339</v>
      </c>
      <c r="U63" s="256">
        <f t="shared" si="101"/>
        <v>3853.9814682331366</v>
      </c>
      <c r="V63" s="256">
        <f t="shared" si="101"/>
        <v>3931.0610975977993</v>
      </c>
      <c r="W63" s="256">
        <f t="shared" si="101"/>
        <v>4009.6823195497554</v>
      </c>
      <c r="X63" s="256">
        <f t="shared" si="101"/>
        <v>4089.8759659407506</v>
      </c>
      <c r="Y63" s="256">
        <f t="shared" si="101"/>
        <v>4171.6734852595655</v>
      </c>
      <c r="Z63" s="256">
        <f t="shared" si="101"/>
        <v>4255.1069549647573</v>
      </c>
      <c r="AA63" s="256">
        <f t="shared" si="101"/>
        <v>4340.2090940640528</v>
      </c>
      <c r="AB63" s="256">
        <f t="shared" si="101"/>
        <v>4427.0132759453336</v>
      </c>
      <c r="AC63" s="256">
        <f t="shared" si="101"/>
        <v>4515.55354146424</v>
      </c>
      <c r="AD63" s="256">
        <f t="shared" si="101"/>
        <v>4605.8646122935252</v>
      </c>
      <c r="AE63" s="256">
        <f t="shared" si="101"/>
        <v>4697.9819045393961</v>
      </c>
      <c r="AF63" s="256">
        <f t="shared" si="101"/>
        <v>4791.9415426301839</v>
      </c>
      <c r="AG63" s="256">
        <f t="shared" si="101"/>
        <v>4887.7803734827876</v>
      </c>
      <c r="AH63" s="256">
        <f t="shared" si="101"/>
        <v>4985.5359809524434</v>
      </c>
      <c r="AI63" s="256">
        <f t="shared" si="65"/>
        <v>5085.2467005714925</v>
      </c>
      <c r="AJ63" s="256">
        <f t="shared" si="66"/>
        <v>5186.9516345829225</v>
      </c>
      <c r="AK63" s="8"/>
      <c r="AL63" s="8"/>
      <c r="AM63" s="8"/>
      <c r="AN63" s="8"/>
      <c r="AO63" s="8"/>
      <c r="AP63" s="8"/>
    </row>
    <row r="64" spans="1:42" x14ac:dyDescent="0.15">
      <c r="A64" s="616">
        <v>5603</v>
      </c>
      <c r="B64" s="457">
        <f t="shared" si="62"/>
        <v>6.8354430379746836</v>
      </c>
      <c r="C64" s="594" t="s">
        <v>160</v>
      </c>
      <c r="D64" s="137">
        <f ca="1">OFFSET('IE SUMMARY'!D40,0,MoveCount)</f>
        <v>1148.28</v>
      </c>
      <c r="E64" s="256">
        <v>1080</v>
      </c>
      <c r="F64" s="312">
        <f t="shared" si="63"/>
        <v>90</v>
      </c>
      <c r="G64" s="256">
        <f>F64*(1+GlobalInflation)</f>
        <v>91.8</v>
      </c>
      <c r="H64" s="256">
        <f t="shared" si="101"/>
        <v>93.635999999999996</v>
      </c>
      <c r="I64" s="256">
        <f t="shared" si="101"/>
        <v>95.508719999999997</v>
      </c>
      <c r="J64" s="256">
        <f t="shared" si="101"/>
        <v>97.418894399999999</v>
      </c>
      <c r="K64" s="256">
        <f t="shared" si="101"/>
        <v>99.367272287999995</v>
      </c>
      <c r="L64" s="256">
        <f t="shared" si="101"/>
        <v>101.35461773375999</v>
      </c>
      <c r="M64" s="256">
        <f t="shared" si="101"/>
        <v>103.3817100884352</v>
      </c>
      <c r="N64" s="256">
        <f t="shared" si="101"/>
        <v>105.44934429020391</v>
      </c>
      <c r="O64" s="256">
        <f t="shared" si="101"/>
        <v>107.558331176008</v>
      </c>
      <c r="P64" s="256">
        <f t="shared" si="101"/>
        <v>109.70949779952817</v>
      </c>
      <c r="Q64" s="256">
        <f t="shared" si="101"/>
        <v>111.90368775551873</v>
      </c>
      <c r="R64" s="256">
        <f t="shared" si="101"/>
        <v>114.14176151062911</v>
      </c>
      <c r="S64" s="256">
        <f t="shared" si="101"/>
        <v>116.42459674084169</v>
      </c>
      <c r="T64" s="256">
        <f t="shared" si="101"/>
        <v>118.75308867565853</v>
      </c>
      <c r="U64" s="256">
        <f t="shared" si="101"/>
        <v>121.1281504491717</v>
      </c>
      <c r="V64" s="256">
        <f t="shared" si="101"/>
        <v>123.55071345815513</v>
      </c>
      <c r="W64" s="256">
        <f t="shared" si="101"/>
        <v>126.02172772731824</v>
      </c>
      <c r="X64" s="256">
        <f t="shared" si="101"/>
        <v>128.54216228186459</v>
      </c>
      <c r="Y64" s="256">
        <f t="shared" si="101"/>
        <v>131.11300552750188</v>
      </c>
      <c r="Z64" s="256">
        <f t="shared" si="101"/>
        <v>133.73526563805191</v>
      </c>
      <c r="AA64" s="256">
        <f t="shared" si="101"/>
        <v>136.40997095081295</v>
      </c>
      <c r="AB64" s="256">
        <f t="shared" si="101"/>
        <v>139.1381703698292</v>
      </c>
      <c r="AC64" s="256">
        <f t="shared" si="101"/>
        <v>141.92093377722577</v>
      </c>
      <c r="AD64" s="256">
        <f t="shared" si="101"/>
        <v>144.75935245277029</v>
      </c>
      <c r="AE64" s="256">
        <f t="shared" si="101"/>
        <v>147.6545395018257</v>
      </c>
      <c r="AF64" s="256">
        <f t="shared" si="101"/>
        <v>150.60763029186222</v>
      </c>
      <c r="AG64" s="256">
        <f t="shared" si="101"/>
        <v>153.61978289769948</v>
      </c>
      <c r="AH64" s="256">
        <f t="shared" si="101"/>
        <v>156.69217855565347</v>
      </c>
      <c r="AI64" s="256">
        <f t="shared" si="65"/>
        <v>159.82602212676653</v>
      </c>
      <c r="AJ64" s="256">
        <f t="shared" si="66"/>
        <v>163.02254256930186</v>
      </c>
      <c r="AK64" s="8"/>
      <c r="AL64" s="8"/>
      <c r="AM64" s="8"/>
      <c r="AN64" s="8"/>
      <c r="AO64" s="8"/>
      <c r="AP64" s="8"/>
    </row>
    <row r="65" spans="1:42" x14ac:dyDescent="0.15">
      <c r="A65" s="616">
        <v>5020</v>
      </c>
      <c r="B65" s="457">
        <f t="shared" si="62"/>
        <v>9.4936708860759502</v>
      </c>
      <c r="C65" s="594" t="s">
        <v>161</v>
      </c>
      <c r="D65" s="137">
        <f ca="1">OFFSET('IE SUMMARY'!D41,0,MoveCount)</f>
        <v>3647.57</v>
      </c>
      <c r="E65" s="256">
        <v>1500</v>
      </c>
      <c r="F65" s="312">
        <f t="shared" si="63"/>
        <v>125</v>
      </c>
      <c r="G65" s="256">
        <f t="shared" ref="G65:AH65" si="102">F65*(1+GlobalInflation)</f>
        <v>127.5</v>
      </c>
      <c r="H65" s="256">
        <f t="shared" si="102"/>
        <v>130.05000000000001</v>
      </c>
      <c r="I65" s="256">
        <f t="shared" si="102"/>
        <v>132.65100000000001</v>
      </c>
      <c r="J65" s="256">
        <f t="shared" si="102"/>
        <v>135.30402000000001</v>
      </c>
      <c r="K65" s="256">
        <f t="shared" si="102"/>
        <v>138.0101004</v>
      </c>
      <c r="L65" s="256">
        <f t="shared" si="102"/>
        <v>140.77030240799999</v>
      </c>
      <c r="M65" s="256">
        <f t="shared" si="102"/>
        <v>143.58570845616001</v>
      </c>
      <c r="N65" s="256">
        <f t="shared" si="102"/>
        <v>146.45742262528321</v>
      </c>
      <c r="O65" s="256">
        <f t="shared" si="102"/>
        <v>149.38657107778889</v>
      </c>
      <c r="P65" s="256">
        <f t="shared" si="102"/>
        <v>152.37430249934468</v>
      </c>
      <c r="Q65" s="256">
        <f t="shared" si="102"/>
        <v>155.42178854933158</v>
      </c>
      <c r="R65" s="256">
        <f t="shared" si="102"/>
        <v>158.53022432031821</v>
      </c>
      <c r="S65" s="256">
        <f t="shared" si="102"/>
        <v>161.70082880672459</v>
      </c>
      <c r="T65" s="256">
        <f t="shared" si="102"/>
        <v>164.93484538285909</v>
      </c>
      <c r="U65" s="256">
        <f t="shared" si="102"/>
        <v>168.23354229051628</v>
      </c>
      <c r="V65" s="256">
        <f t="shared" si="102"/>
        <v>171.59821313632662</v>
      </c>
      <c r="W65" s="256">
        <f t="shared" si="102"/>
        <v>175.03017739905314</v>
      </c>
      <c r="X65" s="256">
        <f t="shared" si="102"/>
        <v>178.5307809470342</v>
      </c>
      <c r="Y65" s="256">
        <f t="shared" si="102"/>
        <v>182.10139656597488</v>
      </c>
      <c r="Z65" s="256">
        <f t="shared" si="102"/>
        <v>185.74342449729437</v>
      </c>
      <c r="AA65" s="256">
        <f t="shared" si="102"/>
        <v>189.45829298724027</v>
      </c>
      <c r="AB65" s="256">
        <f t="shared" si="102"/>
        <v>193.24745884698507</v>
      </c>
      <c r="AC65" s="256">
        <f t="shared" si="102"/>
        <v>197.11240802392479</v>
      </c>
      <c r="AD65" s="256">
        <f t="shared" si="102"/>
        <v>201.05465618440329</v>
      </c>
      <c r="AE65" s="256">
        <f t="shared" si="102"/>
        <v>205.07574930809136</v>
      </c>
      <c r="AF65" s="256">
        <f t="shared" si="102"/>
        <v>209.17726429425318</v>
      </c>
      <c r="AG65" s="256">
        <f t="shared" si="102"/>
        <v>213.36080958013824</v>
      </c>
      <c r="AH65" s="256">
        <f t="shared" si="102"/>
        <v>217.62802577174099</v>
      </c>
      <c r="AI65" s="256">
        <f t="shared" si="65"/>
        <v>221.98058628717581</v>
      </c>
      <c r="AJ65" s="256">
        <f t="shared" si="66"/>
        <v>226.42019801291934</v>
      </c>
      <c r="AK65" s="8"/>
      <c r="AL65" s="8"/>
      <c r="AM65" s="8"/>
      <c r="AN65" s="8"/>
      <c r="AO65" s="8"/>
      <c r="AP65" s="8"/>
    </row>
    <row r="66" spans="1:42" x14ac:dyDescent="0.15">
      <c r="A66" s="616">
        <v>5104</v>
      </c>
      <c r="B66" s="457">
        <f t="shared" si="62"/>
        <v>200</v>
      </c>
      <c r="C66" s="594" t="str">
        <f>"Maintenance / Capital Reserve ("&amp;TEXT(J8,"$0")&amp;" per space / year)"</f>
        <v>Maintenance / Capital Reserve ($250 per space / year)</v>
      </c>
      <c r="D66" s="137">
        <f ca="1">OFFSET('IE SUMMARY'!D42,0,MoveCount)</f>
        <v>21590.269999999997</v>
      </c>
      <c r="E66" s="256">
        <v>31600</v>
      </c>
      <c r="F66" s="312">
        <f t="shared" ref="F66:F74" si="103">E66/12</f>
        <v>2633.3333333333335</v>
      </c>
      <c r="G66" s="256">
        <f t="shared" ref="G66:AH66" si="104">F66*(1+GlobalInflation)</f>
        <v>2686</v>
      </c>
      <c r="H66" s="256">
        <f t="shared" si="104"/>
        <v>2739.7200000000003</v>
      </c>
      <c r="I66" s="256">
        <f t="shared" si="104"/>
        <v>2794.5144000000005</v>
      </c>
      <c r="J66" s="256">
        <f t="shared" si="104"/>
        <v>2850.4046880000005</v>
      </c>
      <c r="K66" s="256">
        <f t="shared" si="104"/>
        <v>2907.4127817600006</v>
      </c>
      <c r="L66" s="256">
        <f t="shared" si="104"/>
        <v>2965.5610373952009</v>
      </c>
      <c r="M66" s="256">
        <f t="shared" si="104"/>
        <v>3024.8722581431048</v>
      </c>
      <c r="N66" s="256">
        <f t="shared" si="104"/>
        <v>3085.3697033059671</v>
      </c>
      <c r="O66" s="256">
        <f t="shared" si="104"/>
        <v>3147.0770973720864</v>
      </c>
      <c r="P66" s="256">
        <f t="shared" si="104"/>
        <v>3210.0186393195281</v>
      </c>
      <c r="Q66" s="256">
        <f t="shared" si="104"/>
        <v>3274.2190121059189</v>
      </c>
      <c r="R66" s="256">
        <f t="shared" si="104"/>
        <v>3339.7033923480371</v>
      </c>
      <c r="S66" s="256">
        <f t="shared" si="104"/>
        <v>3406.497460194998</v>
      </c>
      <c r="T66" s="256">
        <f t="shared" si="104"/>
        <v>3474.6274093988982</v>
      </c>
      <c r="U66" s="256">
        <f t="shared" si="104"/>
        <v>3544.1199575868764</v>
      </c>
      <c r="V66" s="256">
        <f t="shared" si="104"/>
        <v>3615.0023567386138</v>
      </c>
      <c r="W66" s="256">
        <f t="shared" si="104"/>
        <v>3687.3024038733861</v>
      </c>
      <c r="X66" s="256">
        <f t="shared" si="104"/>
        <v>3761.0484519508541</v>
      </c>
      <c r="Y66" s="256">
        <f t="shared" si="104"/>
        <v>3836.2694209898714</v>
      </c>
      <c r="Z66" s="256">
        <f t="shared" si="104"/>
        <v>3912.994809409669</v>
      </c>
      <c r="AA66" s="256">
        <f t="shared" si="104"/>
        <v>3991.2547055978625</v>
      </c>
      <c r="AB66" s="256">
        <f t="shared" si="104"/>
        <v>4071.0797997098198</v>
      </c>
      <c r="AC66" s="256">
        <f t="shared" si="104"/>
        <v>4152.5013957040164</v>
      </c>
      <c r="AD66" s="256">
        <f t="shared" si="104"/>
        <v>4235.551423618097</v>
      </c>
      <c r="AE66" s="256">
        <f t="shared" si="104"/>
        <v>4320.2624520904592</v>
      </c>
      <c r="AF66" s="256">
        <f t="shared" si="104"/>
        <v>4406.6677011322681</v>
      </c>
      <c r="AG66" s="256">
        <f t="shared" si="104"/>
        <v>4494.8010551549132</v>
      </c>
      <c r="AH66" s="256">
        <f t="shared" si="104"/>
        <v>4584.6970762580113</v>
      </c>
      <c r="AI66" s="256">
        <f t="shared" si="65"/>
        <v>4676.3910177831713</v>
      </c>
      <c r="AJ66" s="256">
        <f t="shared" si="66"/>
        <v>4769.9188381388349</v>
      </c>
      <c r="AK66" s="8"/>
      <c r="AL66" s="8"/>
      <c r="AM66" s="8"/>
      <c r="AN66" s="8"/>
      <c r="AO66" s="8"/>
      <c r="AP66" s="8"/>
    </row>
    <row r="67" spans="1:42" x14ac:dyDescent="0.15">
      <c r="A67" s="616">
        <v>5109</v>
      </c>
      <c r="B67" s="457">
        <f t="shared" si="62"/>
        <v>44.303797468354432</v>
      </c>
      <c r="C67" s="594" t="s">
        <v>162</v>
      </c>
      <c r="D67" s="137">
        <f ca="1">OFFSET('IE SUMMARY'!D43,0,MoveCount)</f>
        <v>8240.68</v>
      </c>
      <c r="E67" s="256">
        <v>7000</v>
      </c>
      <c r="F67" s="312">
        <f>E67/12</f>
        <v>583.33333333333337</v>
      </c>
      <c r="G67" s="256">
        <f t="shared" ref="G67:AH67" si="105">F67*(1+GlobalInflation)</f>
        <v>595</v>
      </c>
      <c r="H67" s="256">
        <f t="shared" si="105"/>
        <v>606.9</v>
      </c>
      <c r="I67" s="256">
        <f t="shared" si="105"/>
        <v>619.03800000000001</v>
      </c>
      <c r="J67" s="256">
        <f t="shared" si="105"/>
        <v>631.41876000000002</v>
      </c>
      <c r="K67" s="256">
        <f t="shared" si="105"/>
        <v>644.04713520000007</v>
      </c>
      <c r="L67" s="256">
        <f t="shared" si="105"/>
        <v>656.92807790400013</v>
      </c>
      <c r="M67" s="256">
        <f t="shared" si="105"/>
        <v>670.06663946208016</v>
      </c>
      <c r="N67" s="256">
        <f t="shared" si="105"/>
        <v>683.46797225132173</v>
      </c>
      <c r="O67" s="256">
        <f t="shared" si="105"/>
        <v>697.13733169634816</v>
      </c>
      <c r="P67" s="256">
        <f t="shared" si="105"/>
        <v>711.08007833027511</v>
      </c>
      <c r="Q67" s="256">
        <f t="shared" si="105"/>
        <v>725.30167989688061</v>
      </c>
      <c r="R67" s="256">
        <f t="shared" si="105"/>
        <v>739.80771349481824</v>
      </c>
      <c r="S67" s="256">
        <f t="shared" si="105"/>
        <v>754.60386776471466</v>
      </c>
      <c r="T67" s="256">
        <f t="shared" si="105"/>
        <v>769.69594512000901</v>
      </c>
      <c r="U67" s="256">
        <f t="shared" si="105"/>
        <v>785.08986402240919</v>
      </c>
      <c r="V67" s="256">
        <f t="shared" si="105"/>
        <v>800.79166130285739</v>
      </c>
      <c r="W67" s="256">
        <f t="shared" si="105"/>
        <v>816.8074945289145</v>
      </c>
      <c r="X67" s="256">
        <f t="shared" si="105"/>
        <v>833.14364441949283</v>
      </c>
      <c r="Y67" s="256">
        <f t="shared" si="105"/>
        <v>849.8065173078827</v>
      </c>
      <c r="Z67" s="256">
        <f t="shared" si="105"/>
        <v>866.80264765404036</v>
      </c>
      <c r="AA67" s="256">
        <f t="shared" si="105"/>
        <v>884.13870060712122</v>
      </c>
      <c r="AB67" s="256">
        <f t="shared" si="105"/>
        <v>901.82147461926365</v>
      </c>
      <c r="AC67" s="256">
        <f t="shared" si="105"/>
        <v>919.85790411164896</v>
      </c>
      <c r="AD67" s="256">
        <f t="shared" si="105"/>
        <v>938.25506219388194</v>
      </c>
      <c r="AE67" s="256">
        <f t="shared" si="105"/>
        <v>957.02016343775961</v>
      </c>
      <c r="AF67" s="256">
        <f t="shared" si="105"/>
        <v>976.16056670651483</v>
      </c>
      <c r="AG67" s="256">
        <f t="shared" si="105"/>
        <v>995.68377804064517</v>
      </c>
      <c r="AH67" s="256">
        <f t="shared" si="105"/>
        <v>1015.5974536014581</v>
      </c>
      <c r="AI67" s="256">
        <f t="shared" si="65"/>
        <v>1035.9094026734874</v>
      </c>
      <c r="AJ67" s="256">
        <f t="shared" si="66"/>
        <v>1056.6275907269571</v>
      </c>
      <c r="AK67" s="8"/>
      <c r="AL67" s="8"/>
      <c r="AM67" s="8"/>
      <c r="AN67" s="8"/>
      <c r="AO67" s="8"/>
      <c r="AP67" s="8"/>
    </row>
    <row r="68" spans="1:42" x14ac:dyDescent="0.15">
      <c r="A68" s="616">
        <v>5200</v>
      </c>
      <c r="B68" s="457">
        <f t="shared" si="62"/>
        <v>47.392405063291136</v>
      </c>
      <c r="C68" s="594" t="s">
        <v>163</v>
      </c>
      <c r="D68" s="137">
        <f ca="1">OFFSET('IE SUMMARY'!D44,0,MoveCount)</f>
        <v>9624.8200000000015</v>
      </c>
      <c r="E68" s="256">
        <f>624*12</f>
        <v>7488</v>
      </c>
      <c r="F68" s="312">
        <f>E68/12</f>
        <v>624</v>
      </c>
      <c r="G68" s="256">
        <f t="shared" ref="G68:AH68" si="106">F68*(1+GlobalInflation)</f>
        <v>636.48</v>
      </c>
      <c r="H68" s="256">
        <f t="shared" si="106"/>
        <v>649.20960000000002</v>
      </c>
      <c r="I68" s="256">
        <f t="shared" si="106"/>
        <v>662.19379200000003</v>
      </c>
      <c r="J68" s="256">
        <f t="shared" si="106"/>
        <v>675.43766784000002</v>
      </c>
      <c r="K68" s="256">
        <f t="shared" si="106"/>
        <v>688.94642119679997</v>
      </c>
      <c r="L68" s="256">
        <f t="shared" si="106"/>
        <v>702.72534962073598</v>
      </c>
      <c r="M68" s="256">
        <f t="shared" si="106"/>
        <v>716.77985661315074</v>
      </c>
      <c r="N68" s="256">
        <f t="shared" si="106"/>
        <v>731.11545374541379</v>
      </c>
      <c r="O68" s="256">
        <f t="shared" si="106"/>
        <v>745.73776282032213</v>
      </c>
      <c r="P68" s="256">
        <f t="shared" si="106"/>
        <v>760.6525180767286</v>
      </c>
      <c r="Q68" s="256">
        <f t="shared" si="106"/>
        <v>775.86556843826315</v>
      </c>
      <c r="R68" s="256">
        <f t="shared" si="106"/>
        <v>791.38287980702842</v>
      </c>
      <c r="S68" s="256">
        <f t="shared" si="106"/>
        <v>807.21053740316904</v>
      </c>
      <c r="T68" s="256">
        <f t="shared" si="106"/>
        <v>823.35474815123246</v>
      </c>
      <c r="U68" s="256">
        <f t="shared" si="106"/>
        <v>839.82184311425715</v>
      </c>
      <c r="V68" s="256">
        <f t="shared" si="106"/>
        <v>856.61827997654234</v>
      </c>
      <c r="W68" s="256">
        <f t="shared" si="106"/>
        <v>873.75064557607323</v>
      </c>
      <c r="X68" s="256">
        <f t="shared" si="106"/>
        <v>891.22565848759473</v>
      </c>
      <c r="Y68" s="256">
        <f t="shared" si="106"/>
        <v>909.0501716573466</v>
      </c>
      <c r="Z68" s="256">
        <f t="shared" si="106"/>
        <v>927.23117509049359</v>
      </c>
      <c r="AA68" s="256">
        <f t="shared" si="106"/>
        <v>945.77579859230343</v>
      </c>
      <c r="AB68" s="256">
        <f t="shared" si="106"/>
        <v>964.69131456414948</v>
      </c>
      <c r="AC68" s="256">
        <f t="shared" si="106"/>
        <v>983.98514085543252</v>
      </c>
      <c r="AD68" s="256">
        <f t="shared" si="106"/>
        <v>1003.6648436725412</v>
      </c>
      <c r="AE68" s="256">
        <f t="shared" si="106"/>
        <v>1023.7381405459921</v>
      </c>
      <c r="AF68" s="256">
        <f t="shared" si="106"/>
        <v>1044.212903356912</v>
      </c>
      <c r="AG68" s="256">
        <f t="shared" si="106"/>
        <v>1065.0971614240502</v>
      </c>
      <c r="AH68" s="256">
        <f t="shared" si="106"/>
        <v>1086.3991046525312</v>
      </c>
      <c r="AI68" s="256">
        <f t="shared" si="65"/>
        <v>1108.1270867455819</v>
      </c>
      <c r="AJ68" s="256">
        <f t="shared" si="66"/>
        <v>1130.2896284804935</v>
      </c>
      <c r="AK68" s="8"/>
      <c r="AL68" s="8"/>
      <c r="AM68" s="8"/>
      <c r="AN68" s="8"/>
      <c r="AO68" s="8"/>
      <c r="AP68" s="8"/>
    </row>
    <row r="69" spans="1:42" x14ac:dyDescent="0.15">
      <c r="A69" s="616">
        <v>5301</v>
      </c>
      <c r="B69" s="457">
        <f t="shared" si="62"/>
        <v>113.58683544303798</v>
      </c>
      <c r="C69" s="594" t="s">
        <v>164</v>
      </c>
      <c r="D69" s="137">
        <f ca="1">OFFSET('IE SUMMARY'!D45,0,MoveCount)</f>
        <v>15418.68</v>
      </c>
      <c r="E69" s="256">
        <v>17946.72</v>
      </c>
      <c r="F69" s="312">
        <f>E69/12</f>
        <v>1495.5600000000002</v>
      </c>
      <c r="G69" s="256">
        <f t="shared" ref="G69:AH69" si="107">F69*(1+GlobalInflation)</f>
        <v>1525.4712000000002</v>
      </c>
      <c r="H69" s="256">
        <f t="shared" si="107"/>
        <v>1555.9806240000003</v>
      </c>
      <c r="I69" s="256">
        <f t="shared" si="107"/>
        <v>1587.1002364800004</v>
      </c>
      <c r="J69" s="256">
        <f t="shared" si="107"/>
        <v>1618.8422412096004</v>
      </c>
      <c r="K69" s="256">
        <f t="shared" si="107"/>
        <v>1651.2190860337923</v>
      </c>
      <c r="L69" s="256">
        <f t="shared" si="107"/>
        <v>1684.2434677544682</v>
      </c>
      <c r="M69" s="256">
        <f t="shared" si="107"/>
        <v>1717.9283371095576</v>
      </c>
      <c r="N69" s="256">
        <f t="shared" si="107"/>
        <v>1752.2869038517488</v>
      </c>
      <c r="O69" s="256">
        <f t="shared" si="107"/>
        <v>1787.3326419287837</v>
      </c>
      <c r="P69" s="256">
        <f t="shared" si="107"/>
        <v>1823.0792947673594</v>
      </c>
      <c r="Q69" s="256">
        <f t="shared" si="107"/>
        <v>1859.5408806627067</v>
      </c>
      <c r="R69" s="256">
        <f t="shared" si="107"/>
        <v>1896.731698275961</v>
      </c>
      <c r="S69" s="256">
        <f t="shared" si="107"/>
        <v>1934.6663322414802</v>
      </c>
      <c r="T69" s="256">
        <f t="shared" si="107"/>
        <v>1973.3596588863097</v>
      </c>
      <c r="U69" s="256">
        <f t="shared" si="107"/>
        <v>2012.8268520640358</v>
      </c>
      <c r="V69" s="256">
        <f t="shared" si="107"/>
        <v>2053.0833891053167</v>
      </c>
      <c r="W69" s="256">
        <f t="shared" si="107"/>
        <v>2094.1450568874229</v>
      </c>
      <c r="X69" s="256">
        <f t="shared" si="107"/>
        <v>2136.0279580251713</v>
      </c>
      <c r="Y69" s="256">
        <f t="shared" si="107"/>
        <v>2178.7485171856747</v>
      </c>
      <c r="Z69" s="256">
        <f t="shared" si="107"/>
        <v>2222.3234875293883</v>
      </c>
      <c r="AA69" s="256">
        <f t="shared" si="107"/>
        <v>2266.7699572799761</v>
      </c>
      <c r="AB69" s="256">
        <f t="shared" si="107"/>
        <v>2312.1053564255758</v>
      </c>
      <c r="AC69" s="256">
        <f t="shared" si="107"/>
        <v>2358.3474635540874</v>
      </c>
      <c r="AD69" s="256">
        <f t="shared" si="107"/>
        <v>2405.5144128251691</v>
      </c>
      <c r="AE69" s="256">
        <f t="shared" si="107"/>
        <v>2453.6247010816724</v>
      </c>
      <c r="AF69" s="256">
        <f t="shared" si="107"/>
        <v>2502.6971951033061</v>
      </c>
      <c r="AG69" s="256">
        <f t="shared" si="107"/>
        <v>2552.7511390053724</v>
      </c>
      <c r="AH69" s="256">
        <f t="shared" si="107"/>
        <v>2603.8061617854796</v>
      </c>
      <c r="AI69" s="256">
        <f t="shared" si="65"/>
        <v>2655.8822850211891</v>
      </c>
      <c r="AJ69" s="256">
        <f t="shared" si="66"/>
        <v>2708.9999307216131</v>
      </c>
      <c r="AK69" s="8"/>
      <c r="AL69" s="8"/>
      <c r="AM69" s="8"/>
      <c r="AN69" s="8"/>
      <c r="AO69" s="8"/>
      <c r="AP69" s="8"/>
    </row>
    <row r="70" spans="1:42" x14ac:dyDescent="0.15">
      <c r="A70" s="616">
        <v>5053</v>
      </c>
      <c r="B70" s="457">
        <f t="shared" si="62"/>
        <v>85.528481012658233</v>
      </c>
      <c r="C70" s="594" t="s">
        <v>165</v>
      </c>
      <c r="D70" s="137">
        <f ca="1">OFFSET('IE SUMMARY'!D46,0,MoveCount)</f>
        <v>13443.8</v>
      </c>
      <c r="E70" s="256">
        <v>13513.5</v>
      </c>
      <c r="F70" s="312">
        <f>E70/12</f>
        <v>1126.125</v>
      </c>
      <c r="G70" s="256">
        <f t="shared" ref="G70:AH70" si="108">F70*(1+GlobalInflation)</f>
        <v>1148.6475</v>
      </c>
      <c r="H70" s="256">
        <f t="shared" si="108"/>
        <v>1171.6204500000001</v>
      </c>
      <c r="I70" s="256">
        <f t="shared" si="108"/>
        <v>1195.0528590000001</v>
      </c>
      <c r="J70" s="256">
        <f t="shared" si="108"/>
        <v>1218.9539161800001</v>
      </c>
      <c r="K70" s="256">
        <f t="shared" si="108"/>
        <v>1243.3329945036</v>
      </c>
      <c r="L70" s="256">
        <f t="shared" si="108"/>
        <v>1268.1996543936721</v>
      </c>
      <c r="M70" s="256">
        <f t="shared" si="108"/>
        <v>1293.5636474815456</v>
      </c>
      <c r="N70" s="256">
        <f t="shared" si="108"/>
        <v>1319.4349204311766</v>
      </c>
      <c r="O70" s="256">
        <f t="shared" si="108"/>
        <v>1345.8236188398002</v>
      </c>
      <c r="P70" s="256">
        <f t="shared" si="108"/>
        <v>1372.7400912165963</v>
      </c>
      <c r="Q70" s="256">
        <f t="shared" si="108"/>
        <v>1400.1948930409283</v>
      </c>
      <c r="R70" s="256">
        <f t="shared" si="108"/>
        <v>1428.1987909017469</v>
      </c>
      <c r="S70" s="256">
        <f t="shared" si="108"/>
        <v>1456.7627667197819</v>
      </c>
      <c r="T70" s="256">
        <f t="shared" si="108"/>
        <v>1485.8980220541775</v>
      </c>
      <c r="U70" s="256">
        <f t="shared" si="108"/>
        <v>1515.6159824952611</v>
      </c>
      <c r="V70" s="256">
        <f t="shared" si="108"/>
        <v>1545.9283021451663</v>
      </c>
      <c r="W70" s="256">
        <f t="shared" si="108"/>
        <v>1576.8468681880697</v>
      </c>
      <c r="X70" s="256">
        <f t="shared" si="108"/>
        <v>1608.3838055518311</v>
      </c>
      <c r="Y70" s="256">
        <f t="shared" si="108"/>
        <v>1640.5514816628677</v>
      </c>
      <c r="Z70" s="256">
        <f t="shared" si="108"/>
        <v>1673.3625112961251</v>
      </c>
      <c r="AA70" s="256">
        <f t="shared" si="108"/>
        <v>1706.8297615220476</v>
      </c>
      <c r="AB70" s="256">
        <f t="shared" si="108"/>
        <v>1740.9663567524885</v>
      </c>
      <c r="AC70" s="256">
        <f t="shared" si="108"/>
        <v>1775.7856838875384</v>
      </c>
      <c r="AD70" s="256">
        <f t="shared" si="108"/>
        <v>1811.3013975652893</v>
      </c>
      <c r="AE70" s="256">
        <f t="shared" si="108"/>
        <v>1847.5274255165953</v>
      </c>
      <c r="AF70" s="256">
        <f t="shared" si="108"/>
        <v>1884.4779740269271</v>
      </c>
      <c r="AG70" s="256">
        <f t="shared" si="108"/>
        <v>1922.1675335074656</v>
      </c>
      <c r="AH70" s="256">
        <f t="shared" si="108"/>
        <v>1960.6108841776149</v>
      </c>
      <c r="AI70" s="256">
        <f t="shared" si="65"/>
        <v>1999.8231018611673</v>
      </c>
      <c r="AJ70" s="256">
        <f t="shared" si="66"/>
        <v>2039.8195638983907</v>
      </c>
      <c r="AK70" s="8"/>
      <c r="AL70" s="8"/>
      <c r="AM70" s="8"/>
      <c r="AN70" s="8"/>
      <c r="AO70" s="8"/>
      <c r="AP70" s="8"/>
    </row>
    <row r="71" spans="1:42" x14ac:dyDescent="0.15">
      <c r="A71" s="616">
        <v>5604</v>
      </c>
      <c r="B71" s="457">
        <f t="shared" si="62"/>
        <v>6.9303797468354427</v>
      </c>
      <c r="C71" s="594" t="s">
        <v>166</v>
      </c>
      <c r="D71" s="137">
        <f ca="1">OFFSET('IE SUMMARY'!D47,0,MoveCount)</f>
        <v>0</v>
      </c>
      <c r="E71" s="256">
        <v>1095</v>
      </c>
      <c r="F71" s="312">
        <f t="shared" si="103"/>
        <v>91.25</v>
      </c>
      <c r="G71" s="256">
        <f t="shared" ref="G71:AH71" si="109">F71*(1+GlobalInflation)</f>
        <v>93.075000000000003</v>
      </c>
      <c r="H71" s="256">
        <f t="shared" si="109"/>
        <v>94.936500000000009</v>
      </c>
      <c r="I71" s="256">
        <f t="shared" si="109"/>
        <v>96.83523000000001</v>
      </c>
      <c r="J71" s="256">
        <f t="shared" si="109"/>
        <v>98.771934600000009</v>
      </c>
      <c r="K71" s="256">
        <f t="shared" si="109"/>
        <v>100.74737329200001</v>
      </c>
      <c r="L71" s="256">
        <f t="shared" si="109"/>
        <v>102.76232075784</v>
      </c>
      <c r="M71" s="256">
        <f t="shared" si="109"/>
        <v>104.8175671729968</v>
      </c>
      <c r="N71" s="256">
        <f t="shared" si="109"/>
        <v>106.91391851645675</v>
      </c>
      <c r="O71" s="256">
        <f t="shared" si="109"/>
        <v>109.05219688678588</v>
      </c>
      <c r="P71" s="256">
        <f t="shared" si="109"/>
        <v>111.2332408245216</v>
      </c>
      <c r="Q71" s="256">
        <f t="shared" si="109"/>
        <v>113.45790564101203</v>
      </c>
      <c r="R71" s="256">
        <f t="shared" si="109"/>
        <v>115.72706375383227</v>
      </c>
      <c r="S71" s="256">
        <f t="shared" si="109"/>
        <v>118.04160502890892</v>
      </c>
      <c r="T71" s="256">
        <f t="shared" si="109"/>
        <v>120.4024371294871</v>
      </c>
      <c r="U71" s="256">
        <f t="shared" si="109"/>
        <v>122.81048587207684</v>
      </c>
      <c r="V71" s="256">
        <f t="shared" si="109"/>
        <v>125.26669558951838</v>
      </c>
      <c r="W71" s="256">
        <f t="shared" si="109"/>
        <v>127.77202950130875</v>
      </c>
      <c r="X71" s="256">
        <f t="shared" si="109"/>
        <v>130.32747009133493</v>
      </c>
      <c r="Y71" s="256">
        <f t="shared" si="109"/>
        <v>132.93401949316163</v>
      </c>
      <c r="Z71" s="256">
        <f t="shared" si="109"/>
        <v>135.59269988302486</v>
      </c>
      <c r="AA71" s="256">
        <f t="shared" si="109"/>
        <v>138.30455388068538</v>
      </c>
      <c r="AB71" s="256">
        <f t="shared" si="109"/>
        <v>141.07064495829908</v>
      </c>
      <c r="AC71" s="256">
        <f t="shared" si="109"/>
        <v>143.89205785746506</v>
      </c>
      <c r="AD71" s="256">
        <f t="shared" si="109"/>
        <v>146.76989901461437</v>
      </c>
      <c r="AE71" s="256">
        <f t="shared" si="109"/>
        <v>149.70529699490666</v>
      </c>
      <c r="AF71" s="256">
        <f t="shared" si="109"/>
        <v>152.69940293480479</v>
      </c>
      <c r="AG71" s="256">
        <f t="shared" si="109"/>
        <v>155.75339099350089</v>
      </c>
      <c r="AH71" s="256">
        <f t="shared" si="109"/>
        <v>158.86845881337089</v>
      </c>
      <c r="AI71" s="256">
        <f t="shared" si="65"/>
        <v>162.04582798963833</v>
      </c>
      <c r="AJ71" s="256">
        <f t="shared" si="66"/>
        <v>165.28674454943109</v>
      </c>
      <c r="AK71" s="8"/>
      <c r="AL71" s="8"/>
      <c r="AM71" s="8"/>
      <c r="AN71" s="8"/>
      <c r="AO71" s="8"/>
      <c r="AP71" s="8"/>
    </row>
    <row r="72" spans="1:42" x14ac:dyDescent="0.15">
      <c r="A72" s="616">
        <v>5062</v>
      </c>
      <c r="B72" s="457">
        <f t="shared" si="62"/>
        <v>15.822784810126583</v>
      </c>
      <c r="C72" s="594" t="s">
        <v>167</v>
      </c>
      <c r="D72" s="137">
        <f ca="1">OFFSET('IE SUMMARY'!D48,0,MoveCount)</f>
        <v>18665.7</v>
      </c>
      <c r="E72" s="256">
        <v>2500</v>
      </c>
      <c r="F72" s="312">
        <f>E72/12</f>
        <v>208.33333333333334</v>
      </c>
      <c r="G72" s="256">
        <f t="shared" ref="G72:AH72" si="110">F72*(1+GlobalInflation)</f>
        <v>212.5</v>
      </c>
      <c r="H72" s="256">
        <f t="shared" si="110"/>
        <v>216.75</v>
      </c>
      <c r="I72" s="256">
        <f t="shared" si="110"/>
        <v>221.08500000000001</v>
      </c>
      <c r="J72" s="256">
        <f t="shared" si="110"/>
        <v>225.50670000000002</v>
      </c>
      <c r="K72" s="256">
        <f t="shared" si="110"/>
        <v>230.01683400000002</v>
      </c>
      <c r="L72" s="256">
        <f t="shared" si="110"/>
        <v>234.61717068000002</v>
      </c>
      <c r="M72" s="256">
        <f t="shared" si="110"/>
        <v>239.30951409360003</v>
      </c>
      <c r="N72" s="256">
        <f t="shared" si="110"/>
        <v>244.09570437547202</v>
      </c>
      <c r="O72" s="256">
        <f t="shared" si="110"/>
        <v>248.97761846298147</v>
      </c>
      <c r="P72" s="256">
        <f t="shared" si="110"/>
        <v>253.9571708322411</v>
      </c>
      <c r="Q72" s="256">
        <f t="shared" si="110"/>
        <v>259.03631424888596</v>
      </c>
      <c r="R72" s="256">
        <f t="shared" si="110"/>
        <v>264.21704053386367</v>
      </c>
      <c r="S72" s="256">
        <f t="shared" si="110"/>
        <v>269.50138134454096</v>
      </c>
      <c r="T72" s="256">
        <f t="shared" si="110"/>
        <v>274.89140897143176</v>
      </c>
      <c r="U72" s="256">
        <f t="shared" si="110"/>
        <v>280.38923715086042</v>
      </c>
      <c r="V72" s="256">
        <f t="shared" si="110"/>
        <v>285.99702189387762</v>
      </c>
      <c r="W72" s="256">
        <f t="shared" si="110"/>
        <v>291.71696233175516</v>
      </c>
      <c r="X72" s="256">
        <f t="shared" si="110"/>
        <v>297.55130157839028</v>
      </c>
      <c r="Y72" s="256">
        <f t="shared" si="110"/>
        <v>303.50232760995812</v>
      </c>
      <c r="Z72" s="256">
        <f t="shared" si="110"/>
        <v>309.5723741621573</v>
      </c>
      <c r="AA72" s="256">
        <f t="shared" si="110"/>
        <v>315.76382164540047</v>
      </c>
      <c r="AB72" s="256">
        <f t="shared" si="110"/>
        <v>322.0790980783085</v>
      </c>
      <c r="AC72" s="256">
        <f t="shared" si="110"/>
        <v>328.52068003987466</v>
      </c>
      <c r="AD72" s="256">
        <f t="shared" si="110"/>
        <v>335.09109364067217</v>
      </c>
      <c r="AE72" s="256">
        <f t="shared" si="110"/>
        <v>341.79291551348564</v>
      </c>
      <c r="AF72" s="256">
        <f t="shared" si="110"/>
        <v>348.62877382375535</v>
      </c>
      <c r="AG72" s="256">
        <f t="shared" si="110"/>
        <v>355.60134930023048</v>
      </c>
      <c r="AH72" s="256">
        <f t="shared" si="110"/>
        <v>362.71337628623507</v>
      </c>
      <c r="AI72" s="256">
        <f t="shared" si="65"/>
        <v>369.96764381195976</v>
      </c>
      <c r="AJ72" s="256">
        <f t="shared" si="66"/>
        <v>377.36699668819898</v>
      </c>
      <c r="AK72" s="8"/>
      <c r="AL72" s="8"/>
      <c r="AM72" s="8"/>
      <c r="AN72" s="8"/>
      <c r="AO72" s="8"/>
      <c r="AP72" s="8"/>
    </row>
    <row r="73" spans="1:42" x14ac:dyDescent="0.15">
      <c r="A73" s="616">
        <v>5302</v>
      </c>
      <c r="B73" s="457">
        <f t="shared" si="62"/>
        <v>10.759493670886076</v>
      </c>
      <c r="C73" s="594" t="s">
        <v>168</v>
      </c>
      <c r="D73" s="137">
        <f ca="1">OFFSET('IE SUMMARY'!D49,0,MoveCount)</f>
        <v>150</v>
      </c>
      <c r="E73" s="256">
        <v>1700</v>
      </c>
      <c r="F73" s="312">
        <f t="shared" si="103"/>
        <v>141.66666666666666</v>
      </c>
      <c r="G73" s="256">
        <f t="shared" ref="G73:AH73" si="111">F73*(1+GlobalInflation)</f>
        <v>144.5</v>
      </c>
      <c r="H73" s="256">
        <f t="shared" si="111"/>
        <v>147.39000000000001</v>
      </c>
      <c r="I73" s="256">
        <f t="shared" si="111"/>
        <v>150.33780000000002</v>
      </c>
      <c r="J73" s="256">
        <f t="shared" si="111"/>
        <v>153.34455600000001</v>
      </c>
      <c r="K73" s="256">
        <f t="shared" si="111"/>
        <v>156.41144712000002</v>
      </c>
      <c r="L73" s="256">
        <f t="shared" si="111"/>
        <v>159.53967606240002</v>
      </c>
      <c r="M73" s="256">
        <f t="shared" si="111"/>
        <v>162.73046958364802</v>
      </c>
      <c r="N73" s="256">
        <f t="shared" si="111"/>
        <v>165.98507897532099</v>
      </c>
      <c r="O73" s="256">
        <f t="shared" si="111"/>
        <v>169.3047805548274</v>
      </c>
      <c r="P73" s="256">
        <f t="shared" si="111"/>
        <v>172.69087616592395</v>
      </c>
      <c r="Q73" s="256">
        <f t="shared" si="111"/>
        <v>176.14469368924244</v>
      </c>
      <c r="R73" s="256">
        <f t="shared" si="111"/>
        <v>179.6675875630273</v>
      </c>
      <c r="S73" s="256">
        <f t="shared" si="111"/>
        <v>183.26093931428784</v>
      </c>
      <c r="T73" s="256">
        <f t="shared" si="111"/>
        <v>186.92615810057359</v>
      </c>
      <c r="U73" s="256">
        <f t="shared" si="111"/>
        <v>190.66468126258505</v>
      </c>
      <c r="V73" s="256">
        <f t="shared" si="111"/>
        <v>194.47797488783675</v>
      </c>
      <c r="W73" s="256">
        <f t="shared" si="111"/>
        <v>198.3675343855935</v>
      </c>
      <c r="X73" s="256">
        <f t="shared" si="111"/>
        <v>202.33488507330537</v>
      </c>
      <c r="Y73" s="256">
        <f t="shared" si="111"/>
        <v>206.38158277477149</v>
      </c>
      <c r="Z73" s="256">
        <f t="shared" si="111"/>
        <v>210.50921443026692</v>
      </c>
      <c r="AA73" s="256">
        <f t="shared" si="111"/>
        <v>214.71939871887227</v>
      </c>
      <c r="AB73" s="256">
        <f t="shared" si="111"/>
        <v>219.01378669324973</v>
      </c>
      <c r="AC73" s="256">
        <f t="shared" si="111"/>
        <v>223.39406242711473</v>
      </c>
      <c r="AD73" s="256">
        <f t="shared" si="111"/>
        <v>227.86194367565705</v>
      </c>
      <c r="AE73" s="256">
        <f t="shared" si="111"/>
        <v>232.41918254917019</v>
      </c>
      <c r="AF73" s="256">
        <f t="shared" si="111"/>
        <v>237.06756620015361</v>
      </c>
      <c r="AG73" s="256">
        <f t="shared" si="111"/>
        <v>241.80891752415667</v>
      </c>
      <c r="AH73" s="256">
        <f t="shared" si="111"/>
        <v>246.64509587463979</v>
      </c>
      <c r="AI73" s="256">
        <f t="shared" si="65"/>
        <v>251.57799779213261</v>
      </c>
      <c r="AJ73" s="256">
        <f t="shared" si="66"/>
        <v>256.60955774797526</v>
      </c>
      <c r="AK73" s="8"/>
      <c r="AL73" s="8"/>
      <c r="AM73" s="8"/>
      <c r="AN73" s="8"/>
      <c r="AO73" s="8"/>
      <c r="AP73" s="8"/>
    </row>
    <row r="74" spans="1:42" x14ac:dyDescent="0.15">
      <c r="A74" s="616">
        <v>5001</v>
      </c>
      <c r="B74" s="457">
        <f t="shared" si="62"/>
        <v>0</v>
      </c>
      <c r="C74" s="594" t="s">
        <v>169</v>
      </c>
      <c r="D74" s="137">
        <f ca="1">OFFSET('IE SUMMARY'!D50,0,MoveCount)</f>
        <v>0</v>
      </c>
      <c r="E74" s="256">
        <v>0</v>
      </c>
      <c r="F74" s="312">
        <f t="shared" si="103"/>
        <v>0</v>
      </c>
      <c r="G74" s="256">
        <f t="shared" ref="G74:AH74" si="112">F74*(1+GlobalInflation)</f>
        <v>0</v>
      </c>
      <c r="H74" s="256">
        <f t="shared" si="112"/>
        <v>0</v>
      </c>
      <c r="I74" s="256">
        <f t="shared" si="112"/>
        <v>0</v>
      </c>
      <c r="J74" s="256">
        <f t="shared" si="112"/>
        <v>0</v>
      </c>
      <c r="K74" s="256">
        <f t="shared" si="112"/>
        <v>0</v>
      </c>
      <c r="L74" s="256">
        <f t="shared" si="112"/>
        <v>0</v>
      </c>
      <c r="M74" s="256">
        <f t="shared" si="112"/>
        <v>0</v>
      </c>
      <c r="N74" s="256">
        <f t="shared" si="112"/>
        <v>0</v>
      </c>
      <c r="O74" s="256">
        <f t="shared" si="112"/>
        <v>0</v>
      </c>
      <c r="P74" s="256">
        <f t="shared" si="112"/>
        <v>0</v>
      </c>
      <c r="Q74" s="256">
        <f t="shared" si="112"/>
        <v>0</v>
      </c>
      <c r="R74" s="256">
        <f t="shared" si="112"/>
        <v>0</v>
      </c>
      <c r="S74" s="256">
        <f t="shared" si="112"/>
        <v>0</v>
      </c>
      <c r="T74" s="256">
        <f t="shared" si="112"/>
        <v>0</v>
      </c>
      <c r="U74" s="256">
        <f t="shared" si="112"/>
        <v>0</v>
      </c>
      <c r="V74" s="256">
        <f t="shared" si="112"/>
        <v>0</v>
      </c>
      <c r="W74" s="256">
        <f t="shared" si="112"/>
        <v>0</v>
      </c>
      <c r="X74" s="256">
        <f t="shared" si="112"/>
        <v>0</v>
      </c>
      <c r="Y74" s="256">
        <f t="shared" si="112"/>
        <v>0</v>
      </c>
      <c r="Z74" s="256">
        <f t="shared" si="112"/>
        <v>0</v>
      </c>
      <c r="AA74" s="256">
        <f t="shared" si="112"/>
        <v>0</v>
      </c>
      <c r="AB74" s="256">
        <f t="shared" si="112"/>
        <v>0</v>
      </c>
      <c r="AC74" s="256">
        <f t="shared" si="112"/>
        <v>0</v>
      </c>
      <c r="AD74" s="256">
        <f t="shared" si="112"/>
        <v>0</v>
      </c>
      <c r="AE74" s="256">
        <f t="shared" si="112"/>
        <v>0</v>
      </c>
      <c r="AF74" s="256">
        <f t="shared" si="112"/>
        <v>0</v>
      </c>
      <c r="AG74" s="256">
        <f t="shared" si="112"/>
        <v>0</v>
      </c>
      <c r="AH74" s="256">
        <f t="shared" si="112"/>
        <v>0</v>
      </c>
      <c r="AI74" s="256">
        <f t="shared" si="65"/>
        <v>0</v>
      </c>
      <c r="AJ74" s="256">
        <f t="shared" si="66"/>
        <v>0</v>
      </c>
      <c r="AK74" s="8"/>
      <c r="AL74" s="8"/>
      <c r="AM74" s="8"/>
      <c r="AN74" s="8"/>
      <c r="AO74" s="8"/>
      <c r="AP74" s="8"/>
    </row>
    <row r="75" spans="1:42" x14ac:dyDescent="0.15">
      <c r="A75" s="616">
        <v>5061</v>
      </c>
      <c r="B75" s="457">
        <f t="shared" si="62"/>
        <v>15.50632911392405</v>
      </c>
      <c r="C75" s="594" t="s">
        <v>170</v>
      </c>
      <c r="D75" s="137">
        <f ca="1">OFFSET('IE SUMMARY'!D51,0,MoveCount)</f>
        <v>0</v>
      </c>
      <c r="E75" s="256">
        <v>2450</v>
      </c>
      <c r="F75" s="312">
        <f>E75/12</f>
        <v>204.16666666666666</v>
      </c>
      <c r="G75" s="256">
        <f t="shared" ref="G75:AH75" si="113">F75*(1+GlobalInflation)</f>
        <v>208.25</v>
      </c>
      <c r="H75" s="256">
        <f t="shared" si="113"/>
        <v>212.41499999999999</v>
      </c>
      <c r="I75" s="256">
        <f t="shared" si="113"/>
        <v>216.66329999999999</v>
      </c>
      <c r="J75" s="256">
        <f t="shared" si="113"/>
        <v>220.996566</v>
      </c>
      <c r="K75" s="256">
        <f t="shared" si="113"/>
        <v>225.41649732000002</v>
      </c>
      <c r="L75" s="256">
        <f t="shared" si="113"/>
        <v>229.92482726640003</v>
      </c>
      <c r="M75" s="256">
        <f t="shared" si="113"/>
        <v>234.52332381172803</v>
      </c>
      <c r="N75" s="256">
        <f t="shared" si="113"/>
        <v>239.21379028796261</v>
      </c>
      <c r="O75" s="256">
        <f t="shared" si="113"/>
        <v>243.99806609372186</v>
      </c>
      <c r="P75" s="256">
        <f t="shared" si="113"/>
        <v>248.87802741559631</v>
      </c>
      <c r="Q75" s="256">
        <f t="shared" si="113"/>
        <v>253.85558796390825</v>
      </c>
      <c r="R75" s="256">
        <f t="shared" si="113"/>
        <v>258.93269972318643</v>
      </c>
      <c r="S75" s="256">
        <f t="shared" si="113"/>
        <v>264.11135371765016</v>
      </c>
      <c r="T75" s="256">
        <f t="shared" si="113"/>
        <v>269.39358079200315</v>
      </c>
      <c r="U75" s="256">
        <f t="shared" si="113"/>
        <v>274.78145240784323</v>
      </c>
      <c r="V75" s="256">
        <f t="shared" si="113"/>
        <v>280.27708145600008</v>
      </c>
      <c r="W75" s="256">
        <f t="shared" si="113"/>
        <v>285.88262308512009</v>
      </c>
      <c r="X75" s="256">
        <f t="shared" si="113"/>
        <v>291.6002755468225</v>
      </c>
      <c r="Y75" s="256">
        <f t="shared" si="113"/>
        <v>297.43228105775898</v>
      </c>
      <c r="Z75" s="256">
        <f t="shared" si="113"/>
        <v>303.38092667891419</v>
      </c>
      <c r="AA75" s="256">
        <f t="shared" si="113"/>
        <v>309.44854521249249</v>
      </c>
      <c r="AB75" s="256">
        <f t="shared" si="113"/>
        <v>315.63751611674235</v>
      </c>
      <c r="AC75" s="256">
        <f t="shared" si="113"/>
        <v>321.95026643907721</v>
      </c>
      <c r="AD75" s="256">
        <f t="shared" si="113"/>
        <v>328.38927176785876</v>
      </c>
      <c r="AE75" s="256">
        <f t="shared" si="113"/>
        <v>334.95705720321592</v>
      </c>
      <c r="AF75" s="256">
        <f t="shared" si="113"/>
        <v>341.65619834728022</v>
      </c>
      <c r="AG75" s="256">
        <f t="shared" si="113"/>
        <v>348.48932231422583</v>
      </c>
      <c r="AH75" s="256">
        <f t="shared" si="113"/>
        <v>355.45910876051033</v>
      </c>
      <c r="AI75" s="256">
        <f t="shared" si="65"/>
        <v>362.56829093572054</v>
      </c>
      <c r="AJ75" s="256">
        <f t="shared" si="66"/>
        <v>369.81965675443496</v>
      </c>
      <c r="AK75" s="8"/>
      <c r="AL75" s="8"/>
      <c r="AM75" s="8"/>
      <c r="AN75" s="8"/>
      <c r="AO75" s="8"/>
      <c r="AP75" s="8"/>
    </row>
    <row r="76" spans="1:42" x14ac:dyDescent="0.15">
      <c r="A76" s="616">
        <v>5304</v>
      </c>
      <c r="B76" s="457">
        <f t="shared" si="62"/>
        <v>18.463291139240507</v>
      </c>
      <c r="C76" s="594" t="s">
        <v>171</v>
      </c>
      <c r="D76" s="137">
        <f ca="1">OFFSET('IE SUMMARY'!D52,0,MoveCount)</f>
        <v>2810.47</v>
      </c>
      <c r="E76" s="256">
        <v>2917.2000000000003</v>
      </c>
      <c r="F76" s="312">
        <f>E76/12</f>
        <v>243.10000000000002</v>
      </c>
      <c r="G76" s="256">
        <f t="shared" ref="G76:AH76" si="114">F76*(1+GlobalInflation)</f>
        <v>247.96200000000002</v>
      </c>
      <c r="H76" s="256">
        <f t="shared" si="114"/>
        <v>252.92124000000001</v>
      </c>
      <c r="I76" s="256">
        <f t="shared" si="114"/>
        <v>257.97966480000002</v>
      </c>
      <c r="J76" s="256">
        <f t="shared" si="114"/>
        <v>263.13925809600005</v>
      </c>
      <c r="K76" s="256">
        <f t="shared" si="114"/>
        <v>268.40204325792007</v>
      </c>
      <c r="L76" s="256">
        <f t="shared" si="114"/>
        <v>273.7700841230785</v>
      </c>
      <c r="M76" s="256">
        <f t="shared" si="114"/>
        <v>279.24548580554006</v>
      </c>
      <c r="N76" s="256">
        <f t="shared" si="114"/>
        <v>284.83039552165087</v>
      </c>
      <c r="O76" s="256">
        <f t="shared" si="114"/>
        <v>290.52700343208392</v>
      </c>
      <c r="P76" s="256">
        <f t="shared" si="114"/>
        <v>296.33754350072559</v>
      </c>
      <c r="Q76" s="256">
        <f t="shared" si="114"/>
        <v>302.26429437074012</v>
      </c>
      <c r="R76" s="256">
        <f t="shared" si="114"/>
        <v>308.30958025815494</v>
      </c>
      <c r="S76" s="256">
        <f t="shared" si="114"/>
        <v>314.47577186331802</v>
      </c>
      <c r="T76" s="256">
        <f t="shared" si="114"/>
        <v>320.76528730058436</v>
      </c>
      <c r="U76" s="256">
        <f t="shared" si="114"/>
        <v>327.18059304659607</v>
      </c>
      <c r="V76" s="256">
        <f t="shared" si="114"/>
        <v>333.72420490752802</v>
      </c>
      <c r="W76" s="256">
        <f t="shared" si="114"/>
        <v>340.39868900567859</v>
      </c>
      <c r="X76" s="256">
        <f t="shared" si="114"/>
        <v>347.20666278579216</v>
      </c>
      <c r="Y76" s="256">
        <f t="shared" si="114"/>
        <v>354.15079604150799</v>
      </c>
      <c r="Z76" s="256">
        <f t="shared" si="114"/>
        <v>361.23381196233817</v>
      </c>
      <c r="AA76" s="256">
        <f t="shared" si="114"/>
        <v>368.45848820158494</v>
      </c>
      <c r="AB76" s="256">
        <f t="shared" si="114"/>
        <v>375.82765796561665</v>
      </c>
      <c r="AC76" s="256">
        <f t="shared" si="114"/>
        <v>383.34421112492902</v>
      </c>
      <c r="AD76" s="256">
        <f t="shared" si="114"/>
        <v>391.01109534742761</v>
      </c>
      <c r="AE76" s="256">
        <f t="shared" si="114"/>
        <v>398.83131725437619</v>
      </c>
      <c r="AF76" s="256">
        <f t="shared" si="114"/>
        <v>406.80794359946373</v>
      </c>
      <c r="AG76" s="256">
        <f t="shared" si="114"/>
        <v>414.94410247145299</v>
      </c>
      <c r="AH76" s="256">
        <f t="shared" si="114"/>
        <v>423.24298452088203</v>
      </c>
      <c r="AI76" s="256">
        <f t="shared" si="65"/>
        <v>431.70784421129969</v>
      </c>
      <c r="AJ76" s="256">
        <f t="shared" si="66"/>
        <v>440.34200109552569</v>
      </c>
      <c r="AK76" s="8"/>
      <c r="AL76" s="8"/>
      <c r="AM76" s="8"/>
      <c r="AN76" s="8"/>
      <c r="AO76" s="8"/>
      <c r="AP76" s="8"/>
    </row>
    <row r="77" spans="1:42" x14ac:dyDescent="0.15">
      <c r="A77" s="616">
        <v>5064</v>
      </c>
      <c r="B77" s="457">
        <f t="shared" si="62"/>
        <v>0</v>
      </c>
      <c r="C77" s="594" t="s">
        <v>172</v>
      </c>
      <c r="D77" s="137">
        <f ca="1">OFFSET('IE SUMMARY'!D53,0,MoveCount)</f>
        <v>0</v>
      </c>
      <c r="E77" s="256"/>
      <c r="F77" s="312">
        <f>E77/12</f>
        <v>0</v>
      </c>
      <c r="G77" s="256">
        <f t="shared" ref="G77:AH77" si="115">F77*(1+GlobalInflation)</f>
        <v>0</v>
      </c>
      <c r="H77" s="256">
        <f t="shared" si="115"/>
        <v>0</v>
      </c>
      <c r="I77" s="256">
        <f t="shared" si="115"/>
        <v>0</v>
      </c>
      <c r="J77" s="256">
        <f t="shared" si="115"/>
        <v>0</v>
      </c>
      <c r="K77" s="256">
        <f t="shared" si="115"/>
        <v>0</v>
      </c>
      <c r="L77" s="256">
        <f t="shared" si="115"/>
        <v>0</v>
      </c>
      <c r="M77" s="256">
        <f t="shared" si="115"/>
        <v>0</v>
      </c>
      <c r="N77" s="256">
        <f t="shared" si="115"/>
        <v>0</v>
      </c>
      <c r="O77" s="256">
        <f t="shared" si="115"/>
        <v>0</v>
      </c>
      <c r="P77" s="256">
        <f t="shared" si="115"/>
        <v>0</v>
      </c>
      <c r="Q77" s="256">
        <f t="shared" si="115"/>
        <v>0</v>
      </c>
      <c r="R77" s="256">
        <f t="shared" si="115"/>
        <v>0</v>
      </c>
      <c r="S77" s="256">
        <f t="shared" si="115"/>
        <v>0</v>
      </c>
      <c r="T77" s="256">
        <f t="shared" si="115"/>
        <v>0</v>
      </c>
      <c r="U77" s="256">
        <f t="shared" si="115"/>
        <v>0</v>
      </c>
      <c r="V77" s="256">
        <f t="shared" si="115"/>
        <v>0</v>
      </c>
      <c r="W77" s="256">
        <f t="shared" si="115"/>
        <v>0</v>
      </c>
      <c r="X77" s="256">
        <f t="shared" si="115"/>
        <v>0</v>
      </c>
      <c r="Y77" s="256">
        <f t="shared" si="115"/>
        <v>0</v>
      </c>
      <c r="Z77" s="256">
        <f t="shared" si="115"/>
        <v>0</v>
      </c>
      <c r="AA77" s="256">
        <f t="shared" si="115"/>
        <v>0</v>
      </c>
      <c r="AB77" s="256">
        <f t="shared" si="115"/>
        <v>0</v>
      </c>
      <c r="AC77" s="256">
        <f t="shared" si="115"/>
        <v>0</v>
      </c>
      <c r="AD77" s="256">
        <f t="shared" si="115"/>
        <v>0</v>
      </c>
      <c r="AE77" s="256">
        <f t="shared" si="115"/>
        <v>0</v>
      </c>
      <c r="AF77" s="256">
        <f t="shared" si="115"/>
        <v>0</v>
      </c>
      <c r="AG77" s="256">
        <f t="shared" si="115"/>
        <v>0</v>
      </c>
      <c r="AH77" s="256">
        <f t="shared" si="115"/>
        <v>0</v>
      </c>
      <c r="AI77" s="256">
        <f t="shared" si="65"/>
        <v>0</v>
      </c>
      <c r="AJ77" s="256">
        <f t="shared" si="66"/>
        <v>0</v>
      </c>
      <c r="AK77" s="8"/>
      <c r="AL77" s="8"/>
      <c r="AM77" s="8"/>
      <c r="AN77" s="8"/>
      <c r="AO77" s="8"/>
      <c r="AP77" s="8"/>
    </row>
    <row r="78" spans="1:42" x14ac:dyDescent="0.15">
      <c r="A78" s="616">
        <v>5601</v>
      </c>
      <c r="B78" s="457">
        <f t="shared" si="62"/>
        <v>15.822784810126583</v>
      </c>
      <c r="C78" s="594" t="s">
        <v>173</v>
      </c>
      <c r="D78" s="137">
        <f ca="1">OFFSET('IE SUMMARY'!D54,0,MoveCount)</f>
        <v>5059.49</v>
      </c>
      <c r="E78" s="256">
        <v>2500</v>
      </c>
      <c r="F78" s="312">
        <f>E78/12</f>
        <v>208.33333333333334</v>
      </c>
      <c r="G78" s="256">
        <f t="shared" ref="G78:AH78" si="116">F78*(1+GlobalInflation)</f>
        <v>212.5</v>
      </c>
      <c r="H78" s="256">
        <f t="shared" si="116"/>
        <v>216.75</v>
      </c>
      <c r="I78" s="256">
        <f t="shared" si="116"/>
        <v>221.08500000000001</v>
      </c>
      <c r="J78" s="256">
        <f t="shared" si="116"/>
        <v>225.50670000000002</v>
      </c>
      <c r="K78" s="256">
        <f t="shared" si="116"/>
        <v>230.01683400000002</v>
      </c>
      <c r="L78" s="256">
        <f t="shared" si="116"/>
        <v>234.61717068000002</v>
      </c>
      <c r="M78" s="256">
        <f t="shared" si="116"/>
        <v>239.30951409360003</v>
      </c>
      <c r="N78" s="256">
        <f t="shared" si="116"/>
        <v>244.09570437547202</v>
      </c>
      <c r="O78" s="256">
        <f t="shared" si="116"/>
        <v>248.97761846298147</v>
      </c>
      <c r="P78" s="256">
        <f t="shared" si="116"/>
        <v>253.9571708322411</v>
      </c>
      <c r="Q78" s="256">
        <f t="shared" si="116"/>
        <v>259.03631424888596</v>
      </c>
      <c r="R78" s="256">
        <f t="shared" si="116"/>
        <v>264.21704053386367</v>
      </c>
      <c r="S78" s="256">
        <f t="shared" si="116"/>
        <v>269.50138134454096</v>
      </c>
      <c r="T78" s="256">
        <f t="shared" si="116"/>
        <v>274.89140897143176</v>
      </c>
      <c r="U78" s="256">
        <f t="shared" si="116"/>
        <v>280.38923715086042</v>
      </c>
      <c r="V78" s="256">
        <f t="shared" si="116"/>
        <v>285.99702189387762</v>
      </c>
      <c r="W78" s="256">
        <f t="shared" si="116"/>
        <v>291.71696233175516</v>
      </c>
      <c r="X78" s="256">
        <f t="shared" si="116"/>
        <v>297.55130157839028</v>
      </c>
      <c r="Y78" s="256">
        <f t="shared" si="116"/>
        <v>303.50232760995812</v>
      </c>
      <c r="Z78" s="256">
        <f t="shared" si="116"/>
        <v>309.5723741621573</v>
      </c>
      <c r="AA78" s="256">
        <f t="shared" si="116"/>
        <v>315.76382164540047</v>
      </c>
      <c r="AB78" s="256">
        <f t="shared" si="116"/>
        <v>322.0790980783085</v>
      </c>
      <c r="AC78" s="256">
        <f t="shared" si="116"/>
        <v>328.52068003987466</v>
      </c>
      <c r="AD78" s="256">
        <f t="shared" si="116"/>
        <v>335.09109364067217</v>
      </c>
      <c r="AE78" s="256">
        <f t="shared" si="116"/>
        <v>341.79291551348564</v>
      </c>
      <c r="AF78" s="256">
        <f t="shared" si="116"/>
        <v>348.62877382375535</v>
      </c>
      <c r="AG78" s="256">
        <f t="shared" si="116"/>
        <v>355.60134930023048</v>
      </c>
      <c r="AH78" s="256">
        <f t="shared" si="116"/>
        <v>362.71337628623507</v>
      </c>
      <c r="AI78" s="256">
        <f t="shared" si="65"/>
        <v>369.96764381195976</v>
      </c>
      <c r="AJ78" s="256">
        <f t="shared" si="66"/>
        <v>377.36699668819898</v>
      </c>
      <c r="AK78" s="8"/>
      <c r="AL78" s="8"/>
      <c r="AM78" s="8"/>
      <c r="AN78" s="8"/>
      <c r="AO78" s="8"/>
      <c r="AP78" s="8"/>
    </row>
    <row r="79" spans="1:42" x14ac:dyDescent="0.15">
      <c r="A79" s="616">
        <v>5000</v>
      </c>
      <c r="B79" s="457">
        <f t="shared" si="62"/>
        <v>163.46202531645571</v>
      </c>
      <c r="C79" s="594" t="str">
        <f>"Professional Mgmt ("&amp;TEXT(MgmtFeeLimit,"$0,0")&amp;"/mo or "&amp;TEXT(MgmtFee,"0.0%"&amp;")")</f>
        <v>Professional Mgmt ($00/mo or 5.0%)</v>
      </c>
      <c r="D79" s="137">
        <f ca="1">OFFSET('IE SUMMARY'!D55,0,MoveCount)</f>
        <v>27649.23</v>
      </c>
      <c r="E79" s="256">
        <v>25827</v>
      </c>
      <c r="F79" s="313">
        <f t="shared" ref="F79" si="117">IF(F53*MgmtFee&gt;MgmtFeeLimit,F53*MgmtFee,MgmtFeeLimit)</f>
        <v>2781.7750000000001</v>
      </c>
      <c r="G79" s="256">
        <f t="shared" ref="G79:AJ79" si="118">IF(F53*MgmtFee&gt;MgmtFeeLimit,F53*MgmtFee,MgmtFeeLimit)</f>
        <v>2781.7750000000001</v>
      </c>
      <c r="H79" s="256">
        <f t="shared" si="118"/>
        <v>3172.2465000000002</v>
      </c>
      <c r="I79" s="256">
        <f t="shared" si="118"/>
        <v>3592.9474300000002</v>
      </c>
      <c r="J79" s="256">
        <f t="shared" si="118"/>
        <v>4000.9423786000002</v>
      </c>
      <c r="K79" s="256">
        <f t="shared" si="118"/>
        <v>4200.7410261719997</v>
      </c>
      <c r="L79" s="256">
        <f t="shared" si="118"/>
        <v>4356.3535466954399</v>
      </c>
      <c r="M79" s="256">
        <f t="shared" si="118"/>
        <v>4517.9422256293492</v>
      </c>
      <c r="N79" s="256">
        <f t="shared" si="118"/>
        <v>4685.7411424619377</v>
      </c>
      <c r="O79" s="256">
        <f t="shared" si="118"/>
        <v>4859.9936405239741</v>
      </c>
      <c r="P79" s="256">
        <f t="shared" si="118"/>
        <v>5040.9526955557667</v>
      </c>
      <c r="Q79" s="256">
        <f t="shared" si="118"/>
        <v>5228.8812989770468</v>
      </c>
      <c r="R79" s="256">
        <f t="shared" si="118"/>
        <v>5424.0528564471579</v>
      </c>
      <c r="S79" s="256">
        <f t="shared" si="118"/>
        <v>5626.7516023262961</v>
      </c>
      <c r="T79" s="256">
        <f t="shared" si="118"/>
        <v>5837.2730306730246</v>
      </c>
      <c r="U79" s="256">
        <f t="shared" si="118"/>
        <v>6055.9243434386945</v>
      </c>
      <c r="V79" s="256">
        <f t="shared" si="118"/>
        <v>6283.0249165457662</v>
      </c>
      <c r="W79" s="256">
        <f t="shared" si="118"/>
        <v>6518.9067845645131</v>
      </c>
      <c r="X79" s="256">
        <f t="shared" si="118"/>
        <v>6763.9151447311469</v>
      </c>
      <c r="Y79" s="256">
        <f t="shared" si="118"/>
        <v>7018.4088810801277</v>
      </c>
      <c r="Z79" s="256">
        <f t="shared" si="118"/>
        <v>7282.7611094942595</v>
      </c>
      <c r="AA79" s="256">
        <f t="shared" si="118"/>
        <v>7557.3597445083788</v>
      </c>
      <c r="AB79" s="256">
        <f t="shared" si="118"/>
        <v>7842.6080887357475</v>
      </c>
      <c r="AC79" s="256">
        <f t="shared" si="118"/>
        <v>8138.9254458211544</v>
      </c>
      <c r="AD79" s="256">
        <f t="shared" si="118"/>
        <v>8446.7477578606959</v>
      </c>
      <c r="AE79" s="256">
        <f t="shared" si="118"/>
        <v>8766.5282682659508</v>
      </c>
      <c r="AF79" s="256">
        <f t="shared" si="118"/>
        <v>9098.7382110892358</v>
      </c>
      <c r="AG79" s="256">
        <f t="shared" si="118"/>
        <v>9443.8675278673036</v>
      </c>
      <c r="AH79" s="256">
        <f t="shared" si="118"/>
        <v>9802.4256130831855</v>
      </c>
      <c r="AI79" s="256">
        <f t="shared" si="118"/>
        <v>10174.942089389726</v>
      </c>
      <c r="AJ79" s="256">
        <f t="shared" si="118"/>
        <v>10561.967613784189</v>
      </c>
      <c r="AK79" s="8"/>
      <c r="AL79" s="8"/>
      <c r="AM79" s="8"/>
      <c r="AN79" s="8"/>
      <c r="AO79" s="8"/>
      <c r="AP79" s="8"/>
    </row>
    <row r="80" spans="1:42" ht="14" thickBot="1" x14ac:dyDescent="0.2">
      <c r="A80" s="591"/>
      <c r="B80" s="686">
        <f t="shared" si="62"/>
        <v>160.12592827004221</v>
      </c>
      <c r="C80" s="682" t="s">
        <v>174</v>
      </c>
      <c r="D80" s="683">
        <f ca="1">SUM(D56:D79)/12</f>
        <v>26429.259166666667</v>
      </c>
      <c r="E80" s="684">
        <f>F80</f>
        <v>25299.896666666667</v>
      </c>
      <c r="F80" s="688">
        <f t="shared" ref="F80:AH80" si="119">SUM(F56:F79)</f>
        <v>25299.896666666667</v>
      </c>
      <c r="G80" s="688">
        <f t="shared" si="119"/>
        <v>25750.259099999999</v>
      </c>
      <c r="H80" s="688">
        <f t="shared" si="119"/>
        <v>26600.100281999999</v>
      </c>
      <c r="I80" s="688">
        <f t="shared" si="119"/>
        <v>27489.358287640007</v>
      </c>
      <c r="J80" s="688">
        <f t="shared" si="119"/>
        <v>28375.28145339281</v>
      </c>
      <c r="K80" s="688">
        <f t="shared" si="119"/>
        <v>29062.566882460662</v>
      </c>
      <c r="L80" s="688">
        <f t="shared" si="119"/>
        <v>29715.415920109881</v>
      </c>
      <c r="M80" s="688">
        <f t="shared" si="119"/>
        <v>30384.18584651206</v>
      </c>
      <c r="N80" s="688">
        <f t="shared" si="119"/>
        <v>31069.309635762311</v>
      </c>
      <c r="O80" s="688">
        <f t="shared" si="119"/>
        <v>31771.233503690364</v>
      </c>
      <c r="P80" s="688">
        <f t="shared" si="119"/>
        <v>32490.417355985483</v>
      </c>
      <c r="Q80" s="688">
        <f t="shared" si="119"/>
        <v>33227.335252615354</v>
      </c>
      <c r="R80" s="688">
        <f t="shared" si="119"/>
        <v>33982.475889158239</v>
      </c>
      <c r="S80" s="688">
        <f t="shared" si="119"/>
        <v>34756.343095691598</v>
      </c>
      <c r="T80" s="688">
        <f t="shared" si="119"/>
        <v>35549.456353905625</v>
      </c>
      <c r="U80" s="688">
        <f t="shared" si="119"/>
        <v>36362.351333135943</v>
      </c>
      <c r="V80" s="688">
        <f t="shared" si="119"/>
        <v>37195.580446036962</v>
      </c>
      <c r="W80" s="688">
        <f t="shared" si="119"/>
        <v>38049.713424645553</v>
      </c>
      <c r="X80" s="688">
        <f t="shared" si="119"/>
        <v>38925.337917613797</v>
      </c>
      <c r="Y80" s="688">
        <f t="shared" si="119"/>
        <v>39823.060109420418</v>
      </c>
      <c r="Z80" s="688">
        <f t="shared" si="119"/>
        <v>40743.505362401367</v>
      </c>
      <c r="AA80" s="688">
        <f t="shared" si="119"/>
        <v>41687.318882473621</v>
      </c>
      <c r="AB80" s="688">
        <f t="shared" si="119"/>
        <v>42655.166409460297</v>
      </c>
      <c r="AC80" s="688">
        <f t="shared" si="119"/>
        <v>43647.7349329602</v>
      </c>
      <c r="AD80" s="688">
        <f t="shared" si="119"/>
        <v>44665.733434742535</v>
      </c>
      <c r="AE80" s="688">
        <f t="shared" si="119"/>
        <v>45709.893658685425</v>
      </c>
      <c r="AF80" s="688">
        <f t="shared" si="119"/>
        <v>46780.970909317104</v>
      </c>
      <c r="AG80" s="688">
        <f t="shared" si="119"/>
        <v>47879.744880059727</v>
      </c>
      <c r="AH80" s="688">
        <f t="shared" si="119"/>
        <v>49007.020512319446</v>
      </c>
      <c r="AI80" s="688">
        <f t="shared" ref="AI80:AJ80" si="120">SUM(AI56:AI79)</f>
        <v>50163.628886610713</v>
      </c>
      <c r="AJ80" s="688">
        <f t="shared" si="120"/>
        <v>51350.428146949598</v>
      </c>
      <c r="AK80" s="591"/>
      <c r="AL80" s="591"/>
      <c r="AM80" s="591"/>
      <c r="AN80" s="591"/>
      <c r="AO80" s="591"/>
      <c r="AP80" s="591"/>
    </row>
    <row r="81" spans="2:78" ht="14" thickTop="1" x14ac:dyDescent="0.15">
      <c r="C81" s="10"/>
      <c r="D81" s="266" t="str">
        <f ca="1">TEXT(SUM(D56:D79),"0,0")&amp;"  ("&amp;TEXT((SUM(D56:D79)/D52),"0%")&amp;")"</f>
        <v>317,151  (50%)</v>
      </c>
      <c r="E81" s="311">
        <f>E80*12</f>
        <v>303598.76</v>
      </c>
      <c r="F81" s="277" t="str">
        <f t="shared" ref="F81:K81" si="121">"Ratio= "&amp;TEXT(F80/F53,"0%")</f>
        <v>Ratio= 45%</v>
      </c>
      <c r="G81" s="277" t="str">
        <f t="shared" si="121"/>
        <v>Ratio= 41%</v>
      </c>
      <c r="H81" s="277" t="str">
        <f t="shared" si="121"/>
        <v>Ratio= 37%</v>
      </c>
      <c r="I81" s="277" t="str">
        <f t="shared" si="121"/>
        <v>Ratio= 34%</v>
      </c>
      <c r="J81" s="277" t="str">
        <f t="shared" si="121"/>
        <v>Ratio= 34%</v>
      </c>
      <c r="K81" s="277" t="str">
        <f t="shared" si="121"/>
        <v>Ratio= 33%</v>
      </c>
      <c r="L81" s="314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1"/>
      <c r="Z81" s="591"/>
      <c r="AA81" s="591"/>
      <c r="AB81" s="591"/>
      <c r="AC81" s="591"/>
      <c r="AD81" s="591"/>
      <c r="AE81" s="591"/>
      <c r="AF81" s="591"/>
      <c r="AG81" s="591"/>
      <c r="AH81" s="591"/>
      <c r="AI81" s="591"/>
      <c r="AJ81" s="591"/>
      <c r="AK81" s="591"/>
      <c r="AL81" s="591"/>
      <c r="AM81" s="591"/>
      <c r="AN81" s="591"/>
      <c r="AO81" s="591"/>
      <c r="AP81" s="591"/>
      <c r="AQ81" s="591"/>
      <c r="AR81" s="591"/>
      <c r="AS81" s="591"/>
      <c r="AT81" s="591"/>
      <c r="AU81" s="591"/>
      <c r="AV81" s="591"/>
      <c r="AW81" s="591"/>
      <c r="AX81" s="591"/>
      <c r="AY81" s="591"/>
      <c r="AZ81" s="591"/>
      <c r="BA81" s="591"/>
      <c r="BB81" s="591"/>
      <c r="BC81" s="591"/>
      <c r="BD81" s="591"/>
      <c r="BE81" s="591"/>
      <c r="BF81" s="591"/>
      <c r="BG81" s="591"/>
      <c r="BH81" s="591"/>
      <c r="BI81" s="591"/>
      <c r="BJ81" s="591"/>
      <c r="BK81" s="591"/>
      <c r="BL81" s="591"/>
      <c r="BM81" s="591"/>
      <c r="BN81" s="591"/>
      <c r="BO81" s="591"/>
      <c r="BP81" s="591"/>
      <c r="BQ81" s="591"/>
      <c r="BR81" s="591"/>
      <c r="BS81" s="591"/>
      <c r="BT81" s="591"/>
      <c r="BU81" s="591"/>
      <c r="BV81" s="591"/>
      <c r="BW81" s="591"/>
      <c r="BX81" s="591"/>
      <c r="BY81" s="591"/>
      <c r="BZ81" s="591"/>
    </row>
    <row r="82" spans="2:78" ht="6.75" customHeight="1" x14ac:dyDescent="0.15">
      <c r="C82" s="10"/>
      <c r="D82" s="142"/>
      <c r="E82" s="309"/>
      <c r="F82" s="315"/>
      <c r="G82" s="315"/>
      <c r="H82" s="315"/>
      <c r="I82" s="315"/>
      <c r="J82" s="315"/>
      <c r="K82" s="591"/>
      <c r="L82" s="314"/>
      <c r="M82" s="591"/>
      <c r="N82" s="591"/>
      <c r="O82" s="591"/>
      <c r="P82" s="591"/>
      <c r="Q82" s="591"/>
      <c r="R82" s="591"/>
      <c r="S82" s="591"/>
      <c r="T82" s="591"/>
      <c r="U82" s="591"/>
      <c r="V82" s="591"/>
      <c r="W82" s="591"/>
      <c r="X82" s="591"/>
      <c r="Y82" s="591"/>
      <c r="Z82" s="591"/>
      <c r="AA82" s="591"/>
      <c r="AB82" s="591"/>
      <c r="AC82" s="591"/>
      <c r="AD82" s="591"/>
      <c r="AE82" s="591"/>
      <c r="AF82" s="591"/>
      <c r="AG82" s="591"/>
      <c r="AH82" s="591"/>
      <c r="AI82" s="591"/>
      <c r="AJ82" s="591"/>
      <c r="AK82" s="591"/>
      <c r="AL82" s="591"/>
      <c r="AM82" s="591"/>
      <c r="AN82" s="591"/>
      <c r="AO82" s="591"/>
      <c r="AP82" s="591"/>
      <c r="AQ82" s="591"/>
      <c r="AR82" s="591"/>
      <c r="AS82" s="591"/>
      <c r="AT82" s="591"/>
      <c r="AU82" s="591"/>
      <c r="AV82" s="591"/>
      <c r="AW82" s="591"/>
      <c r="AX82" s="591"/>
      <c r="AY82" s="591"/>
      <c r="AZ82" s="591"/>
      <c r="BA82" s="591"/>
      <c r="BB82" s="591"/>
      <c r="BC82" s="591"/>
      <c r="BD82" s="591"/>
      <c r="BE82" s="591"/>
      <c r="BF82" s="591"/>
      <c r="BG82" s="591"/>
      <c r="BH82" s="591"/>
      <c r="BI82" s="591"/>
      <c r="BJ82" s="591"/>
      <c r="BK82" s="591"/>
      <c r="BL82" s="591"/>
      <c r="BM82" s="591"/>
      <c r="BN82" s="591"/>
      <c r="BO82" s="591"/>
      <c r="BP82" s="591"/>
      <c r="BQ82" s="591"/>
      <c r="BR82" s="591"/>
      <c r="BS82" s="591"/>
      <c r="BT82" s="591"/>
      <c r="BU82" s="591"/>
      <c r="BV82" s="591"/>
      <c r="BW82" s="591"/>
      <c r="BX82" s="591"/>
      <c r="BY82" s="591"/>
      <c r="BZ82" s="591"/>
    </row>
    <row r="83" spans="2:78" x14ac:dyDescent="0.15">
      <c r="C83" s="7" t="s">
        <v>175</v>
      </c>
      <c r="D83" s="136">
        <f ca="1">(D53)-D80</f>
        <v>26836.240833333333</v>
      </c>
      <c r="E83" s="309">
        <f t="shared" ref="E83:AH83" si="122">E53-E80</f>
        <v>30335.603333333333</v>
      </c>
      <c r="F83" s="256">
        <f t="shared" si="122"/>
        <v>30335.603333333333</v>
      </c>
      <c r="G83" s="256">
        <f t="shared" si="122"/>
        <v>37694.670899999997</v>
      </c>
      <c r="H83" s="256">
        <f t="shared" si="122"/>
        <v>45258.848318000004</v>
      </c>
      <c r="I83" s="256">
        <f t="shared" si="122"/>
        <v>52529.489284359996</v>
      </c>
      <c r="J83" s="256">
        <f t="shared" si="122"/>
        <v>55639.539070047183</v>
      </c>
      <c r="K83" s="256">
        <f t="shared" si="122"/>
        <v>58064.50405144813</v>
      </c>
      <c r="L83" s="256">
        <f t="shared" si="122"/>
        <v>60643.428592477096</v>
      </c>
      <c r="M83" s="256">
        <f t="shared" si="122"/>
        <v>63330.637002726682</v>
      </c>
      <c r="N83" s="256">
        <f t="shared" si="122"/>
        <v>66130.563174717172</v>
      </c>
      <c r="O83" s="256">
        <f t="shared" si="122"/>
        <v>69047.820407424966</v>
      </c>
      <c r="P83" s="256">
        <f t="shared" si="122"/>
        <v>72087.208623555445</v>
      </c>
      <c r="Q83" s="256">
        <f t="shared" si="122"/>
        <v>75253.721876327792</v>
      </c>
      <c r="R83" s="256">
        <f t="shared" si="122"/>
        <v>78552.556157367682</v>
      </c>
      <c r="S83" s="256">
        <f t="shared" si="122"/>
        <v>81989.117517768886</v>
      </c>
      <c r="T83" s="256">
        <f t="shared" si="122"/>
        <v>85569.030514868253</v>
      </c>
      <c r="U83" s="256">
        <f t="shared" si="122"/>
        <v>89298.146997779375</v>
      </c>
      <c r="V83" s="256">
        <f t="shared" si="122"/>
        <v>93182.555245253287</v>
      </c>
      <c r="W83" s="256">
        <f t="shared" si="122"/>
        <v>97228.589469977378</v>
      </c>
      <c r="X83" s="256">
        <f t="shared" si="122"/>
        <v>101442.83970398875</v>
      </c>
      <c r="Y83" s="256">
        <f t="shared" si="122"/>
        <v>105832.16208046477</v>
      </c>
      <c r="Z83" s="256">
        <f t="shared" si="122"/>
        <v>110403.6895277662</v>
      </c>
      <c r="AA83" s="256">
        <f t="shared" si="122"/>
        <v>115164.84289224131</v>
      </c>
      <c r="AB83" s="256">
        <f t="shared" si="122"/>
        <v>120123.34250696277</v>
      </c>
      <c r="AC83" s="256">
        <f t="shared" si="122"/>
        <v>125287.2202242537</v>
      </c>
      <c r="AD83" s="256">
        <f t="shared" si="122"/>
        <v>130664.83193057649</v>
      </c>
      <c r="AE83" s="256">
        <f t="shared" si="122"/>
        <v>136264.87056309928</v>
      </c>
      <c r="AF83" s="256">
        <f t="shared" si="122"/>
        <v>142096.37964802896</v>
      </c>
      <c r="AG83" s="256">
        <f t="shared" si="122"/>
        <v>148168.76738160398</v>
      </c>
      <c r="AH83" s="256">
        <f t="shared" si="122"/>
        <v>154491.82127547503</v>
      </c>
      <c r="AI83" s="256">
        <f t="shared" ref="AI83:AJ83" si="123">AI53-AI80</f>
        <v>161075.72338907307</v>
      </c>
      <c r="AJ83" s="256">
        <f t="shared" si="123"/>
        <v>167931.06617246658</v>
      </c>
      <c r="AK83" s="622"/>
      <c r="AL83" s="622"/>
      <c r="AM83" s="622"/>
      <c r="AN83" s="622"/>
      <c r="AO83" s="622"/>
      <c r="AP83" s="622"/>
      <c r="AQ83" s="622"/>
      <c r="AR83" s="622"/>
      <c r="AS83" s="622"/>
      <c r="AT83" s="622"/>
      <c r="AU83" s="622"/>
      <c r="AV83" s="622"/>
      <c r="AW83" s="622"/>
      <c r="AX83" s="622"/>
      <c r="AY83" s="622"/>
      <c r="AZ83" s="622"/>
      <c r="BA83" s="622"/>
      <c r="BB83" s="622"/>
      <c r="BC83" s="622"/>
      <c r="BD83" s="622"/>
      <c r="BE83" s="622"/>
      <c r="BF83" s="622"/>
      <c r="BG83" s="622"/>
      <c r="BH83" s="622"/>
      <c r="BI83" s="622"/>
      <c r="BJ83" s="622"/>
      <c r="BK83" s="622"/>
      <c r="BL83" s="622"/>
      <c r="BM83" s="622"/>
      <c r="BN83" s="622"/>
      <c r="BO83" s="622"/>
      <c r="BP83" s="622"/>
      <c r="BQ83" s="622"/>
      <c r="BR83" s="622"/>
      <c r="BS83" s="622"/>
      <c r="BT83" s="622"/>
      <c r="BU83" s="622"/>
      <c r="BV83" s="622"/>
      <c r="BW83" s="622"/>
      <c r="BX83" s="622"/>
      <c r="BY83" s="622"/>
      <c r="BZ83" s="622"/>
    </row>
    <row r="84" spans="2:78" ht="4.5" customHeight="1" x14ac:dyDescent="0.15">
      <c r="C84" s="591"/>
      <c r="D84" s="136"/>
      <c r="E84" s="31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622"/>
      <c r="AL84" s="622"/>
      <c r="AM84" s="622"/>
      <c r="AN84" s="622"/>
      <c r="AO84" s="622"/>
      <c r="AP84" s="622"/>
      <c r="AQ84" s="622"/>
      <c r="AR84" s="622"/>
      <c r="AS84" s="622"/>
      <c r="AT84" s="622"/>
      <c r="AU84" s="622"/>
      <c r="AV84" s="622"/>
      <c r="AW84" s="622"/>
      <c r="AX84" s="622"/>
      <c r="AY84" s="622"/>
      <c r="AZ84" s="622"/>
      <c r="BA84" s="622"/>
      <c r="BB84" s="622"/>
      <c r="BC84" s="622"/>
      <c r="BD84" s="622"/>
      <c r="BE84" s="622"/>
      <c r="BF84" s="622"/>
      <c r="BG84" s="622"/>
      <c r="BH84" s="622"/>
      <c r="BI84" s="622"/>
      <c r="BJ84" s="622"/>
      <c r="BK84" s="622"/>
      <c r="BL84" s="622"/>
      <c r="BM84" s="622"/>
      <c r="BN84" s="622"/>
      <c r="BO84" s="622"/>
      <c r="BP84" s="622"/>
      <c r="BQ84" s="622"/>
      <c r="BR84" s="622"/>
      <c r="BS84" s="622"/>
      <c r="BT84" s="622"/>
      <c r="BU84" s="622"/>
      <c r="BV84" s="622"/>
      <c r="BW84" s="622"/>
      <c r="BX84" s="622"/>
      <c r="BY84" s="622"/>
      <c r="BZ84" s="622"/>
    </row>
    <row r="85" spans="2:78" ht="14" thickBot="1" x14ac:dyDescent="0.2">
      <c r="B85" s="686">
        <f>E85/NoOfSpaces</f>
        <v>2303.9698734177214</v>
      </c>
      <c r="C85" s="677" t="s">
        <v>176</v>
      </c>
      <c r="D85" s="689">
        <f t="shared" ref="D85:AH85" ca="1" si="124">D83*12</f>
        <v>322034.89</v>
      </c>
      <c r="E85" s="690">
        <f t="shared" si="124"/>
        <v>364027.24</v>
      </c>
      <c r="F85" s="691">
        <f t="shared" si="124"/>
        <v>364027.24</v>
      </c>
      <c r="G85" s="691">
        <f t="shared" si="124"/>
        <v>452336.05079999997</v>
      </c>
      <c r="H85" s="691">
        <f t="shared" si="124"/>
        <v>543106.17981600005</v>
      </c>
      <c r="I85" s="691">
        <f t="shared" si="124"/>
        <v>630353.87141231995</v>
      </c>
      <c r="J85" s="691">
        <f t="shared" si="124"/>
        <v>667674.46884056623</v>
      </c>
      <c r="K85" s="691">
        <f t="shared" si="124"/>
        <v>696774.04861737753</v>
      </c>
      <c r="L85" s="691">
        <f t="shared" si="124"/>
        <v>727721.14310972509</v>
      </c>
      <c r="M85" s="691">
        <f t="shared" si="124"/>
        <v>759967.64403272024</v>
      </c>
      <c r="N85" s="691">
        <f t="shared" si="124"/>
        <v>793566.758096606</v>
      </c>
      <c r="O85" s="691">
        <f t="shared" si="124"/>
        <v>828573.84488909959</v>
      </c>
      <c r="P85" s="691">
        <f t="shared" si="124"/>
        <v>865046.5034826654</v>
      </c>
      <c r="Q85" s="691">
        <f t="shared" si="124"/>
        <v>903044.66251593351</v>
      </c>
      <c r="R85" s="691">
        <f t="shared" si="124"/>
        <v>942630.67388841219</v>
      </c>
      <c r="S85" s="691">
        <f t="shared" si="124"/>
        <v>983869.41021322669</v>
      </c>
      <c r="T85" s="691">
        <f t="shared" si="124"/>
        <v>1026828.366178419</v>
      </c>
      <c r="U85" s="691">
        <f t="shared" si="124"/>
        <v>1071577.7639733525</v>
      </c>
      <c r="V85" s="691">
        <f t="shared" si="124"/>
        <v>1118190.6629430396</v>
      </c>
      <c r="W85" s="691">
        <f t="shared" si="124"/>
        <v>1166743.0736397286</v>
      </c>
      <c r="X85" s="691">
        <f t="shared" si="124"/>
        <v>1217314.076447865</v>
      </c>
      <c r="Y85" s="691">
        <f t="shared" si="124"/>
        <v>1269985.9449655772</v>
      </c>
      <c r="Z85" s="691">
        <f t="shared" si="124"/>
        <v>1324844.2743331944</v>
      </c>
      <c r="AA85" s="691">
        <f t="shared" si="124"/>
        <v>1381978.1147068958</v>
      </c>
      <c r="AB85" s="691">
        <f t="shared" si="124"/>
        <v>1441480.1100835532</v>
      </c>
      <c r="AC85" s="691">
        <f t="shared" si="124"/>
        <v>1503446.6426910444</v>
      </c>
      <c r="AD85" s="691">
        <f t="shared" si="124"/>
        <v>1567977.9831669179</v>
      </c>
      <c r="AE85" s="691">
        <f t="shared" si="124"/>
        <v>1635178.4467571913</v>
      </c>
      <c r="AF85" s="691">
        <f t="shared" si="124"/>
        <v>1705156.5557763474</v>
      </c>
      <c r="AG85" s="691">
        <f t="shared" si="124"/>
        <v>1778025.2085792478</v>
      </c>
      <c r="AH85" s="691">
        <f t="shared" si="124"/>
        <v>1853901.8553057003</v>
      </c>
      <c r="AI85" s="691">
        <f t="shared" ref="AI85:AJ85" si="125">AI83*12</f>
        <v>1932908.680668877</v>
      </c>
      <c r="AJ85" s="691">
        <f t="shared" si="125"/>
        <v>2015172.7940695989</v>
      </c>
      <c r="AK85" s="622"/>
      <c r="AL85" s="622"/>
      <c r="AM85" s="622"/>
      <c r="AN85" s="622"/>
      <c r="AO85" s="622"/>
      <c r="AP85" s="622"/>
      <c r="AQ85" s="622"/>
      <c r="AR85" s="622"/>
      <c r="AS85" s="622"/>
      <c r="AT85" s="622"/>
      <c r="AU85" s="622"/>
      <c r="AV85" s="622"/>
      <c r="AW85" s="622"/>
      <c r="AX85" s="622"/>
      <c r="AY85" s="622"/>
      <c r="AZ85" s="622"/>
      <c r="BA85" s="622"/>
      <c r="BB85" s="622"/>
      <c r="BC85" s="622"/>
      <c r="BD85" s="622"/>
      <c r="BE85" s="622"/>
      <c r="BF85" s="622"/>
      <c r="BG85" s="622"/>
      <c r="BH85" s="622"/>
      <c r="BI85" s="622"/>
      <c r="BJ85" s="622"/>
      <c r="BK85" s="622"/>
      <c r="BL85" s="622"/>
      <c r="BM85" s="622"/>
      <c r="BN85" s="622"/>
      <c r="BO85" s="622"/>
      <c r="BP85" s="622"/>
      <c r="BQ85" s="622"/>
      <c r="BR85" s="622"/>
      <c r="BS85" s="622"/>
      <c r="BT85" s="622"/>
      <c r="BU85" s="622"/>
      <c r="BV85" s="622"/>
      <c r="BW85" s="622"/>
      <c r="BX85" s="622"/>
      <c r="BY85" s="622"/>
      <c r="BZ85" s="622"/>
    </row>
    <row r="86" spans="2:78" ht="14" thickTop="1" x14ac:dyDescent="0.15">
      <c r="C86" s="10"/>
      <c r="D86" s="591"/>
      <c r="E86" s="591"/>
      <c r="F86" s="261"/>
      <c r="G86" s="12"/>
      <c r="H86" s="12"/>
      <c r="I86" s="12"/>
      <c r="J86" s="707"/>
      <c r="K86" s="12"/>
      <c r="L86" s="12"/>
      <c r="M86" s="12"/>
      <c r="N86" s="12"/>
      <c r="O86" s="12"/>
      <c r="P86" s="12"/>
      <c r="Q86" s="12"/>
      <c r="R86" s="12"/>
      <c r="S86" s="622"/>
      <c r="T86" s="622"/>
      <c r="U86" s="622"/>
      <c r="V86" s="622"/>
      <c r="W86" s="622"/>
      <c r="X86" s="622"/>
      <c r="Y86" s="622"/>
      <c r="Z86" s="622"/>
      <c r="AA86" s="622"/>
      <c r="AB86" s="622"/>
      <c r="AC86" s="622"/>
      <c r="AD86" s="622"/>
      <c r="AE86" s="622"/>
      <c r="AF86" s="622"/>
      <c r="AG86" s="622"/>
      <c r="AH86" s="622"/>
      <c r="AI86" s="622"/>
      <c r="AJ86" s="622"/>
      <c r="AK86" s="622"/>
      <c r="AL86" s="622"/>
      <c r="AM86" s="622"/>
      <c r="AN86" s="622"/>
      <c r="AO86" s="622"/>
      <c r="AP86" s="622"/>
      <c r="AQ86" s="622"/>
      <c r="AR86" s="622"/>
      <c r="AS86" s="622"/>
      <c r="AT86" s="622"/>
      <c r="AU86" s="622"/>
      <c r="AV86" s="622"/>
      <c r="AW86" s="622"/>
      <c r="AX86" s="622"/>
      <c r="AY86" s="622"/>
      <c r="AZ86" s="622"/>
      <c r="BA86" s="622"/>
      <c r="BB86" s="622"/>
      <c r="BC86" s="622"/>
      <c r="BD86" s="622"/>
      <c r="BE86" s="622"/>
      <c r="BF86" s="622"/>
      <c r="BG86" s="622"/>
      <c r="BH86" s="622"/>
      <c r="BI86" s="622"/>
      <c r="BJ86" s="622"/>
      <c r="BK86" s="622"/>
      <c r="BL86" s="622"/>
      <c r="BM86" s="622"/>
      <c r="BN86" s="622"/>
      <c r="BO86" s="622"/>
      <c r="BP86" s="622"/>
      <c r="BQ86" s="622"/>
      <c r="BR86" s="622"/>
      <c r="BS86" s="622"/>
      <c r="BT86" s="622"/>
      <c r="BU86" s="622"/>
      <c r="BV86" s="622"/>
      <c r="BW86" s="622"/>
      <c r="BX86" s="622"/>
      <c r="BY86" s="622"/>
      <c r="BZ86" s="622"/>
    </row>
    <row r="87" spans="2:78" x14ac:dyDescent="0.15">
      <c r="C87" s="10"/>
      <c r="D87" s="591"/>
      <c r="E87" s="302" t="s">
        <v>177</v>
      </c>
      <c r="F87" s="298">
        <f t="shared" ref="F87:M87" si="126">+F85/$D$6</f>
        <v>3.9833276073636278E-2</v>
      </c>
      <c r="G87" s="298">
        <f t="shared" si="126"/>
        <v>4.9496369528760437E-2</v>
      </c>
      <c r="H87" s="298">
        <f t="shared" si="126"/>
        <v>5.9428789993596839E-2</v>
      </c>
      <c r="I87" s="298">
        <f t="shared" si="126"/>
        <v>6.8975771659429558E-2</v>
      </c>
      <c r="J87" s="298">
        <f t="shared" si="126"/>
        <v>7.3059536546343992E-2</v>
      </c>
      <c r="K87" s="298">
        <f t="shared" si="126"/>
        <v>7.624372571547465E-2</v>
      </c>
      <c r="L87" s="298">
        <f t="shared" si="126"/>
        <v>7.963007712860129E-2</v>
      </c>
      <c r="M87" s="298">
        <f t="shared" si="126"/>
        <v>8.3158614645943221E-2</v>
      </c>
      <c r="N87" s="12"/>
      <c r="O87" s="12"/>
      <c r="P87" s="12"/>
      <c r="Q87" s="12"/>
      <c r="R87" s="12"/>
      <c r="S87" s="622"/>
      <c r="T87" s="622"/>
      <c r="U87" s="622"/>
      <c r="V87" s="622"/>
      <c r="W87" s="622"/>
      <c r="X87" s="622"/>
      <c r="Y87" s="622"/>
      <c r="Z87" s="622"/>
      <c r="AA87" s="622"/>
      <c r="AB87" s="622"/>
      <c r="AC87" s="622"/>
      <c r="AD87" s="622"/>
      <c r="AE87" s="622"/>
      <c r="AF87" s="622"/>
      <c r="AG87" s="622"/>
      <c r="AH87" s="622"/>
      <c r="AI87" s="622"/>
      <c r="AJ87" s="622"/>
      <c r="AK87" s="622"/>
      <c r="AL87" s="622"/>
      <c r="AM87" s="622"/>
      <c r="AN87" s="622"/>
      <c r="AO87" s="622"/>
      <c r="AP87" s="622"/>
      <c r="AQ87" s="622"/>
      <c r="AR87" s="622"/>
      <c r="AS87" s="622"/>
      <c r="AT87" s="622"/>
      <c r="AU87" s="622"/>
      <c r="AV87" s="622"/>
      <c r="AW87" s="622"/>
      <c r="AX87" s="622"/>
      <c r="AY87" s="622"/>
      <c r="AZ87" s="622"/>
      <c r="BA87" s="622"/>
      <c r="BB87" s="622"/>
      <c r="BC87" s="622"/>
      <c r="BD87" s="622"/>
      <c r="BE87" s="622"/>
      <c r="BF87" s="622"/>
      <c r="BG87" s="622"/>
      <c r="BH87" s="622"/>
      <c r="BI87" s="622"/>
      <c r="BJ87" s="622"/>
      <c r="BK87" s="622"/>
      <c r="BL87" s="622"/>
      <c r="BM87" s="622"/>
      <c r="BN87" s="622"/>
      <c r="BO87" s="622"/>
      <c r="BP87" s="622"/>
      <c r="BQ87" s="622"/>
      <c r="BR87" s="622"/>
      <c r="BS87" s="622"/>
      <c r="BT87" s="622"/>
      <c r="BU87" s="622"/>
      <c r="BV87" s="622"/>
      <c r="BW87" s="622"/>
      <c r="BX87" s="622"/>
      <c r="BY87" s="622"/>
      <c r="BZ87" s="622"/>
    </row>
    <row r="88" spans="2:78" s="56" customFormat="1" ht="12" hidden="1" x14ac:dyDescent="0.15">
      <c r="B88" s="454"/>
      <c r="C88" s="269"/>
      <c r="E88" s="302" t="s">
        <v>177</v>
      </c>
      <c r="F88" s="298">
        <f>+F85/($D$6-SUM(F85-F85))</f>
        <v>3.9833276073636278E-2</v>
      </c>
      <c r="G88" s="298">
        <f>+G85/($D$6-SUM($F$85:F85))</f>
        <v>5.1549765572334469E-2</v>
      </c>
      <c r="H88" s="298">
        <f>+H85/($D$6-SUM($F$85:G85))</f>
        <v>6.5258289903274841E-2</v>
      </c>
      <c r="I88" s="298">
        <f>+I85/($D$6-SUM($F$85:H85))</f>
        <v>8.1029609624058571E-2</v>
      </c>
      <c r="J88" s="298">
        <f>+J85/($D$6-SUM($F$85:I85))</f>
        <v>9.3394773520665983E-2</v>
      </c>
      <c r="K88" s="298">
        <f>+K85/($D$6-SUM($F$85:J85))</f>
        <v>0.10750571508518036</v>
      </c>
      <c r="L88" s="298">
        <f>+L85/($D$6-SUM($F$85:K85))</f>
        <v>0.12580535702147758</v>
      </c>
      <c r="M88" s="298">
        <f>+M85/($D$6-SUM($F$85:L85))</f>
        <v>0.15028689197941925</v>
      </c>
      <c r="N88" s="270"/>
      <c r="O88" s="271"/>
      <c r="P88" s="270"/>
      <c r="Q88" s="270"/>
      <c r="R88" s="270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</row>
    <row r="89" spans="2:78" x14ac:dyDescent="0.15">
      <c r="C89" s="10"/>
      <c r="D89" s="225" t="s">
        <v>178</v>
      </c>
      <c r="E89" s="225" t="s">
        <v>179</v>
      </c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622"/>
      <c r="AL89" s="622"/>
      <c r="AM89" s="622"/>
      <c r="AN89" s="622"/>
      <c r="AO89" s="622"/>
      <c r="AP89" s="622"/>
      <c r="AQ89" s="622"/>
      <c r="AR89" s="622"/>
      <c r="AS89" s="622"/>
      <c r="AT89" s="622"/>
      <c r="AU89" s="622"/>
      <c r="AV89" s="622"/>
      <c r="AW89" s="622"/>
      <c r="AX89" s="622"/>
      <c r="AY89" s="622"/>
      <c r="AZ89" s="622"/>
      <c r="BA89" s="622"/>
      <c r="BB89" s="622"/>
      <c r="BC89" s="622"/>
      <c r="BD89" s="622"/>
      <c r="BE89" s="622"/>
      <c r="BF89" s="622"/>
      <c r="BG89" s="622"/>
      <c r="BH89" s="622"/>
      <c r="BI89" s="622"/>
      <c r="BJ89" s="622"/>
      <c r="BK89" s="622"/>
      <c r="BL89" s="622"/>
      <c r="BM89" s="622"/>
      <c r="BN89" s="622"/>
      <c r="BO89" s="622"/>
      <c r="BP89" s="622"/>
      <c r="BQ89" s="622"/>
      <c r="BR89" s="622"/>
      <c r="BS89" s="622"/>
      <c r="BT89" s="622"/>
      <c r="BU89" s="622"/>
      <c r="BV89" s="622"/>
      <c r="BW89" s="622"/>
      <c r="BX89" s="622"/>
      <c r="BY89" s="622"/>
      <c r="BZ89" s="622"/>
    </row>
    <row r="90" spans="2:78" x14ac:dyDescent="0.15">
      <c r="C90" s="259"/>
      <c r="D90" s="728" t="s">
        <v>180</v>
      </c>
      <c r="E90" s="729" t="s">
        <v>180</v>
      </c>
      <c r="F90" s="223">
        <v>1</v>
      </c>
      <c r="G90" s="223">
        <f t="shared" ref="G90:AH90" si="127">F90+1</f>
        <v>2</v>
      </c>
      <c r="H90" s="223">
        <f t="shared" si="127"/>
        <v>3</v>
      </c>
      <c r="I90" s="223">
        <f t="shared" si="127"/>
        <v>4</v>
      </c>
      <c r="J90" s="223">
        <f t="shared" si="127"/>
        <v>5</v>
      </c>
      <c r="K90" s="223">
        <f t="shared" si="127"/>
        <v>6</v>
      </c>
      <c r="L90" s="223">
        <f t="shared" si="127"/>
        <v>7</v>
      </c>
      <c r="M90" s="223">
        <f t="shared" si="127"/>
        <v>8</v>
      </c>
      <c r="N90" s="223">
        <f t="shared" si="127"/>
        <v>9</v>
      </c>
      <c r="O90" s="223">
        <f t="shared" si="127"/>
        <v>10</v>
      </c>
      <c r="P90" s="223">
        <f t="shared" si="127"/>
        <v>11</v>
      </c>
      <c r="Q90" s="223">
        <f t="shared" si="127"/>
        <v>12</v>
      </c>
      <c r="R90" s="223">
        <f t="shared" si="127"/>
        <v>13</v>
      </c>
      <c r="S90" s="223">
        <f t="shared" si="127"/>
        <v>14</v>
      </c>
      <c r="T90" s="223">
        <f t="shared" si="127"/>
        <v>15</v>
      </c>
      <c r="U90" s="223">
        <f t="shared" si="127"/>
        <v>16</v>
      </c>
      <c r="V90" s="223">
        <f t="shared" si="127"/>
        <v>17</v>
      </c>
      <c r="W90" s="223">
        <f t="shared" si="127"/>
        <v>18</v>
      </c>
      <c r="X90" s="223">
        <f t="shared" si="127"/>
        <v>19</v>
      </c>
      <c r="Y90" s="223">
        <f t="shared" si="127"/>
        <v>20</v>
      </c>
      <c r="Z90" s="223">
        <f t="shared" si="127"/>
        <v>21</v>
      </c>
      <c r="AA90" s="223">
        <f t="shared" si="127"/>
        <v>22</v>
      </c>
      <c r="AB90" s="223">
        <f t="shared" si="127"/>
        <v>23</v>
      </c>
      <c r="AC90" s="223">
        <f t="shared" si="127"/>
        <v>24</v>
      </c>
      <c r="AD90" s="223">
        <f t="shared" si="127"/>
        <v>25</v>
      </c>
      <c r="AE90" s="223">
        <f t="shared" si="127"/>
        <v>26</v>
      </c>
      <c r="AF90" s="223">
        <f t="shared" si="127"/>
        <v>27</v>
      </c>
      <c r="AG90" s="223">
        <f t="shared" si="127"/>
        <v>28</v>
      </c>
      <c r="AH90" s="223">
        <f t="shared" si="127"/>
        <v>29</v>
      </c>
      <c r="AI90" s="223">
        <f t="shared" ref="AI90" si="128">AH90+1</f>
        <v>30</v>
      </c>
      <c r="AJ90" s="223">
        <f t="shared" ref="AJ90" si="129">AI90+1</f>
        <v>31</v>
      </c>
      <c r="AK90" s="622"/>
      <c r="AL90" s="622"/>
      <c r="AM90" s="622"/>
      <c r="AN90" s="622"/>
      <c r="AO90" s="622"/>
      <c r="AP90" s="622"/>
      <c r="AQ90" s="622"/>
      <c r="AR90" s="622"/>
      <c r="AS90" s="622"/>
      <c r="AT90" s="622"/>
      <c r="AU90" s="622"/>
      <c r="AV90" s="622"/>
      <c r="AW90" s="622"/>
      <c r="AX90" s="622"/>
      <c r="AY90" s="622"/>
      <c r="AZ90" s="622"/>
      <c r="BA90" s="622"/>
      <c r="BB90" s="622"/>
      <c r="BC90" s="622"/>
      <c r="BD90" s="622"/>
      <c r="BE90" s="622"/>
      <c r="BF90" s="622"/>
      <c r="BG90" s="622"/>
      <c r="BH90" s="622"/>
      <c r="BI90" s="622"/>
      <c r="BJ90" s="622"/>
      <c r="BK90" s="622"/>
      <c r="BL90" s="622"/>
      <c r="BM90" s="622"/>
      <c r="BN90" s="622"/>
      <c r="BO90" s="622"/>
      <c r="BP90" s="622"/>
      <c r="BQ90" s="622"/>
      <c r="BR90" s="622"/>
      <c r="BS90" s="622"/>
      <c r="BT90" s="622"/>
      <c r="BU90" s="622"/>
      <c r="BV90" s="622"/>
      <c r="BW90" s="622"/>
      <c r="BX90" s="622"/>
      <c r="BY90" s="622"/>
      <c r="BZ90" s="622"/>
    </row>
    <row r="91" spans="2:78" x14ac:dyDescent="0.15">
      <c r="C91" s="7" t="s">
        <v>181</v>
      </c>
      <c r="D91" s="276">
        <v>0.62</v>
      </c>
      <c r="E91" s="276">
        <v>0.65</v>
      </c>
      <c r="F91" s="224" t="str">
        <f>IF(F93&gt;0,SUM(F92:F93),"")</f>
        <v/>
      </c>
      <c r="G91" s="224" t="str">
        <f t="shared" ref="G91" si="130">IF(G93&lt;&gt;0,SUM(G92:G93),IF(H93&lt;&gt;0,"Refinance",""))</f>
        <v/>
      </c>
      <c r="H91" s="224" t="str">
        <f t="shared" ref="H91" si="131">IF(H93&lt;&gt;0,SUM(H92:H93),IF(I93&lt;&gt;0,"Refinance",""))</f>
        <v/>
      </c>
      <c r="I91" s="224" t="str">
        <f t="shared" ref="I91" si="132">IF(I93&lt;&gt;0,SUM(I92:I93),IF(J93&lt;&gt;0,"Refinance",""))</f>
        <v/>
      </c>
      <c r="J91" s="224" t="str">
        <f>IF(J93&lt;&gt;0,SUM(J92:J93),IF(K93&lt;&gt;0,"Refinance",""))</f>
        <v>Refinance</v>
      </c>
      <c r="K91" s="224">
        <f t="shared" ref="K91" si="133">IF(K93&lt;&gt;0,SUM(K92:K93),IF(L93&lt;&gt;0,"Refinance",""))</f>
        <v>8266445.8046927247</v>
      </c>
      <c r="L91" s="224" t="str">
        <f t="shared" ref="L91" si="134">IF(L93&lt;&gt;0,SUM(L92:L93),IF(M93&lt;&gt;0,"Refinance",""))</f>
        <v/>
      </c>
      <c r="M91" s="224" t="str">
        <f t="shared" ref="M91" si="135">IF(M93&lt;&gt;0,SUM(M92:M93),IF(N93&lt;&gt;0,"Refinance",""))</f>
        <v/>
      </c>
      <c r="N91" s="224" t="str">
        <f t="shared" ref="N91" si="136">IF(N93&lt;&gt;0,SUM(N92:N93),IF(O93&lt;&gt;0,"Refinance",""))</f>
        <v/>
      </c>
      <c r="O91" s="224" t="str">
        <f t="shared" ref="O91" si="137">IF(O93&lt;&gt;0,SUM(O92:O93),IF(P93&lt;&gt;0,"Refinance",""))</f>
        <v/>
      </c>
      <c r="P91" s="224" t="str">
        <f t="shared" ref="P91" si="138">IF(P93&lt;&gt;0,SUM(P92:P93),IF(Q93&lt;&gt;0,"Refinance",""))</f>
        <v/>
      </c>
      <c r="Q91" s="224" t="str">
        <f t="shared" ref="Q91" si="139">IF(Q93&lt;&gt;0,SUM(Q92:Q93),IF(R93&lt;&gt;0,"Refinance",""))</f>
        <v/>
      </c>
      <c r="R91" s="224" t="str">
        <f t="shared" ref="R91" si="140">IF(R93&lt;&gt;0,SUM(R92:R93),IF(S93&lt;&gt;0,"Refinance",""))</f>
        <v/>
      </c>
      <c r="S91" s="224" t="str">
        <f t="shared" ref="S91" si="141">IF(S93&lt;&gt;0,SUM(S92:S93),IF(T93&lt;&gt;0,"Refinance",""))</f>
        <v/>
      </c>
      <c r="T91" s="224" t="str">
        <f t="shared" ref="T91" si="142">IF(T93&lt;&gt;0,SUM(T92:T93),IF(U93&lt;&gt;0,"Refinance",""))</f>
        <v/>
      </c>
      <c r="U91" s="224" t="str">
        <f t="shared" ref="U91" si="143">IF(U93&lt;&gt;0,SUM(U92:U93),IF(V93&lt;&gt;0,"Refinance",""))</f>
        <v/>
      </c>
      <c r="V91" s="224" t="str">
        <f t="shared" ref="V91" si="144">IF(V93&lt;&gt;0,SUM(V92:V93),IF(W93&lt;&gt;0,"Refinance",""))</f>
        <v/>
      </c>
      <c r="W91" s="224" t="str">
        <f t="shared" ref="W91" si="145">IF(W93&lt;&gt;0,SUM(W92:W93),IF(X93&lt;&gt;0,"Refinance",""))</f>
        <v/>
      </c>
      <c r="X91" s="224" t="str">
        <f t="shared" ref="X91" si="146">IF(X93&lt;&gt;0,SUM(X92:X93),IF(Y93&lt;&gt;0,"Refinance",""))</f>
        <v/>
      </c>
      <c r="Y91" s="224" t="str">
        <f t="shared" ref="Y91" si="147">IF(Y93&lt;&gt;0,SUM(Y92:Y93),IF(Z93&lt;&gt;0,"Refinance",""))</f>
        <v/>
      </c>
      <c r="Z91" s="224" t="str">
        <f t="shared" ref="Z91" si="148">IF(Z93&lt;&gt;0,SUM(Z92:Z93),IF(AA93&lt;&gt;0,"Refinance",""))</f>
        <v/>
      </c>
      <c r="AA91" s="224" t="str">
        <f t="shared" ref="AA91" si="149">IF(AA93&lt;&gt;0,SUM(AA92:AA93),IF(AB93&lt;&gt;0,"Refinance",""))</f>
        <v/>
      </c>
      <c r="AB91" s="224" t="str">
        <f t="shared" ref="AB91" si="150">IF(AB93&lt;&gt;0,SUM(AB92:AB93),IF(AC93&lt;&gt;0,"Refinance",""))</f>
        <v/>
      </c>
      <c r="AC91" s="224" t="str">
        <f t="shared" ref="AC91" si="151">IF(AC93&lt;&gt;0,SUM(AC92:AC93),IF(AD93&lt;&gt;0,"Refinance",""))</f>
        <v/>
      </c>
      <c r="AD91" s="224" t="str">
        <f t="shared" ref="AD91" si="152">IF(AD93&lt;&gt;0,SUM(AD92:AD93),IF(AE93&lt;&gt;0,"Refinance",""))</f>
        <v/>
      </c>
      <c r="AE91" s="224" t="str">
        <f t="shared" ref="AE91" si="153">IF(AE93&lt;&gt;0,SUM(AE92:AE93),IF(AF93&lt;&gt;0,"Refinance",""))</f>
        <v/>
      </c>
      <c r="AF91" s="224" t="str">
        <f t="shared" ref="AF91" si="154">IF(AF93&lt;&gt;0,SUM(AF92:AF93),IF(AG93&lt;&gt;0,"Refinance",""))</f>
        <v/>
      </c>
      <c r="AG91" s="224" t="str">
        <f t="shared" ref="AG91" si="155">IF(AG93&lt;&gt;0,SUM(AG92:AG93),IF(AH93&lt;&gt;0,"Refinance",""))</f>
        <v/>
      </c>
      <c r="AH91" s="224" t="str">
        <f>IF(AH93&lt;&gt;0,SUM(AH92:AH93),IF(AJ93&lt;&gt;0,"Refinance",""))</f>
        <v/>
      </c>
      <c r="AI91" s="224" t="str">
        <f t="shared" ref="AI91:AJ91" si="156">IF(AI93&lt;&gt;0,SUM(AI92:AI93),IF(AK93&lt;&gt;0,"Refinance",""))</f>
        <v/>
      </c>
      <c r="AJ91" s="224" t="str">
        <f t="shared" si="156"/>
        <v/>
      </c>
      <c r="AK91" s="622"/>
      <c r="AL91" s="622"/>
      <c r="AM91" s="622"/>
      <c r="AN91" s="622"/>
      <c r="AO91" s="622"/>
      <c r="AP91" s="622"/>
      <c r="AQ91" s="622"/>
      <c r="AR91" s="622"/>
      <c r="AS91" s="622"/>
      <c r="AT91" s="622"/>
      <c r="AU91" s="622"/>
      <c r="AV91" s="622"/>
      <c r="AW91" s="622"/>
      <c r="AX91" s="622"/>
      <c r="AY91" s="622"/>
      <c r="AZ91" s="622"/>
      <c r="BA91" s="622"/>
      <c r="BB91" s="622"/>
      <c r="BC91" s="622"/>
      <c r="BD91" s="622"/>
      <c r="BE91" s="622"/>
      <c r="BF91" s="622"/>
      <c r="BG91" s="622"/>
      <c r="BH91" s="622"/>
      <c r="BI91" s="622"/>
      <c r="BJ91" s="622"/>
      <c r="BK91" s="622"/>
      <c r="BL91" s="622"/>
      <c r="BM91" s="622"/>
      <c r="BN91" s="622"/>
      <c r="BO91" s="622"/>
      <c r="BP91" s="622"/>
      <c r="BQ91" s="622"/>
      <c r="BR91" s="622"/>
      <c r="BS91" s="622"/>
      <c r="BT91" s="622"/>
      <c r="BU91" s="622"/>
      <c r="BV91" s="622"/>
      <c r="BW91" s="622"/>
      <c r="BX91" s="622"/>
      <c r="BY91" s="622"/>
      <c r="BZ91" s="622"/>
    </row>
    <row r="92" spans="2:78" x14ac:dyDescent="0.15">
      <c r="C92" s="28" t="s">
        <v>182</v>
      </c>
      <c r="D92" s="728" t="s">
        <v>183</v>
      </c>
      <c r="E92" s="728" t="s">
        <v>183</v>
      </c>
      <c r="F92" s="144">
        <v>5118772.72</v>
      </c>
      <c r="G92" s="29">
        <f t="shared" ref="G92" si="157">F97</f>
        <v>5118772.72</v>
      </c>
      <c r="H92" s="29">
        <f t="shared" ref="H92" si="158">G97</f>
        <v>5118772.72</v>
      </c>
      <c r="I92" s="29">
        <f t="shared" ref="I92" si="159">H97</f>
        <v>5118772.72</v>
      </c>
      <c r="J92" s="29">
        <f t="shared" ref="J92" si="160">I97</f>
        <v>5041236.8489340935</v>
      </c>
      <c r="K92" s="29">
        <f t="shared" ref="K92" si="161">J97</f>
        <v>4960058.7141715595</v>
      </c>
      <c r="L92" s="29">
        <f t="shared" ref="L92" si="162">K97</f>
        <v>8159496.9553891197</v>
      </c>
      <c r="M92" s="29">
        <f t="shared" ref="M92" si="163">L97</f>
        <v>8046580.1374842711</v>
      </c>
      <c r="N92" s="29">
        <f t="shared" ref="N92" si="164">M97</f>
        <v>7927362.3258969607</v>
      </c>
      <c r="O92" s="29">
        <f t="shared" ref="O92" si="165">N97</f>
        <v>7801491.9120526379</v>
      </c>
      <c r="P92" s="29">
        <f t="shared" ref="P92" si="166">O97</f>
        <v>7668597.6668857727</v>
      </c>
      <c r="Q92" s="29">
        <f t="shared" ref="Q92" si="167">P97</f>
        <v>7528287.645975586</v>
      </c>
      <c r="R92" s="29">
        <f t="shared" ref="R92" si="168">Q97</f>
        <v>7380148.0335860671</v>
      </c>
      <c r="S92" s="29">
        <f t="shared" ref="S92" si="169">R97</f>
        <v>7223741.9222010206</v>
      </c>
      <c r="T92" s="29">
        <f t="shared" ref="T92" si="170">S97</f>
        <v>7058608.0239546234</v>
      </c>
      <c r="U92" s="29">
        <f t="shared" ref="U92" si="171">T97</f>
        <v>6884259.3101571221</v>
      </c>
      <c r="V92" s="29">
        <f t="shared" ref="V92" si="172">U97</f>
        <v>6700181.5749032339</v>
      </c>
      <c r="W92" s="29">
        <f t="shared" ref="W92" si="173">V97</f>
        <v>6505831.9185268963</v>
      </c>
      <c r="X92" s="29">
        <f t="shared" ref="X92" si="174">W97</f>
        <v>6300637.1464296421</v>
      </c>
      <c r="Y92" s="29">
        <f t="shared" ref="Y92" si="175">X97</f>
        <v>6083992.0785602527</v>
      </c>
      <c r="Z92" s="29">
        <f t="shared" ref="Z92" si="176">Y97</f>
        <v>5855257.7645598594</v>
      </c>
      <c r="AA92" s="29">
        <f t="shared" ref="AA92" si="177">Z97</f>
        <v>5613759.5993084237</v>
      </c>
      <c r="AB92" s="29">
        <f t="shared" ref="AB92" si="178">AA97</f>
        <v>5358785.3333147801</v>
      </c>
      <c r="AC92" s="29">
        <f t="shared" ref="AC92" si="179">AB97</f>
        <v>5089582.9720823038</v>
      </c>
      <c r="AD92" s="29">
        <f t="shared" ref="AD92" si="180">AC97</f>
        <v>4805358.5582548026</v>
      </c>
      <c r="AE92" s="29">
        <f t="shared" ref="AE92" si="181">AD97</f>
        <v>4505273.8300015312</v>
      </c>
      <c r="AF92" s="29">
        <f t="shared" ref="AF92" si="182">AE97</f>
        <v>4188443.7487352104</v>
      </c>
      <c r="AG92" s="29">
        <f t="shared" ref="AG92" si="183">AF97</f>
        <v>3853933.8888715594</v>
      </c>
      <c r="AH92" s="29">
        <f t="shared" ref="AH92" si="184">AG97</f>
        <v>3500757.6819319753</v>
      </c>
      <c r="AI92" s="29">
        <f t="shared" ref="AI92" si="185">AH97</f>
        <v>3127873.506861398</v>
      </c>
      <c r="AJ92" s="29">
        <f t="shared" ref="AJ92" si="186">AI97</f>
        <v>2734181.6179798511</v>
      </c>
      <c r="AK92" s="622"/>
      <c r="AL92" s="622"/>
      <c r="AM92" s="622"/>
      <c r="AN92" s="622"/>
      <c r="AO92" s="622"/>
      <c r="AP92" s="622"/>
      <c r="AQ92" s="622"/>
      <c r="AR92" s="622"/>
      <c r="AS92" s="622"/>
      <c r="AT92" s="622"/>
      <c r="AU92" s="622"/>
      <c r="AV92" s="622"/>
      <c r="AW92" s="622"/>
      <c r="AX92" s="622"/>
      <c r="AY92" s="622"/>
      <c r="AZ92" s="622"/>
      <c r="BA92" s="622"/>
      <c r="BB92" s="622"/>
      <c r="BC92" s="622"/>
      <c r="BD92" s="622"/>
      <c r="BE92" s="622"/>
      <c r="BF92" s="622"/>
      <c r="BG92" s="622"/>
      <c r="BH92" s="622"/>
      <c r="BI92" s="622"/>
      <c r="BJ92" s="622"/>
      <c r="BK92" s="622"/>
      <c r="BL92" s="622"/>
      <c r="BM92" s="622"/>
      <c r="BN92" s="622"/>
      <c r="BO92" s="622"/>
      <c r="BP92" s="622"/>
      <c r="BQ92" s="622"/>
      <c r="BR92" s="622"/>
      <c r="BS92" s="622"/>
      <c r="BT92" s="622"/>
      <c r="BU92" s="622"/>
      <c r="BV92" s="622"/>
      <c r="BW92" s="622"/>
      <c r="BX92" s="622"/>
      <c r="BY92" s="622"/>
      <c r="BZ92" s="622"/>
    </row>
    <row r="93" spans="2:78" x14ac:dyDescent="0.15">
      <c r="C93" s="594" t="s">
        <v>182</v>
      </c>
      <c r="D93" s="272">
        <v>360</v>
      </c>
      <c r="E93" s="272">
        <v>360</v>
      </c>
      <c r="F93" s="29">
        <f>IF(F90*12=$D$97,(E102*$E$91)-F92,0)</f>
        <v>0</v>
      </c>
      <c r="G93" s="265">
        <f>IF(G90=$D$97+1,(F102*$E$91)-G92,IF(G90=$E$97+1,(F102*$E$91)-G92,0))</f>
        <v>0</v>
      </c>
      <c r="H93" s="265">
        <f t="shared" ref="H93:M93" si="187">IF(H90=$D$97+1,(G102*$E$91)-H92,IF(H90=$E$97+1,(G102*$E$91)-H92,0))</f>
        <v>0</v>
      </c>
      <c r="I93" s="265">
        <f t="shared" si="187"/>
        <v>0</v>
      </c>
      <c r="J93" s="265">
        <f t="shared" si="187"/>
        <v>0</v>
      </c>
      <c r="K93" s="265">
        <f t="shared" si="187"/>
        <v>3306387.0905211652</v>
      </c>
      <c r="L93" s="265">
        <f t="shared" si="187"/>
        <v>0</v>
      </c>
      <c r="M93" s="265">
        <f t="shared" si="187"/>
        <v>0</v>
      </c>
      <c r="N93" s="265">
        <f t="shared" ref="N93" si="188">IF(N90=$D$97+1,(M102*$E$91)-N92,IF(N90=$E$97+1,(M102*$E$91)-N92,0))</f>
        <v>0</v>
      </c>
      <c r="O93" s="265">
        <f t="shared" ref="O93" si="189">IF(O90=$D$97+1,(N102*$E$91)-O92,IF(O90=$E$97+1,(N102*$E$91)-O92,0))</f>
        <v>0</v>
      </c>
      <c r="P93" s="265">
        <f t="shared" ref="P93" si="190">IF(P90=$D$97+1,(O102*$E$91)-P92,IF(P90=$E$97+1,(O102*$E$91)-P92,0))</f>
        <v>0</v>
      </c>
      <c r="Q93" s="265">
        <f t="shared" ref="Q93" si="191">IF(Q90=$D$97+1,(P102*$E$91)-Q92,IF(Q90=$E$97+1,(P102*$E$91)-Q92,0))</f>
        <v>0</v>
      </c>
      <c r="R93" s="265">
        <f t="shared" ref="R93" si="192">IF(R90=$D$97+1,(Q102*$E$91)-R92,IF(R90=$E$97+1,(Q102*$E$91)-R92,0))</f>
        <v>0</v>
      </c>
      <c r="S93" s="265">
        <f t="shared" ref="S93" si="193">IF(S90=$D$97+1,(R102*$E$91)-S92,IF(S90=$E$97+1,(R102*$E$91)-S92,0))</f>
        <v>0</v>
      </c>
      <c r="T93" s="265">
        <f t="shared" ref="T93" si="194">IF(T90=$D$97+1,(S102*$E$91)-T92,IF(T90=$E$97+1,(S102*$E$91)-T92,0))</f>
        <v>0</v>
      </c>
      <c r="U93" s="265">
        <f t="shared" ref="U93" si="195">IF(U90=$D$97+1,(T102*$E$91)-U92,IF(U90=$E$97+1,(T102*$E$91)-U92,0))</f>
        <v>0</v>
      </c>
      <c r="V93" s="265">
        <f t="shared" ref="V93" si="196">IF(V90=$D$97+1,(U102*$E$91)-V92,IF(V90=$E$97+1,(U102*$E$91)-V92,0))</f>
        <v>0</v>
      </c>
      <c r="W93" s="265">
        <f t="shared" ref="W93" si="197">IF(W90=$D$97+1,(V102*$E$91)-W92,IF(W90=$E$97+1,(V102*$E$91)-W92,0))</f>
        <v>0</v>
      </c>
      <c r="X93" s="265">
        <f t="shared" ref="X93" si="198">IF(X90=$D$97+1,(W102*$E$91)-X92,IF(X90=$E$97+1,(W102*$E$91)-X92,0))</f>
        <v>0</v>
      </c>
      <c r="Y93" s="265">
        <f t="shared" ref="Y93" si="199">IF(Y90=$D$97+1,(X102*$E$91)-Y92,IF(Y90=$E$97+1,(X102*$E$91)-Y92,0))</f>
        <v>0</v>
      </c>
      <c r="Z93" s="265">
        <f t="shared" ref="Z93" si="200">IF(Z90=$D$97+1,(Y102*$E$91)-Z92,IF(Z90=$E$97+1,(Y102*$E$91)-Z92,0))</f>
        <v>0</v>
      </c>
      <c r="AA93" s="265">
        <f t="shared" ref="AA93" si="201">IF(AA90=$D$97+1,(Z102*$E$91)-AA92,IF(AA90=$E$97+1,(Z102*$E$91)-AA92,0))</f>
        <v>0</v>
      </c>
      <c r="AB93" s="265">
        <f t="shared" ref="AB93" si="202">IF(AB90=$D$97+1,(AA102*$E$91)-AB92,IF(AB90=$E$97+1,(AA102*$E$91)-AB92,0))</f>
        <v>0</v>
      </c>
      <c r="AC93" s="265">
        <f t="shared" ref="AC93" si="203">IF(AC90=$D$97+1,(AB102*$E$91)-AC92,IF(AC90=$E$97+1,(AB102*$E$91)-AC92,0))</f>
        <v>0</v>
      </c>
      <c r="AD93" s="265">
        <f t="shared" ref="AD93" si="204">IF(AD90=$D$97+1,(AC102*$E$91)-AD92,IF(AD90=$E$97+1,(AC102*$E$91)-AD92,0))</f>
        <v>0</v>
      </c>
      <c r="AE93" s="265">
        <f t="shared" ref="AE93" si="205">IF(AE90=$D$97+1,(AD102*$E$91)-AE92,IF(AE90=$E$97+1,(AD102*$E$91)-AE92,0))</f>
        <v>0</v>
      </c>
      <c r="AF93" s="265">
        <f t="shared" ref="AF93" si="206">IF(AF90=$D$97+1,(AE102*$E$91)-AF92,IF(AF90=$E$97+1,(AE102*$E$91)-AF92,0))</f>
        <v>0</v>
      </c>
      <c r="AG93" s="265">
        <f t="shared" ref="AG93" si="207">IF(AG90=$D$97+1,(AF102*$E$91)-AG92,IF(AG90=$E$97+1,(AF102*$E$91)-AG92,0))</f>
        <v>0</v>
      </c>
      <c r="AH93" s="265">
        <f t="shared" ref="AH93" si="208">IF(AH90=$D$97+1,(AG102*$E$91)-AH92,IF(AH90=$E$97+1,(AG102*$E$91)-AH92,0))</f>
        <v>0</v>
      </c>
      <c r="AI93" s="265">
        <f t="shared" ref="AI93" si="209">IF(AI90=$D$97+1,(AH102*$E$91)-AI92,IF(AI90=$E$97+1,(AH102*$E$91)-AI92,0))</f>
        <v>0</v>
      </c>
      <c r="AJ93" s="265">
        <f t="shared" ref="AJ93" si="210">IF(AJ90=$D$97+1,(AI102*$E$91)-AJ92,IF(AJ90=$E$97+1,(AI102*$E$91)-AJ92,0))</f>
        <v>0</v>
      </c>
      <c r="AK93" s="622"/>
      <c r="AL93" s="622"/>
      <c r="AM93" s="622"/>
      <c r="AN93" s="622"/>
      <c r="AO93" s="622"/>
      <c r="AP93" s="622"/>
      <c r="AQ93" s="622"/>
      <c r="AR93" s="622"/>
      <c r="AS93" s="622"/>
      <c r="AT93" s="622"/>
      <c r="AU93" s="622"/>
      <c r="AV93" s="622"/>
      <c r="AW93" s="622"/>
      <c r="AX93" s="622"/>
      <c r="AY93" s="622"/>
      <c r="AZ93" s="622"/>
      <c r="BA93" s="622"/>
      <c r="BB93" s="622"/>
      <c r="BC93" s="622"/>
      <c r="BD93" s="622"/>
      <c r="BE93" s="622"/>
      <c r="BF93" s="622"/>
      <c r="BG93" s="622"/>
      <c r="BH93" s="622"/>
      <c r="BI93" s="622"/>
      <c r="BJ93" s="622"/>
      <c r="BK93" s="622"/>
      <c r="BL93" s="622"/>
      <c r="BM93" s="622"/>
      <c r="BN93" s="622"/>
      <c r="BO93" s="622"/>
      <c r="BP93" s="622"/>
      <c r="BQ93" s="622"/>
      <c r="BR93" s="622"/>
      <c r="BS93" s="622"/>
      <c r="BT93" s="622"/>
      <c r="BU93" s="622"/>
      <c r="BV93" s="622"/>
      <c r="BW93" s="622"/>
      <c r="BX93" s="622"/>
      <c r="BY93" s="622"/>
      <c r="BZ93" s="622"/>
    </row>
    <row r="94" spans="2:78" x14ac:dyDescent="0.15">
      <c r="C94" s="28" t="s">
        <v>184</v>
      </c>
      <c r="D94" s="728" t="s">
        <v>185</v>
      </c>
      <c r="E94" s="728" t="s">
        <v>185</v>
      </c>
      <c r="F94" s="29">
        <f>IF(D100&lt;F90,-PMT((($D$95/360)*365.25/12),$D$93,$D$4*$D$91,,0)*12,F96)</f>
        <v>240455.41493298332</v>
      </c>
      <c r="G94" s="265">
        <f t="shared" ref="G94:AH94" si="211">IF(G90&gt;$E$97,-PMT((($E$95/360)*365.25/12),$E$93,INDEX($F$91:$AH$91,1,$E$97+1),,0)*12,IF(G90&gt;$D$97,-PMT((($E$95/360)*365.25/12),$E$93,INDEX($F$91:$AH$91,1,$D$97+1),,0)*12,IF($D$100&gt;=G90,G96,-PMT((($D$95/360)*365.25/12),$D$93,$D$4*$D$91,,0)*12)))</f>
        <v>240455.41493298332</v>
      </c>
      <c r="H94" s="265">
        <f t="shared" si="211"/>
        <v>240455.41493298332</v>
      </c>
      <c r="I94" s="265">
        <f t="shared" si="211"/>
        <v>317991.28599888994</v>
      </c>
      <c r="J94" s="265">
        <f t="shared" si="211"/>
        <v>317991.28599888994</v>
      </c>
      <c r="K94" s="265">
        <f t="shared" si="211"/>
        <v>568233.74696755211</v>
      </c>
      <c r="L94" s="265">
        <f t="shared" si="211"/>
        <v>568233.74696755211</v>
      </c>
      <c r="M94" s="265">
        <f t="shared" si="211"/>
        <v>568233.74696755211</v>
      </c>
      <c r="N94" s="265">
        <f t="shared" si="211"/>
        <v>568233.74696755211</v>
      </c>
      <c r="O94" s="265">
        <f t="shared" si="211"/>
        <v>568233.74696755211</v>
      </c>
      <c r="P94" s="265">
        <f t="shared" si="211"/>
        <v>568233.74696755211</v>
      </c>
      <c r="Q94" s="265">
        <f t="shared" si="211"/>
        <v>568233.74696755211</v>
      </c>
      <c r="R94" s="265">
        <f t="shared" si="211"/>
        <v>568233.74696755211</v>
      </c>
      <c r="S94" s="265">
        <f t="shared" si="211"/>
        <v>568233.74696755211</v>
      </c>
      <c r="T94" s="265">
        <f t="shared" si="211"/>
        <v>568233.74696755211</v>
      </c>
      <c r="U94" s="265">
        <f t="shared" si="211"/>
        <v>568233.74696755211</v>
      </c>
      <c r="V94" s="265">
        <f t="shared" si="211"/>
        <v>568233.74696755211</v>
      </c>
      <c r="W94" s="265">
        <f t="shared" si="211"/>
        <v>568233.74696755211</v>
      </c>
      <c r="X94" s="265">
        <f t="shared" si="211"/>
        <v>568233.74696755211</v>
      </c>
      <c r="Y94" s="265">
        <f t="shared" si="211"/>
        <v>568233.74696755211</v>
      </c>
      <c r="Z94" s="265">
        <f t="shared" si="211"/>
        <v>568233.74696755211</v>
      </c>
      <c r="AA94" s="265">
        <f t="shared" si="211"/>
        <v>568233.74696755211</v>
      </c>
      <c r="AB94" s="265">
        <f t="shared" si="211"/>
        <v>568233.74696755211</v>
      </c>
      <c r="AC94" s="265">
        <f t="shared" si="211"/>
        <v>568233.74696755211</v>
      </c>
      <c r="AD94" s="265">
        <f t="shared" si="211"/>
        <v>568233.74696755211</v>
      </c>
      <c r="AE94" s="265">
        <f t="shared" si="211"/>
        <v>568233.74696755211</v>
      </c>
      <c r="AF94" s="265">
        <f t="shared" si="211"/>
        <v>568233.74696755211</v>
      </c>
      <c r="AG94" s="265">
        <f t="shared" si="211"/>
        <v>568233.74696755211</v>
      </c>
      <c r="AH94" s="265">
        <f t="shared" si="211"/>
        <v>568233.74696755211</v>
      </c>
      <c r="AI94" s="265">
        <f t="shared" ref="AI94:AJ94" si="212">IF(AI90&gt;$E$97,-PMT((($E$95/360)*365.25/12),$E$93,INDEX($F$91:$AH$91,1,$E$97+1),,0)*12,IF(AI90&gt;$D$97,-PMT((($E$95/360)*365.25/12),$E$93,INDEX($F$91:$AH$91,1,$D$97+1),,0)*12,IF($D$100&gt;=AI90,AI96,-PMT((($D$95/360)*365.25/12),$D$93,$D$4*$D$91,,0)*12)))</f>
        <v>568233.74696755211</v>
      </c>
      <c r="AJ94" s="265">
        <f t="shared" si="212"/>
        <v>568233.74696755211</v>
      </c>
      <c r="AK94" s="622"/>
      <c r="AL94" s="622"/>
      <c r="AM94" s="622"/>
      <c r="AN94" s="622"/>
      <c r="AO94" s="622"/>
      <c r="AP94" s="622"/>
      <c r="AQ94" s="622"/>
      <c r="AR94" s="622"/>
      <c r="AS94" s="622"/>
      <c r="AT94" s="622"/>
      <c r="AU94" s="622"/>
      <c r="AV94" s="622"/>
      <c r="AW94" s="622"/>
      <c r="AX94" s="622"/>
      <c r="AY94" s="622"/>
      <c r="AZ94" s="622"/>
      <c r="BA94" s="622"/>
      <c r="BB94" s="622"/>
      <c r="BC94" s="622"/>
      <c r="BD94" s="622"/>
      <c r="BE94" s="622"/>
      <c r="BF94" s="622"/>
      <c r="BG94" s="622"/>
      <c r="BH94" s="622"/>
      <c r="BI94" s="622"/>
      <c r="BJ94" s="622"/>
      <c r="BK94" s="622"/>
      <c r="BL94" s="622"/>
      <c r="BM94" s="622"/>
      <c r="BN94" s="622"/>
      <c r="BO94" s="622"/>
      <c r="BP94" s="622"/>
      <c r="BQ94" s="622"/>
      <c r="BR94" s="622"/>
      <c r="BS94" s="622"/>
      <c r="BT94" s="622"/>
      <c r="BU94" s="622"/>
      <c r="BV94" s="622"/>
      <c r="BW94" s="622"/>
      <c r="BX94" s="622"/>
      <c r="BY94" s="622"/>
      <c r="BZ94" s="622"/>
    </row>
    <row r="95" spans="2:78" x14ac:dyDescent="0.15">
      <c r="C95" s="28" t="s">
        <v>186</v>
      </c>
      <c r="D95" s="274">
        <v>4.6300000000000001E-2</v>
      </c>
      <c r="E95" s="275">
        <v>5.5E-2</v>
      </c>
      <c r="F95" s="29">
        <f t="shared" ref="F95" si="213">F94-F96</f>
        <v>0</v>
      </c>
      <c r="G95" s="29">
        <f t="shared" ref="G95:AH95" si="214">G94-G96</f>
        <v>0</v>
      </c>
      <c r="H95" s="29">
        <f t="shared" si="214"/>
        <v>0</v>
      </c>
      <c r="I95" s="29">
        <f t="shared" si="214"/>
        <v>77535.871065906627</v>
      </c>
      <c r="J95" s="29">
        <f t="shared" si="214"/>
        <v>81178.134762534057</v>
      </c>
      <c r="K95" s="29">
        <f t="shared" si="214"/>
        <v>106948.84930360492</v>
      </c>
      <c r="L95" s="29">
        <f t="shared" si="214"/>
        <v>112916.81790484884</v>
      </c>
      <c r="M95" s="29">
        <f t="shared" si="214"/>
        <v>119217.81158730999</v>
      </c>
      <c r="N95" s="29">
        <f t="shared" si="214"/>
        <v>125870.41384432273</v>
      </c>
      <c r="O95" s="29">
        <f t="shared" si="214"/>
        <v>132894.24516686477</v>
      </c>
      <c r="P95" s="29">
        <f t="shared" si="214"/>
        <v>140310.02091018663</v>
      </c>
      <c r="Q95" s="29">
        <f t="shared" si="214"/>
        <v>148139.61238951859</v>
      </c>
      <c r="R95" s="29">
        <f t="shared" si="214"/>
        <v>156406.11138504627</v>
      </c>
      <c r="S95" s="29">
        <f t="shared" si="214"/>
        <v>165133.89824639721</v>
      </c>
      <c r="T95" s="29">
        <f t="shared" si="214"/>
        <v>174348.71379750088</v>
      </c>
      <c r="U95" s="29">
        <f t="shared" si="214"/>
        <v>184077.73525388853</v>
      </c>
      <c r="V95" s="29">
        <f t="shared" si="214"/>
        <v>194349.65637633728</v>
      </c>
      <c r="W95" s="29">
        <f t="shared" si="214"/>
        <v>205194.77209725435</v>
      </c>
      <c r="X95" s="29">
        <f t="shared" si="214"/>
        <v>216645.06786938966</v>
      </c>
      <c r="Y95" s="29">
        <f t="shared" si="214"/>
        <v>228734.31400039297</v>
      </c>
      <c r="Z95" s="29">
        <f t="shared" si="214"/>
        <v>241498.16525143577</v>
      </c>
      <c r="AA95" s="29">
        <f t="shared" si="214"/>
        <v>254974.26599364349</v>
      </c>
      <c r="AB95" s="29">
        <f t="shared" si="214"/>
        <v>269202.36123247631</v>
      </c>
      <c r="AC95" s="29">
        <f t="shared" si="214"/>
        <v>284224.41382750106</v>
      </c>
      <c r="AD95" s="29">
        <f t="shared" si="214"/>
        <v>300084.72825327108</v>
      </c>
      <c r="AE95" s="29">
        <f t="shared" si="214"/>
        <v>316830.08126632083</v>
      </c>
      <c r="AF95" s="29">
        <f t="shared" si="214"/>
        <v>334509.85986365087</v>
      </c>
      <c r="AG95" s="29">
        <f t="shared" si="214"/>
        <v>353176.20693958394</v>
      </c>
      <c r="AH95" s="29">
        <f t="shared" si="214"/>
        <v>372884.17507057718</v>
      </c>
      <c r="AI95" s="29">
        <f t="shared" ref="AI95:AJ95" si="215">AI94-AI96</f>
        <v>393691.88888154679</v>
      </c>
      <c r="AJ95" s="29">
        <f t="shared" si="215"/>
        <v>415660.7164725723</v>
      </c>
      <c r="AK95" s="622"/>
      <c r="AL95" s="622"/>
      <c r="AM95" s="622"/>
      <c r="AN95" s="622"/>
      <c r="AO95" s="622"/>
      <c r="AP95" s="622"/>
      <c r="AQ95" s="622"/>
      <c r="AR95" s="622"/>
      <c r="AS95" s="622"/>
      <c r="AT95" s="622"/>
      <c r="AU95" s="622"/>
      <c r="AV95" s="622"/>
      <c r="AW95" s="622"/>
      <c r="AX95" s="622"/>
      <c r="AY95" s="622"/>
      <c r="AZ95" s="622"/>
      <c r="BA95" s="622"/>
      <c r="BB95" s="622"/>
      <c r="BC95" s="622"/>
      <c r="BD95" s="622"/>
      <c r="BE95" s="622"/>
      <c r="BF95" s="622"/>
      <c r="BG95" s="622"/>
      <c r="BH95" s="622"/>
      <c r="BI95" s="622"/>
      <c r="BJ95" s="622"/>
      <c r="BK95" s="622"/>
      <c r="BL95" s="622"/>
      <c r="BM95" s="622"/>
      <c r="BN95" s="622"/>
      <c r="BO95" s="622"/>
      <c r="BP95" s="622"/>
      <c r="BQ95" s="622"/>
      <c r="BR95" s="622"/>
      <c r="BS95" s="622"/>
      <c r="BT95" s="622"/>
      <c r="BU95" s="622"/>
      <c r="BV95" s="622"/>
      <c r="BW95" s="622"/>
      <c r="BX95" s="622"/>
      <c r="BY95" s="622"/>
      <c r="BZ95" s="622"/>
    </row>
    <row r="96" spans="2:78" x14ac:dyDescent="0.15">
      <c r="C96" s="28" t="s">
        <v>187</v>
      </c>
      <c r="D96" s="728" t="s">
        <v>188</v>
      </c>
      <c r="E96" s="728" t="s">
        <v>189</v>
      </c>
      <c r="F96" s="29">
        <f>IF(F90&gt;=$D$97+1,(F92+F93)*(($E$95/360)*365.25),(F92+F93)*(($D$95/360)*365.25))</f>
        <v>240455.41493298332</v>
      </c>
      <c r="G96" s="29">
        <f t="shared" ref="G96:AH96" si="216">IF(G90&gt;=$D$97+1,(G92+G93)*(($E$95/360)*365.25),(G92+G93)*(($D$95/360)*365.25))</f>
        <v>240455.41493298332</v>
      </c>
      <c r="H96" s="29">
        <f t="shared" si="216"/>
        <v>240455.41493298332</v>
      </c>
      <c r="I96" s="29">
        <f t="shared" si="216"/>
        <v>240455.41493298332</v>
      </c>
      <c r="J96" s="29">
        <f t="shared" si="216"/>
        <v>236813.15123635589</v>
      </c>
      <c r="K96" s="29">
        <f t="shared" si="216"/>
        <v>461284.89766394719</v>
      </c>
      <c r="L96" s="29">
        <f t="shared" si="216"/>
        <v>455316.92906270328</v>
      </c>
      <c r="M96" s="29">
        <f t="shared" si="216"/>
        <v>449015.93538024212</v>
      </c>
      <c r="N96" s="29">
        <f t="shared" si="216"/>
        <v>442363.33312322939</v>
      </c>
      <c r="O96" s="29">
        <f t="shared" si="216"/>
        <v>435339.50180068734</v>
      </c>
      <c r="P96" s="29">
        <f t="shared" si="216"/>
        <v>427923.72605736548</v>
      </c>
      <c r="Q96" s="29">
        <f t="shared" si="216"/>
        <v>420094.13457803353</v>
      </c>
      <c r="R96" s="29">
        <f t="shared" si="216"/>
        <v>411827.63558250584</v>
      </c>
      <c r="S96" s="29">
        <f t="shared" si="216"/>
        <v>403099.84872115491</v>
      </c>
      <c r="T96" s="29">
        <f t="shared" si="216"/>
        <v>393885.03317005123</v>
      </c>
      <c r="U96" s="29">
        <f t="shared" si="216"/>
        <v>384156.01171366358</v>
      </c>
      <c r="V96" s="29">
        <f t="shared" si="216"/>
        <v>373884.09059121483</v>
      </c>
      <c r="W96" s="29">
        <f t="shared" si="216"/>
        <v>363038.97487029777</v>
      </c>
      <c r="X96" s="29">
        <f t="shared" si="216"/>
        <v>351588.67909816245</v>
      </c>
      <c r="Y96" s="29">
        <f t="shared" si="216"/>
        <v>339499.43296715914</v>
      </c>
      <c r="Z96" s="29">
        <f t="shared" si="216"/>
        <v>326735.58171611634</v>
      </c>
      <c r="AA96" s="29">
        <f t="shared" si="216"/>
        <v>313259.48097390862</v>
      </c>
      <c r="AB96" s="29">
        <f t="shared" si="216"/>
        <v>299031.3857350758</v>
      </c>
      <c r="AC96" s="29">
        <f t="shared" si="216"/>
        <v>284009.33314005105</v>
      </c>
      <c r="AD96" s="29">
        <f t="shared" si="216"/>
        <v>268149.01871428103</v>
      </c>
      <c r="AE96" s="29">
        <f t="shared" si="216"/>
        <v>251403.66570123128</v>
      </c>
      <c r="AF96" s="29">
        <f t="shared" si="216"/>
        <v>233723.88710390127</v>
      </c>
      <c r="AG96" s="29">
        <f t="shared" si="216"/>
        <v>215057.54002796818</v>
      </c>
      <c r="AH96" s="29">
        <f t="shared" si="216"/>
        <v>195349.57189697493</v>
      </c>
      <c r="AI96" s="29">
        <f t="shared" ref="AI96:AJ96" si="217">IF(AI90&gt;=$D$97+1,(AI92+AI93)*(($E$95/360)*365.25),(AI92+AI93)*(($D$95/360)*365.25))</f>
        <v>174541.85808600532</v>
      </c>
      <c r="AJ96" s="29">
        <f t="shared" si="217"/>
        <v>152573.03049497982</v>
      </c>
      <c r="AK96" s="622"/>
      <c r="AL96" s="622"/>
      <c r="AM96" s="622"/>
      <c r="AN96" s="622"/>
      <c r="AO96" s="622"/>
      <c r="AP96" s="622"/>
      <c r="AQ96" s="622"/>
      <c r="AR96" s="622"/>
      <c r="AS96" s="622"/>
      <c r="AT96" s="622"/>
      <c r="AU96" s="622"/>
      <c r="AV96" s="622"/>
      <c r="AW96" s="622"/>
      <c r="AX96" s="622"/>
      <c r="AY96" s="622"/>
      <c r="AZ96" s="622"/>
      <c r="BA96" s="622"/>
      <c r="BB96" s="622"/>
      <c r="BC96" s="622"/>
      <c r="BD96" s="622"/>
      <c r="BE96" s="622"/>
      <c r="BF96" s="622"/>
      <c r="BG96" s="622"/>
      <c r="BH96" s="622"/>
      <c r="BI96" s="622"/>
      <c r="BJ96" s="622"/>
      <c r="BK96" s="622"/>
      <c r="BL96" s="622"/>
      <c r="BM96" s="622"/>
      <c r="BN96" s="622"/>
      <c r="BO96" s="622"/>
      <c r="BP96" s="622"/>
      <c r="BQ96" s="622"/>
      <c r="BR96" s="622"/>
      <c r="BS96" s="622"/>
      <c r="BT96" s="622"/>
      <c r="BU96" s="622"/>
      <c r="BV96" s="622"/>
      <c r="BW96" s="622"/>
      <c r="BX96" s="622"/>
      <c r="BY96" s="622"/>
      <c r="BZ96" s="622"/>
    </row>
    <row r="97" spans="3:78" ht="14" thickBot="1" x14ac:dyDescent="0.2">
      <c r="C97" s="28" t="s">
        <v>190</v>
      </c>
      <c r="D97" s="273">
        <v>5</v>
      </c>
      <c r="E97" s="272">
        <v>31</v>
      </c>
      <c r="F97" s="692">
        <f t="shared" ref="F97:AH97" si="218">F92-F95+F93</f>
        <v>5118772.72</v>
      </c>
      <c r="G97" s="693">
        <f t="shared" si="218"/>
        <v>5118772.72</v>
      </c>
      <c r="H97" s="693">
        <f t="shared" si="218"/>
        <v>5118772.72</v>
      </c>
      <c r="I97" s="693">
        <f t="shared" si="218"/>
        <v>5041236.8489340935</v>
      </c>
      <c r="J97" s="693">
        <f t="shared" si="218"/>
        <v>4960058.7141715595</v>
      </c>
      <c r="K97" s="694">
        <f t="shared" si="218"/>
        <v>8159496.9553891197</v>
      </c>
      <c r="L97" s="694">
        <f t="shared" si="218"/>
        <v>8046580.1374842711</v>
      </c>
      <c r="M97" s="694">
        <f t="shared" si="218"/>
        <v>7927362.3258969607</v>
      </c>
      <c r="N97" s="694">
        <f t="shared" si="218"/>
        <v>7801491.9120526379</v>
      </c>
      <c r="O97" s="694">
        <f t="shared" si="218"/>
        <v>7668597.6668857727</v>
      </c>
      <c r="P97" s="694">
        <f t="shared" si="218"/>
        <v>7528287.645975586</v>
      </c>
      <c r="Q97" s="694">
        <f t="shared" si="218"/>
        <v>7380148.0335860671</v>
      </c>
      <c r="R97" s="694">
        <f t="shared" si="218"/>
        <v>7223741.9222010206</v>
      </c>
      <c r="S97" s="694">
        <f t="shared" si="218"/>
        <v>7058608.0239546234</v>
      </c>
      <c r="T97" s="694">
        <f t="shared" si="218"/>
        <v>6884259.3101571221</v>
      </c>
      <c r="U97" s="694">
        <f t="shared" si="218"/>
        <v>6700181.5749032339</v>
      </c>
      <c r="V97" s="694">
        <f t="shared" si="218"/>
        <v>6505831.9185268963</v>
      </c>
      <c r="W97" s="694">
        <f t="shared" si="218"/>
        <v>6300637.1464296421</v>
      </c>
      <c r="X97" s="694">
        <f t="shared" si="218"/>
        <v>6083992.0785602527</v>
      </c>
      <c r="Y97" s="694">
        <f t="shared" si="218"/>
        <v>5855257.7645598594</v>
      </c>
      <c r="Z97" s="694">
        <f t="shared" si="218"/>
        <v>5613759.5993084237</v>
      </c>
      <c r="AA97" s="694">
        <f t="shared" si="218"/>
        <v>5358785.3333147801</v>
      </c>
      <c r="AB97" s="694">
        <f t="shared" si="218"/>
        <v>5089582.9720823038</v>
      </c>
      <c r="AC97" s="694">
        <f t="shared" si="218"/>
        <v>4805358.5582548026</v>
      </c>
      <c r="AD97" s="694">
        <f t="shared" si="218"/>
        <v>4505273.8300015312</v>
      </c>
      <c r="AE97" s="694">
        <f t="shared" si="218"/>
        <v>4188443.7487352104</v>
      </c>
      <c r="AF97" s="694">
        <f t="shared" si="218"/>
        <v>3853933.8888715594</v>
      </c>
      <c r="AG97" s="694">
        <f t="shared" si="218"/>
        <v>3500757.6819319753</v>
      </c>
      <c r="AH97" s="694">
        <f t="shared" si="218"/>
        <v>3127873.506861398</v>
      </c>
      <c r="AI97" s="694">
        <f t="shared" ref="AI97:AJ97" si="219">AI92-AI95+AI93</f>
        <v>2734181.6179798511</v>
      </c>
      <c r="AJ97" s="694">
        <f t="shared" si="219"/>
        <v>2318520.9015072789</v>
      </c>
      <c r="AK97" s="622"/>
      <c r="AL97" s="622"/>
      <c r="AM97" s="622"/>
      <c r="AN97" s="622"/>
      <c r="AO97" s="622"/>
      <c r="AP97" s="622"/>
      <c r="AQ97" s="622"/>
      <c r="AR97" s="622"/>
      <c r="AS97" s="622"/>
      <c r="AT97" s="622"/>
      <c r="AU97" s="622"/>
      <c r="AV97" s="622"/>
      <c r="AW97" s="622"/>
      <c r="AX97" s="622"/>
      <c r="AY97" s="622"/>
      <c r="AZ97" s="622"/>
      <c r="BA97" s="622"/>
      <c r="BB97" s="622"/>
      <c r="BC97" s="622"/>
      <c r="BD97" s="622"/>
      <c r="BE97" s="622"/>
      <c r="BF97" s="622"/>
      <c r="BG97" s="622"/>
      <c r="BH97" s="622"/>
      <c r="BI97" s="622"/>
      <c r="BJ97" s="622"/>
      <c r="BK97" s="622"/>
      <c r="BL97" s="622"/>
      <c r="BM97" s="622"/>
      <c r="BN97" s="622"/>
      <c r="BO97" s="622"/>
      <c r="BP97" s="622"/>
      <c r="BQ97" s="622"/>
      <c r="BR97" s="622"/>
      <c r="BS97" s="622"/>
      <c r="BT97" s="622"/>
      <c r="BU97" s="622"/>
      <c r="BV97" s="622"/>
      <c r="BW97" s="622"/>
      <c r="BX97" s="622"/>
      <c r="BY97" s="622"/>
      <c r="BZ97" s="622"/>
    </row>
    <row r="98" spans="3:78" ht="14" thickTop="1" x14ac:dyDescent="0.15">
      <c r="C98" s="591"/>
      <c r="D98" s="728" t="s">
        <v>191</v>
      </c>
      <c r="E98" s="226" t="s">
        <v>192</v>
      </c>
      <c r="F98" s="227">
        <f t="shared" ref="F98:L98" si="220">F83/(F94/12)</f>
        <v>1.5139074331158526</v>
      </c>
      <c r="G98" s="227">
        <f t="shared" si="220"/>
        <v>1.8811639194154532</v>
      </c>
      <c r="H98" s="227">
        <f t="shared" si="220"/>
        <v>2.2586564747039186</v>
      </c>
      <c r="I98" s="227">
        <f t="shared" si="220"/>
        <v>1.9822991986469729</v>
      </c>
      <c r="J98" s="227">
        <f t="shared" si="220"/>
        <v>2.0996627839760897</v>
      </c>
      <c r="K98" s="227">
        <f>J83/(K94/12)</f>
        <v>1.1749996764600685</v>
      </c>
      <c r="L98" s="227">
        <f t="shared" si="220"/>
        <v>1.2806721652722963</v>
      </c>
      <c r="M98" s="227">
        <f>L83/(M94/12)</f>
        <v>1.2806721652722963</v>
      </c>
      <c r="N98" s="227">
        <f t="shared" ref="N98:AH98" si="221">N83/(N94/12)</f>
        <v>1.3965498570466304</v>
      </c>
      <c r="O98" s="227">
        <f t="shared" si="221"/>
        <v>1.4581566992648427</v>
      </c>
      <c r="P98" s="227">
        <f t="shared" si="221"/>
        <v>1.5223427121305102</v>
      </c>
      <c r="Q98" s="227">
        <f t="shared" si="221"/>
        <v>1.5892133604087053</v>
      </c>
      <c r="R98" s="227">
        <f t="shared" si="221"/>
        <v>1.658878373413889</v>
      </c>
      <c r="S98" s="227">
        <f t="shared" si="221"/>
        <v>1.731451916511056</v>
      </c>
      <c r="T98" s="227">
        <f t="shared" si="221"/>
        <v>1.807052769495322</v>
      </c>
      <c r="U98" s="227">
        <f t="shared" si="221"/>
        <v>1.885804512125435</v>
      </c>
      <c r="V98" s="227">
        <f t="shared" si="221"/>
        <v>1.967835717097759</v>
      </c>
      <c r="W98" s="227">
        <f t="shared" si="221"/>
        <v>2.0532801507587215</v>
      </c>
      <c r="X98" s="227">
        <f t="shared" si="221"/>
        <v>2.1422769818656642</v>
      </c>
      <c r="Y98" s="227">
        <f t="shared" si="221"/>
        <v>2.2349709987184152</v>
      </c>
      <c r="Z98" s="227">
        <f t="shared" si="221"/>
        <v>2.3315128349968397</v>
      </c>
      <c r="AA98" s="227">
        <f t="shared" si="221"/>
        <v>2.4320592046529947</v>
      </c>
      <c r="AB98" s="227">
        <f t="shared" si="221"/>
        <v>2.5367731462205221</v>
      </c>
      <c r="AC98" s="227">
        <f t="shared" si="221"/>
        <v>2.6458242769183786</v>
      </c>
      <c r="AD98" s="227">
        <f t="shared" si="221"/>
        <v>2.7593890569411292</v>
      </c>
      <c r="AE98" s="227">
        <f t="shared" si="221"/>
        <v>2.877651064343711</v>
      </c>
      <c r="AF98" s="227">
        <f t="shared" si="221"/>
        <v>3.0008012809448945</v>
      </c>
      <c r="AG98" s="227">
        <f t="shared" si="221"/>
        <v>3.1290383896906748</v>
      </c>
      <c r="AH98" s="227">
        <f t="shared" si="221"/>
        <v>3.2625690839364454</v>
      </c>
      <c r="AI98" s="227">
        <f t="shared" ref="AI98:AJ98" si="222">AI83/(AI94/12)</f>
        <v>3.4016083891252094</v>
      </c>
      <c r="AJ98" s="227">
        <f t="shared" si="222"/>
        <v>3.5463799973581498</v>
      </c>
      <c r="AK98" s="622"/>
      <c r="AL98" s="622"/>
      <c r="AM98" s="622"/>
      <c r="AN98" s="622"/>
      <c r="AO98" s="622"/>
      <c r="AP98" s="622"/>
      <c r="AQ98" s="622"/>
      <c r="AR98" s="622"/>
      <c r="AS98" s="622"/>
      <c r="AT98" s="622"/>
      <c r="AU98" s="622"/>
      <c r="AV98" s="622"/>
      <c r="AW98" s="622"/>
      <c r="AX98" s="622"/>
      <c r="AY98" s="622"/>
      <c r="AZ98" s="622"/>
      <c r="BA98" s="622"/>
      <c r="BB98" s="622"/>
      <c r="BC98" s="622"/>
      <c r="BD98" s="622"/>
      <c r="BE98" s="622"/>
      <c r="BF98" s="622"/>
      <c r="BG98" s="622"/>
      <c r="BH98" s="622"/>
      <c r="BI98" s="622"/>
      <c r="BJ98" s="622"/>
      <c r="BK98" s="622"/>
      <c r="BL98" s="622"/>
      <c r="BM98" s="622"/>
      <c r="BN98" s="622"/>
      <c r="BO98" s="622"/>
      <c r="BP98" s="622"/>
      <c r="BQ98" s="622"/>
      <c r="BR98" s="622"/>
      <c r="BS98" s="622"/>
      <c r="BT98" s="622"/>
      <c r="BU98" s="622"/>
      <c r="BV98" s="622"/>
      <c r="BW98" s="622"/>
      <c r="BX98" s="622"/>
      <c r="BY98" s="622"/>
      <c r="BZ98" s="622"/>
    </row>
    <row r="99" spans="3:78" hidden="1" x14ac:dyDescent="0.15">
      <c r="C99" s="260" t="s">
        <v>193</v>
      </c>
      <c r="D99" s="318"/>
      <c r="E99" s="226" t="s">
        <v>194</v>
      </c>
      <c r="F99" s="227">
        <f t="shared" ref="F99:AH99" si="223">(F83+((F106+F107)/12))/(F94/12)</f>
        <v>2.0098663202685394</v>
      </c>
      <c r="G99" s="227">
        <f t="shared" si="223"/>
        <v>2.3771228065681402</v>
      </c>
      <c r="H99" s="227">
        <f t="shared" si="223"/>
        <v>2.7546153618566058</v>
      </c>
      <c r="I99" s="227">
        <f t="shared" si="223"/>
        <v>2.357328343314844</v>
      </c>
      <c r="J99" s="227">
        <f t="shared" si="223"/>
        <v>2.4746919286439604</v>
      </c>
      <c r="K99" s="227">
        <f t="shared" si="223"/>
        <v>1.4360816353696351</v>
      </c>
      <c r="L99" s="227">
        <f t="shared" si="223"/>
        <v>1.4905435441483734</v>
      </c>
      <c r="M99" s="227">
        <f t="shared" si="223"/>
        <v>1.5472921992486421</v>
      </c>
      <c r="N99" s="227">
        <f t="shared" si="223"/>
        <v>1.6064212359227075</v>
      </c>
      <c r="O99" s="227">
        <f t="shared" si="223"/>
        <v>1.6680280781409196</v>
      </c>
      <c r="P99" s="227">
        <f t="shared" si="223"/>
        <v>1.5223427121305102</v>
      </c>
      <c r="Q99" s="227">
        <f t="shared" si="223"/>
        <v>1.5892133604087053</v>
      </c>
      <c r="R99" s="227">
        <f t="shared" si="223"/>
        <v>1.658878373413889</v>
      </c>
      <c r="S99" s="227">
        <f t="shared" si="223"/>
        <v>1.731451916511056</v>
      </c>
      <c r="T99" s="227">
        <f t="shared" si="223"/>
        <v>1.807052769495322</v>
      </c>
      <c r="U99" s="227">
        <f t="shared" si="223"/>
        <v>1.885804512125435</v>
      </c>
      <c r="V99" s="227">
        <f t="shared" si="223"/>
        <v>1.967835717097759</v>
      </c>
      <c r="W99" s="227">
        <f t="shared" si="223"/>
        <v>2.0532801507587215</v>
      </c>
      <c r="X99" s="227">
        <f t="shared" si="223"/>
        <v>2.1422769818656642</v>
      </c>
      <c r="Y99" s="227">
        <f t="shared" si="223"/>
        <v>2.2349709987184152</v>
      </c>
      <c r="Z99" s="227">
        <f t="shared" si="223"/>
        <v>2.3315128349968397</v>
      </c>
      <c r="AA99" s="227">
        <f t="shared" si="223"/>
        <v>2.4320592046529947</v>
      </c>
      <c r="AB99" s="227">
        <f t="shared" si="223"/>
        <v>2.5367731462205221</v>
      </c>
      <c r="AC99" s="227">
        <f t="shared" si="223"/>
        <v>2.6458242769183786</v>
      </c>
      <c r="AD99" s="227">
        <f t="shared" si="223"/>
        <v>2.7593890569411292</v>
      </c>
      <c r="AE99" s="227">
        <f t="shared" si="223"/>
        <v>2.877651064343711</v>
      </c>
      <c r="AF99" s="227">
        <f t="shared" si="223"/>
        <v>3.0008012809448945</v>
      </c>
      <c r="AG99" s="227">
        <f t="shared" si="223"/>
        <v>3.1290383896906748</v>
      </c>
      <c r="AH99" s="227">
        <f t="shared" si="223"/>
        <v>3.2625690839364454</v>
      </c>
      <c r="AI99" s="227">
        <f t="shared" ref="AI99:AJ99" si="224">(AI83+((AI106+AI107)/12))/(AI94/12)</f>
        <v>3.4016083891252094</v>
      </c>
      <c r="AJ99" s="227">
        <f t="shared" si="224"/>
        <v>3.5463799973581498</v>
      </c>
      <c r="AK99" s="622"/>
      <c r="AL99" s="622"/>
      <c r="AM99" s="622"/>
      <c r="AN99" s="622"/>
      <c r="AO99" s="622"/>
      <c r="AP99" s="622"/>
      <c r="AQ99" s="622"/>
      <c r="AR99" s="622"/>
      <c r="AS99" s="622"/>
      <c r="AT99" s="622"/>
      <c r="AU99" s="622"/>
      <c r="AV99" s="622"/>
      <c r="AW99" s="622"/>
      <c r="AX99" s="622"/>
      <c r="AY99" s="622"/>
      <c r="AZ99" s="622"/>
      <c r="BA99" s="622"/>
      <c r="BB99" s="622"/>
      <c r="BC99" s="622"/>
      <c r="BD99" s="622"/>
      <c r="BE99" s="622"/>
      <c r="BF99" s="622"/>
      <c r="BG99" s="622"/>
      <c r="BH99" s="622"/>
      <c r="BI99" s="622"/>
      <c r="BJ99" s="622"/>
      <c r="BK99" s="622"/>
      <c r="BL99" s="622"/>
      <c r="BM99" s="622"/>
      <c r="BN99" s="622"/>
      <c r="BO99" s="622"/>
      <c r="BP99" s="622"/>
      <c r="BQ99" s="622"/>
      <c r="BR99" s="622"/>
      <c r="BS99" s="622"/>
      <c r="BT99" s="622"/>
      <c r="BU99" s="622"/>
      <c r="BV99" s="622"/>
      <c r="BW99" s="622"/>
      <c r="BX99" s="622"/>
      <c r="BY99" s="622"/>
      <c r="BZ99" s="622"/>
    </row>
    <row r="100" spans="3:78" x14ac:dyDescent="0.15">
      <c r="C100" s="319" t="str">
        <f>IF(D100&gt;D97,"IO Years cannont be greater than 1st Refi Year","")</f>
        <v/>
      </c>
      <c r="D100" s="272">
        <v>3</v>
      </c>
      <c r="E100" s="226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622"/>
      <c r="AL100" s="622"/>
      <c r="AM100" s="622"/>
      <c r="AN100" s="622"/>
      <c r="AO100" s="622"/>
      <c r="AP100" s="622"/>
      <c r="AQ100" s="622"/>
      <c r="AR100" s="622"/>
      <c r="AS100" s="622"/>
      <c r="AT100" s="622"/>
      <c r="AU100" s="622"/>
      <c r="AV100" s="622"/>
      <c r="AW100" s="622"/>
      <c r="AX100" s="622"/>
      <c r="AY100" s="622"/>
      <c r="AZ100" s="622"/>
      <c r="BA100" s="622"/>
      <c r="BB100" s="622"/>
      <c r="BC100" s="622"/>
      <c r="BD100" s="622"/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622"/>
      <c r="BQ100" s="622"/>
      <c r="BR100" s="622"/>
      <c r="BS100" s="622"/>
      <c r="BT100" s="622"/>
      <c r="BU100" s="622"/>
      <c r="BV100" s="622"/>
      <c r="BW100" s="622"/>
      <c r="BX100" s="622"/>
      <c r="BY100" s="622"/>
      <c r="BZ100" s="622"/>
    </row>
    <row r="101" spans="3:78" x14ac:dyDescent="0.15">
      <c r="C101" s="591"/>
      <c r="D101" s="24"/>
      <c r="E101" s="1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622"/>
      <c r="AL101" s="622"/>
      <c r="AM101" s="622"/>
      <c r="AN101" s="622"/>
      <c r="AO101" s="622"/>
      <c r="AP101" s="622"/>
      <c r="AQ101" s="622"/>
      <c r="AR101" s="622"/>
      <c r="AS101" s="622"/>
      <c r="AT101" s="622"/>
      <c r="AU101" s="622"/>
      <c r="AV101" s="622"/>
      <c r="AW101" s="622"/>
      <c r="AX101" s="622"/>
      <c r="AY101" s="622"/>
      <c r="AZ101" s="622"/>
      <c r="BA101" s="622"/>
      <c r="BB101" s="622"/>
      <c r="BC101" s="622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622"/>
      <c r="BQ101" s="622"/>
      <c r="BR101" s="622"/>
      <c r="BS101" s="622"/>
      <c r="BT101" s="622"/>
      <c r="BU101" s="622"/>
      <c r="BV101" s="622"/>
      <c r="BW101" s="622"/>
      <c r="BX101" s="622"/>
      <c r="BY101" s="622"/>
      <c r="BZ101" s="622"/>
    </row>
    <row r="102" spans="3:78" x14ac:dyDescent="0.15">
      <c r="C102" s="32" t="s">
        <v>195</v>
      </c>
      <c r="D102" s="730" t="s">
        <v>196</v>
      </c>
      <c r="E102" s="731">
        <v>5.2499999999999998E-2</v>
      </c>
      <c r="F102" s="143">
        <f t="shared" ref="F102:AH102" si="225">(F85/$E$102)</f>
        <v>6933852.1904761903</v>
      </c>
      <c r="G102" s="143">
        <f t="shared" si="225"/>
        <v>8615924.7771428563</v>
      </c>
      <c r="H102" s="143">
        <f t="shared" si="225"/>
        <v>10344879.615542859</v>
      </c>
      <c r="I102" s="143">
        <f t="shared" si="225"/>
        <v>12006740.407853713</v>
      </c>
      <c r="J102" s="143">
        <f t="shared" si="225"/>
        <v>12717608.930296499</v>
      </c>
      <c r="K102" s="143">
        <f t="shared" si="225"/>
        <v>13271886.640331002</v>
      </c>
      <c r="L102" s="143">
        <f t="shared" si="225"/>
        <v>13861355.106851907</v>
      </c>
      <c r="M102" s="143">
        <f t="shared" si="225"/>
        <v>14475574.172051815</v>
      </c>
      <c r="N102" s="143">
        <f t="shared" si="225"/>
        <v>15115557.297078211</v>
      </c>
      <c r="O102" s="143">
        <f t="shared" si="225"/>
        <v>15782358.950268565</v>
      </c>
      <c r="P102" s="143">
        <f t="shared" si="225"/>
        <v>16477076.256812675</v>
      </c>
      <c r="Q102" s="143">
        <f t="shared" si="225"/>
        <v>17200850.714589212</v>
      </c>
      <c r="R102" s="143">
        <f t="shared" si="225"/>
        <v>17954869.978826899</v>
      </c>
      <c r="S102" s="143">
        <f t="shared" si="225"/>
        <v>18740369.718347177</v>
      </c>
      <c r="T102" s="143">
        <f t="shared" si="225"/>
        <v>19558635.5462556</v>
      </c>
      <c r="U102" s="143">
        <f t="shared" si="225"/>
        <v>20411005.028063856</v>
      </c>
      <c r="V102" s="143">
        <f t="shared" si="225"/>
        <v>21298869.770343613</v>
      </c>
      <c r="W102" s="143">
        <f t="shared" si="225"/>
        <v>22223677.593137689</v>
      </c>
      <c r="X102" s="143">
        <f t="shared" si="225"/>
        <v>23186934.789483145</v>
      </c>
      <c r="Y102" s="143">
        <f t="shared" si="225"/>
        <v>24190208.475534804</v>
      </c>
      <c r="Z102" s="143">
        <f t="shared" si="225"/>
        <v>25235129.034917988</v>
      </c>
      <c r="AA102" s="143">
        <f t="shared" si="225"/>
        <v>26323392.661083732</v>
      </c>
      <c r="AB102" s="143">
        <f t="shared" si="225"/>
        <v>27456764.001591492</v>
      </c>
      <c r="AC102" s="143">
        <f t="shared" si="225"/>
        <v>28637078.908400845</v>
      </c>
      <c r="AD102" s="143">
        <f t="shared" si="225"/>
        <v>29866247.298417486</v>
      </c>
      <c r="AE102" s="143">
        <f t="shared" si="225"/>
        <v>31146256.128708407</v>
      </c>
      <c r="AF102" s="143">
        <f t="shared" si="225"/>
        <v>32479172.490978047</v>
      </c>
      <c r="AG102" s="143">
        <f t="shared" si="225"/>
        <v>33867146.830080912</v>
      </c>
      <c r="AH102" s="143">
        <f t="shared" si="225"/>
        <v>35312416.291537151</v>
      </c>
      <c r="AI102" s="143">
        <f t="shared" ref="AI102:AJ102" si="226">(AI85/$E$102)</f>
        <v>36817308.203216709</v>
      </c>
      <c r="AJ102" s="143">
        <f t="shared" si="226"/>
        <v>38384243.696563788</v>
      </c>
      <c r="AK102" s="622"/>
      <c r="AL102" s="622"/>
      <c r="AM102" s="622"/>
      <c r="AN102" s="622"/>
      <c r="AO102" s="622"/>
      <c r="AP102" s="622"/>
      <c r="AQ102" s="622"/>
      <c r="AR102" s="622"/>
      <c r="AS102" s="622"/>
      <c r="AT102" s="622"/>
      <c r="AU102" s="622"/>
      <c r="AV102" s="622"/>
      <c r="AW102" s="622"/>
      <c r="AX102" s="622"/>
      <c r="AY102" s="622"/>
      <c r="AZ102" s="622"/>
      <c r="BA102" s="622"/>
      <c r="BB102" s="622"/>
      <c r="BC102" s="622"/>
      <c r="BD102" s="622"/>
      <c r="BE102" s="622"/>
      <c r="BF102" s="622"/>
      <c r="BG102" s="622"/>
      <c r="BH102" s="622"/>
      <c r="BI102" s="622"/>
      <c r="BJ102" s="622"/>
      <c r="BK102" s="622"/>
      <c r="BL102" s="622"/>
      <c r="BM102" s="622"/>
      <c r="BN102" s="622"/>
      <c r="BO102" s="622"/>
      <c r="BP102" s="622"/>
      <c r="BQ102" s="622"/>
      <c r="BR102" s="622"/>
      <c r="BS102" s="622"/>
      <c r="BT102" s="622"/>
      <c r="BU102" s="622"/>
      <c r="BV102" s="622"/>
      <c r="BW102" s="622"/>
      <c r="BX102" s="622"/>
      <c r="BY102" s="622"/>
      <c r="BZ102" s="622"/>
    </row>
    <row r="103" spans="3:78" x14ac:dyDescent="0.15">
      <c r="C103" s="31"/>
      <c r="D103" s="24"/>
      <c r="E103" s="591"/>
      <c r="F103" s="301" t="str">
        <f t="shared" ref="F103:AH103" si="227">"$/Sp="&amp;TEXT(ROUND((F102/NoOfSpaces),-2),"$0,0")</f>
        <v>$/Sp=$43,900</v>
      </c>
      <c r="G103" s="301" t="str">
        <f t="shared" si="227"/>
        <v>$/Sp=$54,500</v>
      </c>
      <c r="H103" s="301" t="str">
        <f t="shared" si="227"/>
        <v>$/Sp=$65,500</v>
      </c>
      <c r="I103" s="301" t="str">
        <f t="shared" si="227"/>
        <v>$/Sp=$76,000</v>
      </c>
      <c r="J103" s="301" t="str">
        <f t="shared" si="227"/>
        <v>$/Sp=$80,500</v>
      </c>
      <c r="K103" s="301" t="str">
        <f t="shared" si="227"/>
        <v>$/Sp=$84,000</v>
      </c>
      <c r="L103" s="301" t="str">
        <f t="shared" si="227"/>
        <v>$/Sp=$87,700</v>
      </c>
      <c r="M103" s="301" t="str">
        <f t="shared" si="227"/>
        <v>$/Sp=$91,600</v>
      </c>
      <c r="N103" s="301" t="str">
        <f t="shared" si="227"/>
        <v>$/Sp=$95,700</v>
      </c>
      <c r="O103" s="301" t="str">
        <f t="shared" si="227"/>
        <v>$/Sp=$99,900</v>
      </c>
      <c r="P103" s="301" t="str">
        <f t="shared" si="227"/>
        <v>$/Sp=$104,300</v>
      </c>
      <c r="Q103" s="301" t="str">
        <f t="shared" si="227"/>
        <v>$/Sp=$108,900</v>
      </c>
      <c r="R103" s="301" t="str">
        <f t="shared" si="227"/>
        <v>$/Sp=$113,600</v>
      </c>
      <c r="S103" s="301" t="str">
        <f t="shared" si="227"/>
        <v>$/Sp=$118,600</v>
      </c>
      <c r="T103" s="301" t="str">
        <f t="shared" si="227"/>
        <v>$/Sp=$123,800</v>
      </c>
      <c r="U103" s="301" t="str">
        <f t="shared" si="227"/>
        <v>$/Sp=$129,200</v>
      </c>
      <c r="V103" s="301" t="str">
        <f t="shared" si="227"/>
        <v>$/Sp=$134,800</v>
      </c>
      <c r="W103" s="301" t="str">
        <f t="shared" si="227"/>
        <v>$/Sp=$140,700</v>
      </c>
      <c r="X103" s="301" t="str">
        <f t="shared" si="227"/>
        <v>$/Sp=$146,800</v>
      </c>
      <c r="Y103" s="301" t="str">
        <f t="shared" si="227"/>
        <v>$/Sp=$153,100</v>
      </c>
      <c r="Z103" s="301" t="str">
        <f t="shared" si="227"/>
        <v>$/Sp=$159,700</v>
      </c>
      <c r="AA103" s="301" t="str">
        <f t="shared" si="227"/>
        <v>$/Sp=$166,600</v>
      </c>
      <c r="AB103" s="301" t="str">
        <f t="shared" si="227"/>
        <v>$/Sp=$173,800</v>
      </c>
      <c r="AC103" s="301" t="str">
        <f t="shared" si="227"/>
        <v>$/Sp=$181,200</v>
      </c>
      <c r="AD103" s="301" t="str">
        <f t="shared" si="227"/>
        <v>$/Sp=$189,000</v>
      </c>
      <c r="AE103" s="301" t="str">
        <f t="shared" si="227"/>
        <v>$/Sp=$197,100</v>
      </c>
      <c r="AF103" s="301" t="str">
        <f t="shared" si="227"/>
        <v>$/Sp=$205,600</v>
      </c>
      <c r="AG103" s="301" t="str">
        <f t="shared" si="227"/>
        <v>$/Sp=$214,300</v>
      </c>
      <c r="AH103" s="301" t="str">
        <f t="shared" si="227"/>
        <v>$/Sp=$223,500</v>
      </c>
      <c r="AI103" s="301" t="str">
        <f t="shared" ref="AI103:AJ103" si="228">"$/Sp="&amp;TEXT(ROUND((AI102/NoOfSpaces),-2),"$0,0")</f>
        <v>$/Sp=$233,000</v>
      </c>
      <c r="AJ103" s="301" t="str">
        <f t="shared" si="228"/>
        <v>$/Sp=$242,900</v>
      </c>
      <c r="AK103" s="622"/>
      <c r="AL103" s="622"/>
      <c r="AM103" s="622"/>
      <c r="AN103" s="622"/>
      <c r="AO103" s="622"/>
      <c r="AP103" s="622"/>
      <c r="AQ103" s="622"/>
      <c r="AR103" s="622"/>
      <c r="AS103" s="622"/>
      <c r="AT103" s="622"/>
      <c r="AU103" s="622"/>
      <c r="AV103" s="622"/>
      <c r="AW103" s="622"/>
      <c r="AX103" s="622"/>
      <c r="AY103" s="622"/>
      <c r="AZ103" s="622"/>
      <c r="BA103" s="622"/>
      <c r="BB103" s="622"/>
      <c r="BC103" s="622"/>
      <c r="BD103" s="622"/>
      <c r="BE103" s="622"/>
      <c r="BF103" s="622"/>
      <c r="BG103" s="622"/>
      <c r="BH103" s="622"/>
      <c r="BI103" s="622"/>
      <c r="BJ103" s="622"/>
      <c r="BK103" s="622"/>
      <c r="BL103" s="622"/>
      <c r="BM103" s="622"/>
      <c r="BN103" s="622"/>
      <c r="BO103" s="622"/>
      <c r="BP103" s="622"/>
      <c r="BQ103" s="622"/>
      <c r="BR103" s="622"/>
      <c r="BS103" s="622"/>
      <c r="BT103" s="622"/>
      <c r="BU103" s="622"/>
      <c r="BV103" s="622"/>
      <c r="BW103" s="622"/>
      <c r="BX103" s="622"/>
      <c r="BY103" s="622"/>
      <c r="BZ103" s="622"/>
    </row>
    <row r="104" spans="3:78" x14ac:dyDescent="0.15">
      <c r="C104" s="594" t="s">
        <v>59</v>
      </c>
      <c r="D104" s="24"/>
      <c r="E104" s="591"/>
      <c r="F104" s="8">
        <f t="shared" ref="F104:AH104" si="229">F85-F94</f>
        <v>123571.82506701667</v>
      </c>
      <c r="G104" s="8">
        <f t="shared" si="229"/>
        <v>211880.63586701665</v>
      </c>
      <c r="H104" s="8">
        <f t="shared" si="229"/>
        <v>302650.7648830167</v>
      </c>
      <c r="I104" s="8">
        <f t="shared" si="229"/>
        <v>312362.58541343</v>
      </c>
      <c r="J104" s="8">
        <f t="shared" si="229"/>
        <v>349683.18284167629</v>
      </c>
      <c r="K104" s="8">
        <f t="shared" si="229"/>
        <v>128540.30164982541</v>
      </c>
      <c r="L104" s="8">
        <f t="shared" si="229"/>
        <v>159487.39614217298</v>
      </c>
      <c r="M104" s="8">
        <f t="shared" si="229"/>
        <v>191733.89706516813</v>
      </c>
      <c r="N104" s="8">
        <f t="shared" si="229"/>
        <v>225333.01112905389</v>
      </c>
      <c r="O104" s="8">
        <f t="shared" si="229"/>
        <v>260340.09792154748</v>
      </c>
      <c r="P104" s="8">
        <f t="shared" si="229"/>
        <v>296812.75651511329</v>
      </c>
      <c r="Q104" s="8">
        <f t="shared" si="229"/>
        <v>334810.9155483814</v>
      </c>
      <c r="R104" s="8">
        <f t="shared" si="229"/>
        <v>374396.92692086007</v>
      </c>
      <c r="S104" s="8">
        <f t="shared" si="229"/>
        <v>415635.66324567457</v>
      </c>
      <c r="T104" s="8">
        <f t="shared" si="229"/>
        <v>458594.61921086686</v>
      </c>
      <c r="U104" s="8">
        <f t="shared" si="229"/>
        <v>503344.01700580039</v>
      </c>
      <c r="V104" s="8">
        <f t="shared" si="229"/>
        <v>549956.91597548744</v>
      </c>
      <c r="W104" s="8">
        <f t="shared" si="229"/>
        <v>598509.32667217648</v>
      </c>
      <c r="X104" s="8">
        <f t="shared" si="229"/>
        <v>649080.32948031288</v>
      </c>
      <c r="Y104" s="8">
        <f t="shared" si="229"/>
        <v>701752.19799802511</v>
      </c>
      <c r="Z104" s="8">
        <f t="shared" si="229"/>
        <v>756610.52736564225</v>
      </c>
      <c r="AA104" s="8">
        <f t="shared" si="229"/>
        <v>813744.36773934367</v>
      </c>
      <c r="AB104" s="8">
        <f t="shared" si="229"/>
        <v>873246.36311600113</v>
      </c>
      <c r="AC104" s="8">
        <f t="shared" si="229"/>
        <v>935212.89572349226</v>
      </c>
      <c r="AD104" s="8">
        <f t="shared" si="229"/>
        <v>999744.23619936581</v>
      </c>
      <c r="AE104" s="8">
        <f t="shared" si="229"/>
        <v>1066944.6997896391</v>
      </c>
      <c r="AF104" s="8">
        <f t="shared" si="229"/>
        <v>1136922.8088087952</v>
      </c>
      <c r="AG104" s="8">
        <f t="shared" si="229"/>
        <v>1209791.4616116956</v>
      </c>
      <c r="AH104" s="8">
        <f t="shared" si="229"/>
        <v>1285668.1083381483</v>
      </c>
      <c r="AI104" s="8">
        <f t="shared" ref="AI104:AJ104" si="230">AI85-AI94</f>
        <v>1364674.9337013247</v>
      </c>
      <c r="AJ104" s="8">
        <f t="shared" si="230"/>
        <v>1446939.0471020467</v>
      </c>
      <c r="AK104" s="622"/>
      <c r="AL104" s="622"/>
      <c r="AM104" s="622"/>
      <c r="AN104" s="622"/>
      <c r="AO104" s="622"/>
      <c r="AP104" s="622"/>
      <c r="AQ104" s="622"/>
      <c r="AR104" s="622"/>
      <c r="AS104" s="622"/>
      <c r="AT104" s="622"/>
      <c r="AU104" s="622"/>
      <c r="AV104" s="622"/>
      <c r="AW104" s="622"/>
      <c r="AX104" s="622"/>
      <c r="AY104" s="622"/>
      <c r="AZ104" s="622"/>
      <c r="BA104" s="622"/>
      <c r="BB104" s="622"/>
      <c r="BC104" s="622"/>
      <c r="BD104" s="622"/>
      <c r="BE104" s="622"/>
      <c r="BF104" s="622"/>
      <c r="BG104" s="622"/>
      <c r="BH104" s="622"/>
      <c r="BI104" s="622"/>
      <c r="BJ104" s="622"/>
      <c r="BK104" s="622"/>
      <c r="BL104" s="622"/>
      <c r="BM104" s="622"/>
      <c r="BN104" s="622"/>
      <c r="BO104" s="622"/>
      <c r="BP104" s="622"/>
      <c r="BQ104" s="622"/>
      <c r="BR104" s="622"/>
      <c r="BS104" s="622"/>
      <c r="BT104" s="622"/>
      <c r="BU104" s="622"/>
      <c r="BV104" s="622"/>
      <c r="BW104" s="622"/>
      <c r="BX104" s="622"/>
      <c r="BY104" s="622"/>
      <c r="BZ104" s="622"/>
    </row>
    <row r="105" spans="3:78" x14ac:dyDescent="0.15">
      <c r="C105" s="594" t="s">
        <v>60</v>
      </c>
      <c r="D105" s="732" t="s">
        <v>197</v>
      </c>
      <c r="E105" s="733"/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4">
        <v>0</v>
      </c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0</v>
      </c>
      <c r="Z105" s="144">
        <v>0</v>
      </c>
      <c r="AA105" s="144">
        <v>0</v>
      </c>
      <c r="AB105" s="144">
        <v>0</v>
      </c>
      <c r="AC105" s="144">
        <v>0</v>
      </c>
      <c r="AD105" s="144">
        <v>0</v>
      </c>
      <c r="AE105" s="144">
        <v>0</v>
      </c>
      <c r="AF105" s="144">
        <v>0</v>
      </c>
      <c r="AG105" s="144">
        <v>0</v>
      </c>
      <c r="AH105" s="144">
        <v>0</v>
      </c>
      <c r="AI105" s="144">
        <v>0</v>
      </c>
      <c r="AJ105" s="144">
        <v>0</v>
      </c>
      <c r="AK105" s="622"/>
      <c r="AL105" s="622"/>
      <c r="AM105" s="622"/>
      <c r="AN105" s="622"/>
      <c r="AO105" s="622"/>
      <c r="AP105" s="622"/>
      <c r="AQ105" s="622"/>
      <c r="AR105" s="622"/>
      <c r="AS105" s="622"/>
      <c r="AT105" s="622"/>
      <c r="AU105" s="622"/>
      <c r="AV105" s="622"/>
      <c r="AW105" s="622"/>
      <c r="AX105" s="622"/>
      <c r="AY105" s="622"/>
      <c r="AZ105" s="622"/>
      <c r="BA105" s="622"/>
      <c r="BB105" s="622"/>
      <c r="BC105" s="622"/>
      <c r="BD105" s="622"/>
      <c r="BE105" s="622"/>
      <c r="BF105" s="622"/>
      <c r="BG105" s="622"/>
      <c r="BH105" s="622"/>
      <c r="BI105" s="622"/>
      <c r="BJ105" s="622"/>
      <c r="BK105" s="622"/>
      <c r="BL105" s="622"/>
      <c r="BM105" s="622"/>
      <c r="BN105" s="622"/>
      <c r="BO105" s="622"/>
      <c r="BP105" s="622"/>
      <c r="BQ105" s="622"/>
      <c r="BR105" s="622"/>
      <c r="BS105" s="622"/>
      <c r="BT105" s="622"/>
      <c r="BU105" s="622"/>
      <c r="BV105" s="622"/>
      <c r="BW105" s="622"/>
      <c r="BX105" s="622"/>
      <c r="BY105" s="622"/>
      <c r="BZ105" s="622"/>
    </row>
    <row r="106" spans="3:78" x14ac:dyDescent="0.15">
      <c r="C106" s="594" t="s">
        <v>198</v>
      </c>
      <c r="D106" s="24"/>
      <c r="E106" s="591"/>
      <c r="F106" s="144">
        <f>N23</f>
        <v>119256</v>
      </c>
      <c r="G106" s="144">
        <f>F106</f>
        <v>119256</v>
      </c>
      <c r="H106" s="144">
        <f t="shared" ref="H106:J106" si="231">G106</f>
        <v>119256</v>
      </c>
      <c r="I106" s="144">
        <f t="shared" si="231"/>
        <v>119256</v>
      </c>
      <c r="J106" s="144">
        <f t="shared" si="231"/>
        <v>119256</v>
      </c>
      <c r="K106" s="144">
        <f t="shared" ref="K106" si="232">J106</f>
        <v>119256</v>
      </c>
      <c r="L106" s="144">
        <f t="shared" ref="L106" si="233">K106</f>
        <v>119256</v>
      </c>
      <c r="M106" s="144">
        <f t="shared" ref="M106" si="234">L106</f>
        <v>119256</v>
      </c>
      <c r="N106" s="144">
        <f t="shared" ref="N106" si="235">M106</f>
        <v>119256</v>
      </c>
      <c r="O106" s="144">
        <f t="shared" ref="O106" si="236">N106</f>
        <v>119256</v>
      </c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4">
        <v>0</v>
      </c>
      <c r="Y106" s="144">
        <v>0</v>
      </c>
      <c r="Z106" s="144">
        <v>0</v>
      </c>
      <c r="AA106" s="144">
        <v>0</v>
      </c>
      <c r="AB106" s="144">
        <v>0</v>
      </c>
      <c r="AC106" s="144">
        <v>0</v>
      </c>
      <c r="AD106" s="144">
        <v>0</v>
      </c>
      <c r="AE106" s="144">
        <v>0</v>
      </c>
      <c r="AF106" s="144">
        <v>0</v>
      </c>
      <c r="AG106" s="144">
        <v>0</v>
      </c>
      <c r="AH106" s="144">
        <v>0</v>
      </c>
      <c r="AI106" s="144">
        <v>0</v>
      </c>
      <c r="AJ106" s="144">
        <v>0</v>
      </c>
      <c r="AK106" s="622"/>
      <c r="AL106" s="622"/>
      <c r="AM106" s="622"/>
      <c r="AN106" s="622"/>
      <c r="AO106" s="622"/>
      <c r="AP106" s="622"/>
      <c r="AQ106" s="622"/>
      <c r="AR106" s="622"/>
      <c r="AS106" s="622"/>
      <c r="AT106" s="622"/>
      <c r="AU106" s="622"/>
      <c r="AV106" s="622"/>
      <c r="AW106" s="622"/>
      <c r="AX106" s="622"/>
      <c r="AY106" s="622"/>
      <c r="AZ106" s="622"/>
      <c r="BA106" s="622"/>
      <c r="BB106" s="622"/>
      <c r="BC106" s="622"/>
      <c r="BD106" s="622"/>
      <c r="BE106" s="622"/>
      <c r="BF106" s="622"/>
      <c r="BG106" s="622"/>
      <c r="BH106" s="622"/>
      <c r="BI106" s="622"/>
      <c r="BJ106" s="622"/>
      <c r="BK106" s="622"/>
      <c r="BL106" s="622"/>
      <c r="BM106" s="622"/>
      <c r="BN106" s="622"/>
      <c r="BO106" s="622"/>
      <c r="BP106" s="622"/>
      <c r="BQ106" s="622"/>
      <c r="BR106" s="622"/>
      <c r="BS106" s="622"/>
      <c r="BT106" s="622"/>
      <c r="BU106" s="622"/>
      <c r="BV106" s="622"/>
      <c r="BW106" s="622"/>
      <c r="BX106" s="622"/>
      <c r="BY106" s="622"/>
      <c r="BZ106" s="622"/>
    </row>
    <row r="107" spans="3:78" x14ac:dyDescent="0.15">
      <c r="C107" s="594" t="s">
        <v>199</v>
      </c>
      <c r="D107" s="24"/>
      <c r="E107" s="591"/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0</v>
      </c>
      <c r="O107" s="144">
        <v>0</v>
      </c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4">
        <v>0</v>
      </c>
      <c r="Y107" s="144">
        <v>0</v>
      </c>
      <c r="Z107" s="144">
        <v>0</v>
      </c>
      <c r="AA107" s="144">
        <v>0</v>
      </c>
      <c r="AB107" s="144">
        <v>0</v>
      </c>
      <c r="AC107" s="144">
        <v>0</v>
      </c>
      <c r="AD107" s="144">
        <v>0</v>
      </c>
      <c r="AE107" s="144">
        <v>0</v>
      </c>
      <c r="AF107" s="144">
        <v>0</v>
      </c>
      <c r="AG107" s="144">
        <v>0</v>
      </c>
      <c r="AH107" s="144">
        <v>0</v>
      </c>
      <c r="AI107" s="144">
        <v>0</v>
      </c>
      <c r="AJ107" s="144">
        <v>0</v>
      </c>
      <c r="AK107" s="622"/>
      <c r="AL107" s="622"/>
      <c r="AM107" s="622"/>
      <c r="AN107" s="622"/>
      <c r="AO107" s="622"/>
      <c r="AP107" s="622"/>
      <c r="AQ107" s="622"/>
      <c r="AR107" s="622"/>
      <c r="AS107" s="622"/>
      <c r="AT107" s="622"/>
      <c r="AU107" s="622"/>
      <c r="AV107" s="622"/>
      <c r="AW107" s="622"/>
      <c r="AX107" s="622"/>
      <c r="AY107" s="622"/>
      <c r="AZ107" s="622"/>
      <c r="BA107" s="622"/>
      <c r="BB107" s="622"/>
      <c r="BC107" s="622"/>
      <c r="BD107" s="622"/>
      <c r="BE107" s="622"/>
      <c r="BF107" s="622"/>
      <c r="BG107" s="622"/>
      <c r="BH107" s="622"/>
      <c r="BI107" s="622"/>
      <c r="BJ107" s="622"/>
      <c r="BK107" s="622"/>
      <c r="BL107" s="622"/>
      <c r="BM107" s="622"/>
      <c r="BN107" s="622"/>
      <c r="BO107" s="622"/>
      <c r="BP107" s="622"/>
      <c r="BQ107" s="622"/>
      <c r="BR107" s="622"/>
      <c r="BS107" s="622"/>
      <c r="BT107" s="622"/>
      <c r="BU107" s="622"/>
      <c r="BV107" s="622"/>
      <c r="BW107" s="622"/>
      <c r="BX107" s="622"/>
      <c r="BY107" s="622"/>
      <c r="BZ107" s="622"/>
    </row>
    <row r="108" spans="3:78" x14ac:dyDescent="0.15">
      <c r="C108" s="594" t="s">
        <v>200</v>
      </c>
      <c r="D108" s="24"/>
      <c r="E108" s="591"/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44">
        <v>0</v>
      </c>
      <c r="P108" s="144">
        <f>IF(P90*12&lt;='Closing Funds - POHs'!$E$30,'Closing Funds - POHs'!$H$30,0)</f>
        <v>0</v>
      </c>
      <c r="Q108" s="144">
        <f>IF(Q90*12&lt;='Closing Funds - POHs'!$E$30,'Closing Funds - POHs'!$H$30,0)</f>
        <v>0</v>
      </c>
      <c r="R108" s="144">
        <f>IF(R90*12&lt;='Closing Funds - POHs'!$E$30,'Closing Funds - POHs'!$H$30,0)</f>
        <v>0</v>
      </c>
      <c r="S108" s="144">
        <f>IF(S90*12&lt;='Closing Funds - POHs'!$E$30,'Closing Funds - POHs'!$H$30,0)</f>
        <v>0</v>
      </c>
      <c r="T108" s="144">
        <f>IF(T90*12&lt;='Closing Funds - POHs'!$E$30,'Closing Funds - POHs'!$H$30,0)</f>
        <v>0</v>
      </c>
      <c r="U108" s="144">
        <f>IF(U90*12&lt;='Closing Funds - POHs'!$E$30,'Closing Funds - POHs'!$H$30,0)</f>
        <v>0</v>
      </c>
      <c r="V108" s="144">
        <f>IF(V90*12&lt;='Closing Funds - POHs'!$E$30,'Closing Funds - POHs'!$H$30,0)</f>
        <v>0</v>
      </c>
      <c r="W108" s="144">
        <f>IF(W90*12&lt;='Closing Funds - POHs'!$E$30,'Closing Funds - POHs'!$H$30,0)</f>
        <v>0</v>
      </c>
      <c r="X108" s="144">
        <f>IF(X90*12&lt;='Closing Funds - POHs'!$E$30,'Closing Funds - POHs'!$H$30,0)</f>
        <v>0</v>
      </c>
      <c r="Y108" s="144">
        <f>IF(Y90*12&lt;='Closing Funds - POHs'!$E$30,'Closing Funds - POHs'!$H$30,0)</f>
        <v>0</v>
      </c>
      <c r="Z108" s="144">
        <f>IF(Z90*12&lt;='Closing Funds - POHs'!$E$30,'Closing Funds - POHs'!$H$30,0)</f>
        <v>0</v>
      </c>
      <c r="AA108" s="144">
        <f>IF(AA90*12&lt;='Closing Funds - POHs'!$E$30,'Closing Funds - POHs'!$H$30,0)</f>
        <v>0</v>
      </c>
      <c r="AB108" s="144">
        <f>IF(AB90*12&lt;='Closing Funds - POHs'!$E$30,'Closing Funds - POHs'!$H$30,0)</f>
        <v>0</v>
      </c>
      <c r="AC108" s="144">
        <f>IF(AC90*12&lt;='Closing Funds - POHs'!$E$30,'Closing Funds - POHs'!$H$30,0)</f>
        <v>0</v>
      </c>
      <c r="AD108" s="144">
        <f>IF(AD90*12&lt;='Closing Funds - POHs'!$E$30,'Closing Funds - POHs'!$H$30,0)</f>
        <v>0</v>
      </c>
      <c r="AE108" s="144">
        <f>IF(AE90*12&lt;='Closing Funds - POHs'!$E$30,'Closing Funds - POHs'!$H$30,0)</f>
        <v>0</v>
      </c>
      <c r="AF108" s="144">
        <f>IF(AF90*12&lt;='Closing Funds - POHs'!$E$30,'Closing Funds - POHs'!$H$30,0)</f>
        <v>0</v>
      </c>
      <c r="AG108" s="144">
        <f>IF(AG90*12&lt;='Closing Funds - POHs'!$E$30,'Closing Funds - POHs'!$H$30,0)</f>
        <v>0</v>
      </c>
      <c r="AH108" s="144">
        <f>IF(AH90*12&lt;='Closing Funds - POHs'!$E$30,'Closing Funds - POHs'!$H$30,0)</f>
        <v>0</v>
      </c>
      <c r="AI108" s="144">
        <f>IF(AI90*12&lt;='Closing Funds - POHs'!$E$30,'Closing Funds - POHs'!$H$30,0)</f>
        <v>0</v>
      </c>
      <c r="AJ108" s="144">
        <f>IF(AJ90*12&lt;='Closing Funds - POHs'!$E$30,'Closing Funds - POHs'!$H$30,0)</f>
        <v>0</v>
      </c>
      <c r="AK108" s="622"/>
      <c r="AL108" s="622"/>
      <c r="AM108" s="622"/>
      <c r="AN108" s="622"/>
      <c r="AO108" s="622"/>
      <c r="AP108" s="622"/>
      <c r="AQ108" s="622"/>
      <c r="AR108" s="622"/>
      <c r="AS108" s="622"/>
      <c r="AT108" s="622"/>
      <c r="AU108" s="622"/>
      <c r="AV108" s="622"/>
      <c r="AW108" s="622"/>
      <c r="AX108" s="622"/>
      <c r="AY108" s="622"/>
      <c r="AZ108" s="622"/>
      <c r="BA108" s="622"/>
      <c r="BB108" s="622"/>
      <c r="BC108" s="622"/>
      <c r="BD108" s="622"/>
      <c r="BE108" s="622"/>
      <c r="BF108" s="622"/>
      <c r="BG108" s="622"/>
      <c r="BH108" s="622"/>
      <c r="BI108" s="622"/>
      <c r="BJ108" s="622"/>
      <c r="BK108" s="622"/>
      <c r="BL108" s="622"/>
      <c r="BM108" s="622"/>
      <c r="BN108" s="622"/>
      <c r="BO108" s="622"/>
      <c r="BP108" s="622"/>
      <c r="BQ108" s="622"/>
      <c r="BR108" s="622"/>
      <c r="BS108" s="622"/>
      <c r="BT108" s="622"/>
      <c r="BU108" s="622"/>
      <c r="BV108" s="622"/>
      <c r="BW108" s="622"/>
      <c r="BX108" s="622"/>
      <c r="BY108" s="622"/>
      <c r="BZ108" s="622"/>
    </row>
    <row r="109" spans="3:78" x14ac:dyDescent="0.15">
      <c r="C109" s="594" t="s">
        <v>86</v>
      </c>
      <c r="D109" s="24"/>
      <c r="E109" s="144">
        <f>-AcquisitionFee*Purchase_Price</f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4">
        <v>0</v>
      </c>
      <c r="O109" s="144">
        <v>0</v>
      </c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0</v>
      </c>
      <c r="V109" s="144">
        <v>0</v>
      </c>
      <c r="W109" s="144">
        <v>0</v>
      </c>
      <c r="X109" s="144">
        <v>0</v>
      </c>
      <c r="Y109" s="144">
        <v>0</v>
      </c>
      <c r="Z109" s="144">
        <v>0</v>
      </c>
      <c r="AA109" s="144">
        <v>0</v>
      </c>
      <c r="AB109" s="144">
        <v>0</v>
      </c>
      <c r="AC109" s="144">
        <v>0</v>
      </c>
      <c r="AD109" s="144">
        <v>0</v>
      </c>
      <c r="AE109" s="144">
        <v>0</v>
      </c>
      <c r="AF109" s="144">
        <v>0</v>
      </c>
      <c r="AG109" s="144">
        <v>0</v>
      </c>
      <c r="AH109" s="144">
        <v>0</v>
      </c>
      <c r="AI109" s="144">
        <v>0</v>
      </c>
      <c r="AJ109" s="144">
        <v>0</v>
      </c>
      <c r="AK109" s="622"/>
      <c r="AL109" s="622"/>
      <c r="AM109" s="622"/>
      <c r="AN109" s="622"/>
      <c r="AO109" s="622"/>
      <c r="AP109" s="622"/>
      <c r="AQ109" s="622"/>
      <c r="AR109" s="622"/>
      <c r="AS109" s="622"/>
      <c r="AT109" s="622"/>
      <c r="AU109" s="622"/>
      <c r="AV109" s="622"/>
      <c r="AW109" s="622"/>
      <c r="AX109" s="622"/>
      <c r="AY109" s="622"/>
      <c r="AZ109" s="622"/>
      <c r="BA109" s="622"/>
      <c r="BB109" s="622"/>
      <c r="BC109" s="622"/>
      <c r="BD109" s="622"/>
      <c r="BE109" s="622"/>
      <c r="BF109" s="622"/>
      <c r="BG109" s="622"/>
      <c r="BH109" s="622"/>
      <c r="BI109" s="622"/>
      <c r="BJ109" s="622"/>
      <c r="BK109" s="622"/>
      <c r="BL109" s="622"/>
      <c r="BM109" s="622"/>
      <c r="BN109" s="622"/>
      <c r="BO109" s="622"/>
      <c r="BP109" s="622"/>
      <c r="BQ109" s="622"/>
      <c r="BR109" s="622"/>
      <c r="BS109" s="622"/>
      <c r="BT109" s="622"/>
      <c r="BU109" s="622"/>
      <c r="BV109" s="622"/>
      <c r="BW109" s="622"/>
      <c r="BX109" s="622"/>
      <c r="BY109" s="622"/>
      <c r="BZ109" s="622"/>
    </row>
    <row r="110" spans="3:78" x14ac:dyDescent="0.15">
      <c r="C110" s="594" t="s">
        <v>90</v>
      </c>
      <c r="D110" s="24"/>
      <c r="E110" s="591"/>
      <c r="F110" s="144">
        <f t="shared" ref="F110:AJ110" si="237">$E$115*AssetMgmtFee</f>
        <v>0</v>
      </c>
      <c r="G110" s="144">
        <f t="shared" si="237"/>
        <v>0</v>
      </c>
      <c r="H110" s="144">
        <f t="shared" si="237"/>
        <v>0</v>
      </c>
      <c r="I110" s="144">
        <f t="shared" si="237"/>
        <v>0</v>
      </c>
      <c r="J110" s="144">
        <f t="shared" si="237"/>
        <v>0</v>
      </c>
      <c r="K110" s="144">
        <f t="shared" si="237"/>
        <v>0</v>
      </c>
      <c r="L110" s="144">
        <f t="shared" si="237"/>
        <v>0</v>
      </c>
      <c r="M110" s="144">
        <f t="shared" si="237"/>
        <v>0</v>
      </c>
      <c r="N110" s="144">
        <f t="shared" si="237"/>
        <v>0</v>
      </c>
      <c r="O110" s="144">
        <f t="shared" si="237"/>
        <v>0</v>
      </c>
      <c r="P110" s="144">
        <f t="shared" si="237"/>
        <v>0</v>
      </c>
      <c r="Q110" s="144">
        <f t="shared" si="237"/>
        <v>0</v>
      </c>
      <c r="R110" s="144">
        <f t="shared" si="237"/>
        <v>0</v>
      </c>
      <c r="S110" s="144">
        <f t="shared" si="237"/>
        <v>0</v>
      </c>
      <c r="T110" s="144">
        <f t="shared" si="237"/>
        <v>0</v>
      </c>
      <c r="U110" s="144">
        <f t="shared" si="237"/>
        <v>0</v>
      </c>
      <c r="V110" s="144">
        <f t="shared" si="237"/>
        <v>0</v>
      </c>
      <c r="W110" s="144">
        <f t="shared" si="237"/>
        <v>0</v>
      </c>
      <c r="X110" s="144">
        <f t="shared" si="237"/>
        <v>0</v>
      </c>
      <c r="Y110" s="144">
        <f t="shared" si="237"/>
        <v>0</v>
      </c>
      <c r="Z110" s="144">
        <f t="shared" si="237"/>
        <v>0</v>
      </c>
      <c r="AA110" s="144">
        <f t="shared" si="237"/>
        <v>0</v>
      </c>
      <c r="AB110" s="144">
        <f t="shared" si="237"/>
        <v>0</v>
      </c>
      <c r="AC110" s="144">
        <f t="shared" si="237"/>
        <v>0</v>
      </c>
      <c r="AD110" s="144">
        <f t="shared" si="237"/>
        <v>0</v>
      </c>
      <c r="AE110" s="144">
        <f t="shared" si="237"/>
        <v>0</v>
      </c>
      <c r="AF110" s="144">
        <f t="shared" si="237"/>
        <v>0</v>
      </c>
      <c r="AG110" s="144">
        <f t="shared" si="237"/>
        <v>0</v>
      </c>
      <c r="AH110" s="144">
        <f t="shared" si="237"/>
        <v>0</v>
      </c>
      <c r="AI110" s="144">
        <f t="shared" si="237"/>
        <v>0</v>
      </c>
      <c r="AJ110" s="144">
        <f t="shared" si="237"/>
        <v>0</v>
      </c>
      <c r="AK110" s="622"/>
      <c r="AL110" s="622"/>
      <c r="AM110" s="622"/>
      <c r="AN110" s="622"/>
      <c r="AO110" s="622"/>
      <c r="AP110" s="622"/>
      <c r="AQ110" s="622"/>
      <c r="AR110" s="622"/>
      <c r="AS110" s="622"/>
      <c r="AT110" s="622"/>
      <c r="AU110" s="622"/>
      <c r="AV110" s="622"/>
      <c r="AW110" s="622"/>
      <c r="AX110" s="622"/>
      <c r="AY110" s="622"/>
      <c r="AZ110" s="622"/>
      <c r="BA110" s="622"/>
      <c r="BB110" s="622"/>
      <c r="BC110" s="622"/>
      <c r="BD110" s="622"/>
      <c r="BE110" s="622"/>
      <c r="BF110" s="622"/>
      <c r="BG110" s="622"/>
      <c r="BH110" s="622"/>
      <c r="BI110" s="622"/>
      <c r="BJ110" s="622"/>
      <c r="BK110" s="622"/>
      <c r="BL110" s="622"/>
      <c r="BM110" s="622"/>
      <c r="BN110" s="622"/>
      <c r="BO110" s="622"/>
      <c r="BP110" s="622"/>
      <c r="BQ110" s="622"/>
      <c r="BR110" s="622"/>
      <c r="BS110" s="622"/>
      <c r="BT110" s="622"/>
      <c r="BU110" s="622"/>
      <c r="BV110" s="622"/>
      <c r="BW110" s="622"/>
      <c r="BX110" s="622"/>
      <c r="BY110" s="622"/>
      <c r="BZ110" s="622"/>
    </row>
    <row r="111" spans="3:78" x14ac:dyDescent="0.15">
      <c r="C111" s="594" t="s">
        <v>95</v>
      </c>
      <c r="D111" s="24"/>
      <c r="E111" s="591"/>
      <c r="F111" s="144">
        <f t="shared" ref="F111:AJ111" si="238">IF(F91="Refinance",-G91*RefinanceFee,0)</f>
        <v>0</v>
      </c>
      <c r="G111" s="144">
        <f t="shared" si="238"/>
        <v>0</v>
      </c>
      <c r="H111" s="144">
        <f t="shared" si="238"/>
        <v>0</v>
      </c>
      <c r="I111" s="144">
        <f t="shared" si="238"/>
        <v>0</v>
      </c>
      <c r="J111" s="144">
        <f t="shared" si="238"/>
        <v>0</v>
      </c>
      <c r="K111" s="144">
        <f t="shared" si="238"/>
        <v>0</v>
      </c>
      <c r="L111" s="144">
        <f t="shared" si="238"/>
        <v>0</v>
      </c>
      <c r="M111" s="144">
        <f t="shared" si="238"/>
        <v>0</v>
      </c>
      <c r="N111" s="144">
        <f t="shared" si="238"/>
        <v>0</v>
      </c>
      <c r="O111" s="144">
        <f t="shared" si="238"/>
        <v>0</v>
      </c>
      <c r="P111" s="144">
        <f t="shared" si="238"/>
        <v>0</v>
      </c>
      <c r="Q111" s="144">
        <f t="shared" si="238"/>
        <v>0</v>
      </c>
      <c r="R111" s="144">
        <f t="shared" si="238"/>
        <v>0</v>
      </c>
      <c r="S111" s="144">
        <f t="shared" si="238"/>
        <v>0</v>
      </c>
      <c r="T111" s="144">
        <f t="shared" si="238"/>
        <v>0</v>
      </c>
      <c r="U111" s="144">
        <f t="shared" si="238"/>
        <v>0</v>
      </c>
      <c r="V111" s="144">
        <f t="shared" si="238"/>
        <v>0</v>
      </c>
      <c r="W111" s="144">
        <f t="shared" si="238"/>
        <v>0</v>
      </c>
      <c r="X111" s="144">
        <f t="shared" si="238"/>
        <v>0</v>
      </c>
      <c r="Y111" s="144">
        <f t="shared" si="238"/>
        <v>0</v>
      </c>
      <c r="Z111" s="144">
        <f t="shared" si="238"/>
        <v>0</v>
      </c>
      <c r="AA111" s="144">
        <f t="shared" si="238"/>
        <v>0</v>
      </c>
      <c r="AB111" s="144">
        <f t="shared" si="238"/>
        <v>0</v>
      </c>
      <c r="AC111" s="144">
        <f t="shared" si="238"/>
        <v>0</v>
      </c>
      <c r="AD111" s="144">
        <f t="shared" si="238"/>
        <v>0</v>
      </c>
      <c r="AE111" s="144">
        <f t="shared" si="238"/>
        <v>0</v>
      </c>
      <c r="AF111" s="144">
        <f t="shared" si="238"/>
        <v>0</v>
      </c>
      <c r="AG111" s="144">
        <f t="shared" si="238"/>
        <v>0</v>
      </c>
      <c r="AH111" s="144">
        <f t="shared" si="238"/>
        <v>0</v>
      </c>
      <c r="AI111" s="144">
        <f t="shared" si="238"/>
        <v>0</v>
      </c>
      <c r="AJ111" s="144">
        <f t="shared" si="238"/>
        <v>0</v>
      </c>
      <c r="AK111" s="622"/>
      <c r="AL111" s="622"/>
      <c r="AM111" s="622"/>
      <c r="AN111" s="622"/>
      <c r="AO111" s="622"/>
      <c r="AP111" s="622"/>
      <c r="AQ111" s="622"/>
      <c r="AR111" s="622"/>
      <c r="AS111" s="622"/>
      <c r="AT111" s="622"/>
      <c r="AU111" s="622"/>
      <c r="AV111" s="622"/>
      <c r="AW111" s="622"/>
      <c r="AX111" s="622"/>
      <c r="AY111" s="622"/>
      <c r="AZ111" s="622"/>
      <c r="BA111" s="622"/>
      <c r="BB111" s="622"/>
      <c r="BC111" s="622"/>
      <c r="BD111" s="622"/>
      <c r="BE111" s="622"/>
      <c r="BF111" s="622"/>
      <c r="BG111" s="622"/>
      <c r="BH111" s="622"/>
      <c r="BI111" s="622"/>
      <c r="BJ111" s="622"/>
      <c r="BK111" s="622"/>
      <c r="BL111" s="622"/>
      <c r="BM111" s="622"/>
      <c r="BN111" s="622"/>
      <c r="BO111" s="622"/>
      <c r="BP111" s="622"/>
      <c r="BQ111" s="622"/>
      <c r="BR111" s="622"/>
      <c r="BS111" s="622"/>
      <c r="BT111" s="622"/>
      <c r="BU111" s="622"/>
      <c r="BV111" s="622"/>
      <c r="BW111" s="622"/>
      <c r="BX111" s="622"/>
      <c r="BY111" s="622"/>
      <c r="BZ111" s="622"/>
    </row>
    <row r="112" spans="3:78" x14ac:dyDescent="0.15">
      <c r="C112" s="594" t="s">
        <v>97</v>
      </c>
      <c r="D112" s="24"/>
      <c r="E112" s="591"/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4">
        <v>0</v>
      </c>
      <c r="O112" s="144">
        <v>0</v>
      </c>
      <c r="P112" s="144">
        <f>IF(P94*12&lt;='Closing Funds - POHs'!$E$30,'Closing Funds - POHs'!$H$30,0)</f>
        <v>0</v>
      </c>
      <c r="Q112" s="144">
        <f>IF(Q94*12&lt;='Closing Funds - POHs'!$E$30,'Closing Funds - POHs'!$H$30,0)</f>
        <v>0</v>
      </c>
      <c r="R112" s="144">
        <f>IF(R94*12&lt;='Closing Funds - POHs'!$E$30,'Closing Funds - POHs'!$H$30,0)</f>
        <v>0</v>
      </c>
      <c r="S112" s="144">
        <f>IF(S94*12&lt;='Closing Funds - POHs'!$E$30,'Closing Funds - POHs'!$H$30,0)</f>
        <v>0</v>
      </c>
      <c r="T112" s="144">
        <f>IF(T94*12&lt;='Closing Funds - POHs'!$E$30,'Closing Funds - POHs'!$H$30,0)</f>
        <v>0</v>
      </c>
      <c r="U112" s="144">
        <f>IF(U94*12&lt;='Closing Funds - POHs'!$E$30,'Closing Funds - POHs'!$H$30,0)</f>
        <v>0</v>
      </c>
      <c r="V112" s="144">
        <f>IF(V94*12&lt;='Closing Funds - POHs'!$E$30,'Closing Funds - POHs'!$H$30,0)</f>
        <v>0</v>
      </c>
      <c r="W112" s="144">
        <f>IF(W94*12&lt;='Closing Funds - POHs'!$E$30,'Closing Funds - POHs'!$H$30,0)</f>
        <v>0</v>
      </c>
      <c r="X112" s="144">
        <f>IF(X94*12&lt;='Closing Funds - POHs'!$E$30,'Closing Funds - POHs'!$H$30,0)</f>
        <v>0</v>
      </c>
      <c r="Y112" s="144">
        <f>IF(Y94*12&lt;='Closing Funds - POHs'!$E$30,'Closing Funds - POHs'!$H$30,0)</f>
        <v>0</v>
      </c>
      <c r="Z112" s="144">
        <f>IF(Z94*12&lt;='Closing Funds - POHs'!$E$30,'Closing Funds - POHs'!$H$30,0)</f>
        <v>0</v>
      </c>
      <c r="AA112" s="144">
        <f>IF(AA94*12&lt;='Closing Funds - POHs'!$E$30,'Closing Funds - POHs'!$H$30,0)</f>
        <v>0</v>
      </c>
      <c r="AB112" s="144">
        <f>IF(AB94*12&lt;='Closing Funds - POHs'!$E$30,'Closing Funds - POHs'!$H$30,0)</f>
        <v>0</v>
      </c>
      <c r="AC112" s="144">
        <f>IF(AC94*12&lt;='Closing Funds - POHs'!$E$30,'Closing Funds - POHs'!$H$30,0)</f>
        <v>0</v>
      </c>
      <c r="AD112" s="144">
        <f>IF(AD94*12&lt;='Closing Funds - POHs'!$E$30,'Closing Funds - POHs'!$H$30,0)</f>
        <v>0</v>
      </c>
      <c r="AE112" s="144">
        <f>IF(AE94*12&lt;='Closing Funds - POHs'!$E$30,'Closing Funds - POHs'!$H$30,0)</f>
        <v>0</v>
      </c>
      <c r="AF112" s="144">
        <f>IF(AF94*12&lt;='Closing Funds - POHs'!$E$30,'Closing Funds - POHs'!$H$30,0)</f>
        <v>0</v>
      </c>
      <c r="AG112" s="144">
        <f>IF(AG94*12&lt;='Closing Funds - POHs'!$E$30,'Closing Funds - POHs'!$H$30,0)</f>
        <v>0</v>
      </c>
      <c r="AH112" s="144">
        <f>IF(AH94*12&lt;='Closing Funds - POHs'!$E$30,'Closing Funds - POHs'!$H$30,0)</f>
        <v>0</v>
      </c>
      <c r="AI112" s="144">
        <f>IF(AI94*12&lt;='Closing Funds - POHs'!$E$30,'Closing Funds - POHs'!$H$30,0)</f>
        <v>0</v>
      </c>
      <c r="AJ112" s="144">
        <f>-DispositionFee*AJ102</f>
        <v>0</v>
      </c>
      <c r="AK112" s="622"/>
      <c r="AL112" s="622"/>
      <c r="AM112" s="622"/>
      <c r="AN112" s="622"/>
      <c r="AO112" s="622"/>
      <c r="AP112" s="622"/>
      <c r="AQ112" s="622"/>
      <c r="AR112" s="622"/>
      <c r="AS112" s="622"/>
      <c r="AT112" s="622"/>
      <c r="AU112" s="622"/>
      <c r="AV112" s="622"/>
      <c r="AW112" s="622"/>
      <c r="AX112" s="622"/>
      <c r="AY112" s="622"/>
      <c r="AZ112" s="622"/>
      <c r="BA112" s="622"/>
      <c r="BB112" s="622"/>
      <c r="BC112" s="622"/>
      <c r="BD112" s="622"/>
      <c r="BE112" s="622"/>
      <c r="BF112" s="622"/>
      <c r="BG112" s="622"/>
      <c r="BH112" s="622"/>
      <c r="BI112" s="622"/>
      <c r="BJ112" s="622"/>
      <c r="BK112" s="622"/>
      <c r="BL112" s="622"/>
      <c r="BM112" s="622"/>
      <c r="BN112" s="622"/>
      <c r="BO112" s="622"/>
      <c r="BP112" s="622"/>
      <c r="BQ112" s="622"/>
      <c r="BR112" s="622"/>
      <c r="BS112" s="622"/>
      <c r="BT112" s="622"/>
      <c r="BU112" s="622"/>
      <c r="BV112" s="622"/>
      <c r="BW112" s="622"/>
      <c r="BX112" s="622"/>
      <c r="BY112" s="622"/>
      <c r="BZ112" s="622"/>
    </row>
    <row r="113" spans="3:78" x14ac:dyDescent="0.15">
      <c r="C113" s="594" t="s">
        <v>201</v>
      </c>
      <c r="D113" s="24"/>
      <c r="E113" s="591"/>
      <c r="F113" s="144">
        <v>0</v>
      </c>
      <c r="G113" s="144">
        <f>+H93</f>
        <v>0</v>
      </c>
      <c r="H113" s="144">
        <f>+I93</f>
        <v>0</v>
      </c>
      <c r="I113" s="144">
        <f>J93</f>
        <v>0</v>
      </c>
      <c r="J113" s="144">
        <f>K93</f>
        <v>3306387.0905211652</v>
      </c>
      <c r="K113" s="144">
        <f t="shared" ref="K113:AG113" si="239">L93</f>
        <v>0</v>
      </c>
      <c r="L113" s="144">
        <f t="shared" si="239"/>
        <v>0</v>
      </c>
      <c r="M113" s="144">
        <f t="shared" si="239"/>
        <v>0</v>
      </c>
      <c r="N113" s="144">
        <f t="shared" si="239"/>
        <v>0</v>
      </c>
      <c r="O113" s="144">
        <f t="shared" si="239"/>
        <v>0</v>
      </c>
      <c r="P113" s="144">
        <f t="shared" si="239"/>
        <v>0</v>
      </c>
      <c r="Q113" s="144">
        <f t="shared" si="239"/>
        <v>0</v>
      </c>
      <c r="R113" s="144">
        <f t="shared" si="239"/>
        <v>0</v>
      </c>
      <c r="S113" s="144">
        <f t="shared" si="239"/>
        <v>0</v>
      </c>
      <c r="T113" s="144">
        <f t="shared" si="239"/>
        <v>0</v>
      </c>
      <c r="U113" s="144">
        <f t="shared" si="239"/>
        <v>0</v>
      </c>
      <c r="V113" s="144">
        <f t="shared" si="239"/>
        <v>0</v>
      </c>
      <c r="W113" s="144">
        <f t="shared" si="239"/>
        <v>0</v>
      </c>
      <c r="X113" s="144">
        <f t="shared" si="239"/>
        <v>0</v>
      </c>
      <c r="Y113" s="144">
        <f t="shared" si="239"/>
        <v>0</v>
      </c>
      <c r="Z113" s="144">
        <f t="shared" si="239"/>
        <v>0</v>
      </c>
      <c r="AA113" s="144">
        <f t="shared" si="239"/>
        <v>0</v>
      </c>
      <c r="AB113" s="144">
        <f t="shared" si="239"/>
        <v>0</v>
      </c>
      <c r="AC113" s="144">
        <f t="shared" si="239"/>
        <v>0</v>
      </c>
      <c r="AD113" s="144">
        <f t="shared" si="239"/>
        <v>0</v>
      </c>
      <c r="AE113" s="144">
        <f t="shared" si="239"/>
        <v>0</v>
      </c>
      <c r="AF113" s="144">
        <f t="shared" si="239"/>
        <v>0</v>
      </c>
      <c r="AG113" s="144">
        <f t="shared" si="239"/>
        <v>0</v>
      </c>
      <c r="AH113" s="144">
        <f>AJ93</f>
        <v>0</v>
      </c>
      <c r="AI113" s="144">
        <f t="shared" ref="AI113:AJ113" si="240">AK93</f>
        <v>0</v>
      </c>
      <c r="AJ113" s="144">
        <f t="shared" si="240"/>
        <v>0</v>
      </c>
      <c r="AK113" s="622"/>
      <c r="AL113" s="622"/>
      <c r="AM113" s="622"/>
      <c r="AN113" s="622"/>
      <c r="AO113" s="622"/>
      <c r="AP113" s="622"/>
      <c r="AQ113" s="622"/>
      <c r="AR113" s="622"/>
      <c r="AS113" s="622"/>
      <c r="AT113" s="622"/>
      <c r="AU113" s="622"/>
      <c r="AV113" s="622"/>
      <c r="AW113" s="622"/>
      <c r="AX113" s="622"/>
      <c r="AY113" s="622"/>
      <c r="AZ113" s="622"/>
      <c r="BA113" s="622"/>
      <c r="BB113" s="622"/>
      <c r="BC113" s="622"/>
      <c r="BD113" s="622"/>
      <c r="BE113" s="622"/>
      <c r="BF113" s="622"/>
      <c r="BG113" s="622"/>
      <c r="BH113" s="622"/>
      <c r="BI113" s="622"/>
      <c r="BJ113" s="622"/>
      <c r="BK113" s="622"/>
      <c r="BL113" s="622"/>
      <c r="BM113" s="622"/>
      <c r="BN113" s="622"/>
      <c r="BO113" s="622"/>
      <c r="BP113" s="622"/>
      <c r="BQ113" s="622"/>
      <c r="BR113" s="622"/>
      <c r="BS113" s="622"/>
      <c r="BT113" s="622"/>
      <c r="BU113" s="622"/>
      <c r="BV113" s="622"/>
      <c r="BW113" s="622"/>
      <c r="BX113" s="622"/>
      <c r="BY113" s="622"/>
      <c r="BZ113" s="622"/>
    </row>
    <row r="114" spans="3:78" x14ac:dyDescent="0.15">
      <c r="C114" s="594" t="s">
        <v>202</v>
      </c>
      <c r="D114" s="24"/>
      <c r="E114" s="101"/>
      <c r="F114" s="144">
        <v>0</v>
      </c>
      <c r="G114" s="144">
        <v>0</v>
      </c>
      <c r="H114" s="144">
        <v>0</v>
      </c>
      <c r="I114" s="144">
        <v>0</v>
      </c>
      <c r="J114" s="144">
        <v>0</v>
      </c>
      <c r="K114" s="144">
        <v>0</v>
      </c>
      <c r="L114" s="144">
        <v>0</v>
      </c>
      <c r="M114" s="144">
        <v>0</v>
      </c>
      <c r="N114" s="144">
        <v>0</v>
      </c>
      <c r="O114" s="144">
        <v>0</v>
      </c>
      <c r="P114" s="144">
        <v>0</v>
      </c>
      <c r="Q114" s="144">
        <v>0</v>
      </c>
      <c r="R114" s="144">
        <v>0</v>
      </c>
      <c r="S114" s="144">
        <v>0</v>
      </c>
      <c r="T114" s="144">
        <v>0</v>
      </c>
      <c r="U114" s="144">
        <v>0</v>
      </c>
      <c r="V114" s="144">
        <v>0</v>
      </c>
      <c r="W114" s="144">
        <v>0</v>
      </c>
      <c r="X114" s="144">
        <v>0</v>
      </c>
      <c r="Y114" s="144">
        <v>0</v>
      </c>
      <c r="Z114" s="144">
        <v>0</v>
      </c>
      <c r="AA114" s="144">
        <v>0</v>
      </c>
      <c r="AB114" s="144">
        <v>0</v>
      </c>
      <c r="AC114" s="144">
        <v>0</v>
      </c>
      <c r="AD114" s="144">
        <v>0</v>
      </c>
      <c r="AE114" s="144">
        <v>0</v>
      </c>
      <c r="AF114" s="144">
        <v>0</v>
      </c>
      <c r="AG114" s="144">
        <v>0</v>
      </c>
      <c r="AH114" s="144">
        <v>0</v>
      </c>
      <c r="AI114" s="144">
        <v>0</v>
      </c>
      <c r="AJ114" s="144">
        <f>AJ102-AJ97</f>
        <v>36065722.795056507</v>
      </c>
      <c r="AK114" s="622"/>
      <c r="AL114" s="622"/>
      <c r="AM114" s="622"/>
      <c r="AN114" s="622"/>
      <c r="AO114" s="622"/>
      <c r="AP114" s="622"/>
      <c r="AQ114" s="622"/>
      <c r="AR114" s="622"/>
      <c r="AS114" s="622"/>
      <c r="AT114" s="622"/>
      <c r="AU114" s="622"/>
      <c r="AV114" s="622"/>
      <c r="AW114" s="622"/>
      <c r="AX114" s="622"/>
      <c r="AY114" s="622"/>
      <c r="AZ114" s="622"/>
      <c r="BA114" s="622"/>
      <c r="BB114" s="622"/>
      <c r="BC114" s="622"/>
      <c r="BD114" s="622"/>
      <c r="BE114" s="622"/>
      <c r="BF114" s="622"/>
      <c r="BG114" s="622"/>
      <c r="BH114" s="622"/>
      <c r="BI114" s="622"/>
      <c r="BJ114" s="622"/>
      <c r="BK114" s="622"/>
      <c r="BL114" s="622"/>
      <c r="BM114" s="622"/>
      <c r="BN114" s="622"/>
      <c r="BO114" s="622"/>
      <c r="BP114" s="622"/>
      <c r="BQ114" s="622"/>
      <c r="BR114" s="622"/>
      <c r="BS114" s="622"/>
      <c r="BT114" s="622"/>
      <c r="BU114" s="622"/>
      <c r="BV114" s="622"/>
      <c r="BW114" s="622"/>
      <c r="BX114" s="622"/>
      <c r="BY114" s="622"/>
      <c r="BZ114" s="622"/>
    </row>
    <row r="115" spans="3:78" ht="14" thickBot="1" x14ac:dyDescent="0.2">
      <c r="C115" s="677" t="s">
        <v>203</v>
      </c>
      <c r="D115" s="695"/>
      <c r="E115" s="696">
        <f>-(D6-F92)+E109</f>
        <v>-4019999.580000001</v>
      </c>
      <c r="F115" s="696">
        <f t="shared" ref="F115:AH115" si="241">SUM(F104:F114)</f>
        <v>242827.82506701667</v>
      </c>
      <c r="G115" s="696">
        <f t="shared" si="241"/>
        <v>331136.63586701662</v>
      </c>
      <c r="H115" s="696">
        <f t="shared" si="241"/>
        <v>421906.7648830167</v>
      </c>
      <c r="I115" s="696">
        <f t="shared" si="241"/>
        <v>431618.58541343</v>
      </c>
      <c r="J115" s="696">
        <f t="shared" si="241"/>
        <v>3775326.2733628415</v>
      </c>
      <c r="K115" s="696">
        <f t="shared" si="241"/>
        <v>247796.30164982541</v>
      </c>
      <c r="L115" s="696">
        <f t="shared" si="241"/>
        <v>278743.39614217298</v>
      </c>
      <c r="M115" s="696">
        <f t="shared" si="241"/>
        <v>310989.89706516813</v>
      </c>
      <c r="N115" s="696">
        <f t="shared" si="241"/>
        <v>344589.01112905389</v>
      </c>
      <c r="O115" s="696">
        <f t="shared" si="241"/>
        <v>379596.09792154748</v>
      </c>
      <c r="P115" s="696">
        <f t="shared" si="241"/>
        <v>296812.75651511329</v>
      </c>
      <c r="Q115" s="696">
        <f t="shared" si="241"/>
        <v>334810.9155483814</v>
      </c>
      <c r="R115" s="696">
        <f t="shared" si="241"/>
        <v>374396.92692086007</v>
      </c>
      <c r="S115" s="696">
        <f t="shared" si="241"/>
        <v>415635.66324567457</v>
      </c>
      <c r="T115" s="696">
        <f t="shared" si="241"/>
        <v>458594.61921086686</v>
      </c>
      <c r="U115" s="696">
        <f t="shared" si="241"/>
        <v>503344.01700580039</v>
      </c>
      <c r="V115" s="696">
        <f t="shared" si="241"/>
        <v>549956.91597548744</v>
      </c>
      <c r="W115" s="696">
        <f t="shared" si="241"/>
        <v>598509.32667217648</v>
      </c>
      <c r="X115" s="696">
        <f t="shared" si="241"/>
        <v>649080.32948031288</v>
      </c>
      <c r="Y115" s="696">
        <f t="shared" si="241"/>
        <v>701752.19799802511</v>
      </c>
      <c r="Z115" s="696">
        <f t="shared" si="241"/>
        <v>756610.52736564225</v>
      </c>
      <c r="AA115" s="696">
        <f t="shared" si="241"/>
        <v>813744.36773934367</v>
      </c>
      <c r="AB115" s="696">
        <f t="shared" si="241"/>
        <v>873246.36311600113</v>
      </c>
      <c r="AC115" s="696">
        <f t="shared" si="241"/>
        <v>935212.89572349226</v>
      </c>
      <c r="AD115" s="696">
        <f t="shared" si="241"/>
        <v>999744.23619936581</v>
      </c>
      <c r="AE115" s="696">
        <f t="shared" si="241"/>
        <v>1066944.6997896391</v>
      </c>
      <c r="AF115" s="696">
        <f t="shared" si="241"/>
        <v>1136922.8088087952</v>
      </c>
      <c r="AG115" s="696">
        <f t="shared" si="241"/>
        <v>1209791.4616116956</v>
      </c>
      <c r="AH115" s="696">
        <f t="shared" si="241"/>
        <v>1285668.1083381483</v>
      </c>
      <c r="AI115" s="696">
        <f t="shared" ref="AI115:AJ115" si="242">SUM(AI104:AI114)</f>
        <v>1364674.9337013247</v>
      </c>
      <c r="AJ115" s="696">
        <f t="shared" si="242"/>
        <v>37512661.842158556</v>
      </c>
      <c r="AK115" s="622"/>
      <c r="AL115" s="622"/>
      <c r="AM115" s="622"/>
      <c r="AN115" s="622"/>
      <c r="AO115" s="622"/>
      <c r="AP115" s="622"/>
      <c r="AQ115" s="622"/>
      <c r="AR115" s="622"/>
      <c r="AS115" s="622"/>
      <c r="AT115" s="622"/>
      <c r="AU115" s="622"/>
      <c r="AV115" s="622"/>
      <c r="AW115" s="622"/>
      <c r="AX115" s="622"/>
      <c r="AY115" s="622"/>
      <c r="AZ115" s="622"/>
      <c r="BA115" s="622"/>
      <c r="BB115" s="622"/>
      <c r="BC115" s="622"/>
      <c r="BD115" s="622"/>
      <c r="BE115" s="622"/>
      <c r="BF115" s="622"/>
      <c r="BG115" s="622"/>
      <c r="BH115" s="622"/>
      <c r="BI115" s="622"/>
      <c r="BJ115" s="622"/>
      <c r="BK115" s="622"/>
      <c r="BL115" s="622"/>
      <c r="BM115" s="622"/>
      <c r="BN115" s="622"/>
      <c r="BO115" s="622"/>
      <c r="BP115" s="622"/>
      <c r="BQ115" s="622"/>
      <c r="BR115" s="622"/>
      <c r="BS115" s="622"/>
      <c r="BT115" s="622"/>
      <c r="BU115" s="622"/>
      <c r="BV115" s="622"/>
      <c r="BW115" s="622"/>
      <c r="BX115" s="622"/>
      <c r="BY115" s="622"/>
      <c r="BZ115" s="622"/>
    </row>
    <row r="116" spans="3:78" ht="14" thickTop="1" x14ac:dyDescent="0.15">
      <c r="C116" s="10"/>
      <c r="D116" s="10"/>
      <c r="E116" s="282" t="s">
        <v>204</v>
      </c>
      <c r="F116" s="262">
        <f t="shared" ref="F116:AH116" si="243">F115/-$E$115</f>
        <v>6.0404937919674266E-2</v>
      </c>
      <c r="G116" s="262">
        <f t="shared" si="243"/>
        <v>8.2372306085419178E-2</v>
      </c>
      <c r="H116" s="262">
        <f t="shared" si="243"/>
        <v>0.10495194252806778</v>
      </c>
      <c r="I116" s="262">
        <f t="shared" si="243"/>
        <v>0.10736781853430688</v>
      </c>
      <c r="J116" s="262">
        <f t="shared" si="243"/>
        <v>0.93913598701491419</v>
      </c>
      <c r="K116" s="262">
        <f t="shared" si="243"/>
        <v>6.1640877497262166E-2</v>
      </c>
      <c r="L116" s="262">
        <f t="shared" si="243"/>
        <v>6.9339160513587142E-2</v>
      </c>
      <c r="M116" s="262">
        <f t="shared" si="243"/>
        <v>7.7360678994192342E-2</v>
      </c>
      <c r="N116" s="262">
        <f t="shared" si="243"/>
        <v>8.5718668440521034E-2</v>
      </c>
      <c r="O116" s="262">
        <f t="shared" si="243"/>
        <v>9.4426899895732677E-2</v>
      </c>
      <c r="P116" s="262">
        <f t="shared" si="243"/>
        <v>7.3834026747613052E-2</v>
      </c>
      <c r="Q116" s="262">
        <f t="shared" si="243"/>
        <v>8.3286306101649221E-2</v>
      </c>
      <c r="R116" s="262">
        <f t="shared" si="243"/>
        <v>9.3133573641035056E-2</v>
      </c>
      <c r="S116" s="262">
        <f t="shared" si="243"/>
        <v>0.10339196683340809</v>
      </c>
      <c r="T116" s="262">
        <f t="shared" si="243"/>
        <v>0.11407827540391602</v>
      </c>
      <c r="U116" s="262">
        <f t="shared" si="243"/>
        <v>0.12520996756069319</v>
      </c>
      <c r="V116" s="262">
        <f t="shared" si="243"/>
        <v>0.13680521727205935</v>
      </c>
      <c r="W116" s="262">
        <f t="shared" si="243"/>
        <v>0.14888293263756419</v>
      </c>
      <c r="X116" s="262">
        <f t="shared" si="243"/>
        <v>0.16146278539668721</v>
      </c>
      <c r="Y116" s="262">
        <f t="shared" si="243"/>
        <v>0.17456524162075285</v>
      </c>
      <c r="Z116" s="262">
        <f t="shared" si="243"/>
        <v>0.18821159363545059</v>
      </c>
      <c r="AA116" s="262">
        <f t="shared" si="243"/>
        <v>0.20242399322323895</v>
      </c>
      <c r="AB116" s="262">
        <f t="shared" si="243"/>
        <v>0.21722548615689183</v>
      </c>
      <c r="AC116" s="262">
        <f t="shared" si="243"/>
        <v>0.23264004811749062</v>
      </c>
      <c r="AD116" s="262">
        <f t="shared" si="243"/>
        <v>0.24869262205230519</v>
      </c>
      <c r="AE116" s="262">
        <f t="shared" si="243"/>
        <v>0.26540915703022011</v>
      </c>
      <c r="AF116" s="262">
        <f t="shared" si="243"/>
        <v>0.28281664865467349</v>
      </c>
      <c r="AG116" s="262">
        <f t="shared" si="243"/>
        <v>0.30094318109647544</v>
      </c>
      <c r="AH116" s="262">
        <f t="shared" si="243"/>
        <v>0.31981797081136709</v>
      </c>
      <c r="AI116" s="262">
        <f t="shared" ref="AI116:AJ116" si="244">AI115/-$E$115</f>
        <v>0.33947141200978048</v>
      </c>
      <c r="AJ116" s="262">
        <f t="shared" si="244"/>
        <v>9.3315088958687262</v>
      </c>
      <c r="AK116" s="622"/>
      <c r="AL116" s="622"/>
      <c r="AM116" s="622"/>
      <c r="AN116" s="622"/>
      <c r="AO116" s="622"/>
      <c r="AP116" s="622"/>
      <c r="AQ116" s="622"/>
      <c r="AR116" s="622"/>
      <c r="AS116" s="622"/>
      <c r="AT116" s="622"/>
      <c r="AU116" s="622"/>
      <c r="AV116" s="622"/>
      <c r="AW116" s="622"/>
      <c r="AX116" s="622"/>
      <c r="AY116" s="622"/>
      <c r="AZ116" s="622"/>
      <c r="BA116" s="622"/>
      <c r="BB116" s="622"/>
      <c r="BC116" s="622"/>
      <c r="BD116" s="622"/>
      <c r="BE116" s="622"/>
      <c r="BF116" s="622"/>
      <c r="BG116" s="622"/>
      <c r="BH116" s="622"/>
      <c r="BI116" s="622"/>
      <c r="BJ116" s="622"/>
      <c r="BK116" s="622"/>
      <c r="BL116" s="622"/>
      <c r="BM116" s="622"/>
      <c r="BN116" s="622"/>
      <c r="BO116" s="622"/>
      <c r="BP116" s="622"/>
      <c r="BQ116" s="622"/>
      <c r="BR116" s="622"/>
      <c r="BS116" s="622"/>
      <c r="BT116" s="622"/>
      <c r="BU116" s="622"/>
      <c r="BV116" s="622"/>
      <c r="BW116" s="622"/>
      <c r="BX116" s="622"/>
      <c r="BY116" s="622"/>
      <c r="BZ116" s="622"/>
    </row>
    <row r="117" spans="3:78" x14ac:dyDescent="0.15">
      <c r="C117" s="7" t="s">
        <v>205</v>
      </c>
      <c r="D117" s="33">
        <f>IRR(E115:AJ115)</f>
        <v>0.16959856470648305</v>
      </c>
      <c r="E117" s="591"/>
      <c r="F117" s="622"/>
      <c r="G117" s="263" t="str">
        <f>"Cumm.= "&amp;TEXT((SUM($F116:G116)),"0.0%")</f>
        <v>Cumm.= 14.3%</v>
      </c>
      <c r="H117" s="263" t="str">
        <f>"Cumm.= "&amp;TEXT((SUM($F116:H116)),"0.0%")</f>
        <v>Cumm.= 24.8%</v>
      </c>
      <c r="I117" s="263" t="str">
        <f>"Cumm.= "&amp;TEXT((SUM($F116:I116)),"0.0%")</f>
        <v>Cumm.= 35.5%</v>
      </c>
      <c r="J117" s="263" t="str">
        <f>"Cumm.= "&amp;TEXT((SUM($F116:J116)),"0.0%")</f>
        <v>Cumm.= 129.4%</v>
      </c>
      <c r="K117" s="263" t="str">
        <f>"Cumm.= "&amp;TEXT((SUM($F116:K116)),"0.0%")</f>
        <v>Cumm.= 135.6%</v>
      </c>
      <c r="L117" s="263" t="str">
        <f>"Cumm.= "&amp;TEXT((SUM($F116:L116)),"0.0%")</f>
        <v>Cumm.= 142.5%</v>
      </c>
      <c r="M117" s="263" t="str">
        <f>"Cumm.= "&amp;TEXT((SUM($F116:M116)),"0.0%")</f>
        <v>Cumm.= 150.3%</v>
      </c>
      <c r="N117" s="263" t="str">
        <f>"Cumm.= "&amp;TEXT((SUM($F116:N116)),"0.0%")</f>
        <v>Cumm.= 158.8%</v>
      </c>
      <c r="O117" s="263" t="str">
        <f>"Cumm.= "&amp;TEXT((SUM($F116:O116)),"0.0%")</f>
        <v>Cumm.= 168.3%</v>
      </c>
      <c r="P117" s="263" t="str">
        <f>"Cumm.= "&amp;TEXT((SUM($F116:P116)),"0.0%")</f>
        <v>Cumm.= 175.7%</v>
      </c>
      <c r="Q117" s="263" t="str">
        <f>"Cumm.= "&amp;TEXT((SUM($F116:Q116)),"0.0%")</f>
        <v>Cumm.= 184.0%</v>
      </c>
      <c r="R117" s="263" t="str">
        <f>"Cumm.= "&amp;TEXT((SUM($F116:R116)),"0.0%")</f>
        <v>Cumm.= 193.3%</v>
      </c>
      <c r="S117" s="263" t="str">
        <f>"Cumm.= "&amp;TEXT((SUM($F116:S116)),"0.0%")</f>
        <v>Cumm.= 203.6%</v>
      </c>
      <c r="T117" s="263" t="str">
        <f>"Cumm.= "&amp;TEXT((SUM($F116:T116)),"0.0%")</f>
        <v>Cumm.= 215.0%</v>
      </c>
      <c r="U117" s="263" t="str">
        <f>"Cumm.= "&amp;TEXT((SUM($F116:U116)),"0.0%")</f>
        <v>Cumm.= 227.6%</v>
      </c>
      <c r="V117" s="263" t="str">
        <f>"Cumm.= "&amp;TEXT((SUM($F116:V116)),"0.0%")</f>
        <v>Cumm.= 241.2%</v>
      </c>
      <c r="W117" s="263" t="str">
        <f>"Cumm.= "&amp;TEXT((SUM($F116:W116)),"0.0%")</f>
        <v>Cumm.= 256.1%</v>
      </c>
      <c r="X117" s="263" t="str">
        <f>"Cumm.= "&amp;TEXT((SUM($F116:X116)),"0.0%")</f>
        <v>Cumm.= 272.3%</v>
      </c>
      <c r="Y117" s="263" t="str">
        <f>"Cumm.= "&amp;TEXT((SUM($F116:Y116)),"0.0%")</f>
        <v>Cumm.= 289.7%</v>
      </c>
      <c r="Z117" s="263" t="str">
        <f>"Cumm.= "&amp;TEXT((SUM($F116:Z116)),"0.0%")</f>
        <v>Cumm.= 308.6%</v>
      </c>
      <c r="AA117" s="263" t="str">
        <f>"Cumm.= "&amp;TEXT((SUM($F116:AA116)),"0.0%")</f>
        <v>Cumm.= 328.8%</v>
      </c>
      <c r="AB117" s="263" t="str">
        <f>"Cumm.= "&amp;TEXT((SUM($F116:AB116)),"0.0%")</f>
        <v>Cumm.= 350.5%</v>
      </c>
      <c r="AC117" s="263" t="str">
        <f>"Cumm.= "&amp;TEXT((SUM($F116:AC116)),"0.0%")</f>
        <v>Cumm.= 373.8%</v>
      </c>
      <c r="AD117" s="263" t="str">
        <f>"Cumm.= "&amp;TEXT((SUM($F116:AD116)),"0.0%")</f>
        <v>Cumm.= 398.7%</v>
      </c>
      <c r="AE117" s="263" t="str">
        <f>"Cumm.= "&amp;TEXT((SUM($F116:AE116)),"0.0%")</f>
        <v>Cumm.= 425.2%</v>
      </c>
      <c r="AF117" s="263" t="str">
        <f>"Cumm.= "&amp;TEXT((SUM($F116:AF116)),"0.0%")</f>
        <v>Cumm.= 453.5%</v>
      </c>
      <c r="AG117" s="263" t="str">
        <f>"Cumm.= "&amp;TEXT((SUM($F116:AG116)),"0.0%")</f>
        <v>Cumm.= 483.6%</v>
      </c>
      <c r="AH117" s="263" t="str">
        <f>"Cumm.= "&amp;TEXT((SUM($F116:AH116)),"0.0%")</f>
        <v>Cumm.= 515.6%</v>
      </c>
      <c r="AI117" s="263" t="str">
        <f>"Cumm.= "&amp;TEXT((SUM($F116:AI116)),"0.0%")</f>
        <v>Cumm.= 549.5%</v>
      </c>
      <c r="AJ117" s="263" t="str">
        <f>"Cumm.= "&amp;TEXT((SUM($F116:AJ116)),"0.0%")</f>
        <v>Cumm.= 1482.7%</v>
      </c>
      <c r="AK117" s="622"/>
      <c r="AL117" s="622"/>
      <c r="AM117" s="622"/>
      <c r="AN117" s="622"/>
      <c r="AO117" s="622"/>
      <c r="AP117" s="622"/>
      <c r="AQ117" s="622"/>
      <c r="AR117" s="622"/>
      <c r="AS117" s="622"/>
      <c r="AT117" s="622"/>
      <c r="AU117" s="622"/>
      <c r="AV117" s="622"/>
      <c r="AW117" s="622"/>
      <c r="AX117" s="622"/>
      <c r="AY117" s="622"/>
      <c r="AZ117" s="622"/>
      <c r="BA117" s="622"/>
      <c r="BB117" s="622"/>
      <c r="BC117" s="622"/>
      <c r="BD117" s="622"/>
      <c r="BE117" s="622"/>
      <c r="BF117" s="622"/>
      <c r="BG117" s="622"/>
      <c r="BH117" s="622"/>
      <c r="BI117" s="622"/>
      <c r="BJ117" s="622"/>
      <c r="BK117" s="622"/>
      <c r="BL117" s="622"/>
      <c r="BM117" s="622"/>
      <c r="BN117" s="622"/>
      <c r="BO117" s="622"/>
      <c r="BP117" s="622"/>
      <c r="BQ117" s="622"/>
      <c r="BR117" s="622"/>
      <c r="BS117" s="622"/>
      <c r="BT117" s="622"/>
      <c r="BU117" s="622"/>
      <c r="BV117" s="622"/>
      <c r="BW117" s="622"/>
      <c r="BX117" s="622"/>
      <c r="BY117" s="622"/>
      <c r="BZ117" s="622"/>
    </row>
    <row r="118" spans="3:78" x14ac:dyDescent="0.15">
      <c r="C118" s="7"/>
      <c r="D118" s="24"/>
      <c r="E118" s="33"/>
      <c r="F118" s="622"/>
      <c r="G118" s="622"/>
      <c r="H118" s="622"/>
      <c r="I118" s="622"/>
      <c r="J118" s="622"/>
      <c r="K118" s="622"/>
      <c r="L118" s="622"/>
      <c r="M118" s="622"/>
      <c r="N118" s="622"/>
      <c r="O118" s="622"/>
      <c r="P118" s="264"/>
      <c r="Q118" s="622"/>
      <c r="R118" s="622"/>
      <c r="S118" s="622"/>
      <c r="T118" s="622"/>
      <c r="U118" s="622"/>
      <c r="V118" s="622"/>
      <c r="W118" s="622"/>
      <c r="X118" s="622"/>
      <c r="Y118" s="622"/>
      <c r="Z118" s="622"/>
      <c r="AA118" s="622"/>
      <c r="AB118" s="622"/>
      <c r="AC118" s="622"/>
      <c r="AD118" s="622"/>
      <c r="AE118" s="622"/>
      <c r="AF118" s="622"/>
      <c r="AG118" s="622"/>
      <c r="AH118" s="622"/>
      <c r="AI118" s="622"/>
      <c r="AJ118" s="622"/>
      <c r="AK118" s="622"/>
      <c r="AL118" s="622"/>
      <c r="AM118" s="622"/>
      <c r="AN118" s="622"/>
      <c r="AO118" s="622"/>
      <c r="AP118" s="622"/>
      <c r="AQ118" s="622"/>
      <c r="AR118" s="622"/>
      <c r="AS118" s="622"/>
      <c r="AT118" s="622"/>
      <c r="AU118" s="622"/>
      <c r="AV118" s="622"/>
      <c r="AW118" s="622"/>
      <c r="AX118" s="622"/>
      <c r="AY118" s="622"/>
      <c r="AZ118" s="622"/>
      <c r="BA118" s="622"/>
      <c r="BB118" s="622"/>
      <c r="BC118" s="622"/>
      <c r="BD118" s="622"/>
      <c r="BE118" s="622"/>
      <c r="BF118" s="622"/>
      <c r="BG118" s="622"/>
      <c r="BH118" s="622"/>
      <c r="BI118" s="622"/>
      <c r="BJ118" s="622"/>
      <c r="BK118" s="622"/>
      <c r="BL118" s="622"/>
      <c r="BM118" s="622"/>
      <c r="BN118" s="622"/>
      <c r="BO118" s="622"/>
      <c r="BP118" s="622"/>
      <c r="BQ118" s="622"/>
      <c r="BR118" s="622"/>
      <c r="BS118" s="622"/>
      <c r="BT118" s="622"/>
      <c r="BU118" s="622"/>
      <c r="BV118" s="622"/>
      <c r="BW118" s="622"/>
      <c r="BX118" s="622"/>
      <c r="BY118" s="622"/>
      <c r="BZ118" s="622"/>
    </row>
    <row r="119" spans="3:78" x14ac:dyDescent="0.15">
      <c r="C119" s="7" t="s">
        <v>206</v>
      </c>
      <c r="D119"/>
      <c r="E119" s="29"/>
      <c r="F119" s="29"/>
      <c r="G119" s="29"/>
      <c r="H119" s="29"/>
      <c r="I119" s="29"/>
      <c r="J119" s="29"/>
      <c r="K119" s="622"/>
      <c r="L119" s="622"/>
      <c r="M119" s="622"/>
      <c r="N119" s="622"/>
      <c r="O119" s="622"/>
      <c r="P119" s="622"/>
      <c r="Q119" s="622"/>
      <c r="R119" s="622"/>
      <c r="S119" s="622"/>
      <c r="T119" s="622"/>
      <c r="U119" s="622"/>
      <c r="V119" s="622"/>
      <c r="W119" s="622"/>
      <c r="X119" s="622"/>
      <c r="Y119" s="622"/>
      <c r="Z119" s="622"/>
      <c r="AA119" s="622"/>
      <c r="AB119" s="622"/>
      <c r="AC119" s="622"/>
      <c r="AD119" s="622"/>
      <c r="AE119" s="622"/>
      <c r="AF119" s="622"/>
      <c r="AG119" s="622"/>
      <c r="AH119" s="622"/>
      <c r="AI119" s="622"/>
      <c r="AJ119" s="622"/>
      <c r="AK119" s="622"/>
      <c r="AL119" s="622"/>
      <c r="AM119" s="622"/>
      <c r="AN119" s="622"/>
      <c r="AO119" s="622"/>
      <c r="AP119" s="622"/>
      <c r="AQ119" s="622"/>
      <c r="AR119" s="622"/>
      <c r="AS119" s="622"/>
      <c r="AT119" s="622"/>
      <c r="AU119" s="622"/>
      <c r="AV119" s="622"/>
      <c r="AW119" s="622"/>
      <c r="AX119" s="622"/>
      <c r="AY119" s="622"/>
      <c r="AZ119" s="622"/>
      <c r="BA119" s="622"/>
      <c r="BB119" s="622"/>
      <c r="BC119" s="622"/>
      <c r="BD119" s="622"/>
      <c r="BE119" s="622"/>
      <c r="BF119" s="622"/>
      <c r="BG119" s="622"/>
      <c r="BH119" s="622"/>
      <c r="BI119" s="622"/>
      <c r="BJ119" s="622"/>
      <c r="BK119" s="622"/>
      <c r="BL119" s="622"/>
      <c r="BM119" s="622"/>
      <c r="BN119" s="622"/>
      <c r="BO119" s="622"/>
      <c r="BP119" s="622"/>
      <c r="BQ119" s="622"/>
      <c r="BR119" s="622"/>
      <c r="BS119" s="622"/>
      <c r="BT119" s="622"/>
      <c r="BU119" s="622"/>
      <c r="BV119" s="622"/>
      <c r="BW119" s="622"/>
      <c r="BX119" s="622"/>
      <c r="BY119" s="622"/>
      <c r="BZ119" s="622"/>
    </row>
    <row r="120" spans="3:78" x14ac:dyDescent="0.15">
      <c r="C120" s="594" t="s">
        <v>207</v>
      </c>
      <c r="D120" s="29"/>
      <c r="E120" s="29"/>
      <c r="F120" s="29"/>
      <c r="G120" s="29"/>
      <c r="H120" s="29"/>
      <c r="I120" s="29"/>
      <c r="J120" s="29"/>
      <c r="K120" s="622"/>
      <c r="L120" s="622"/>
      <c r="M120" s="622"/>
      <c r="N120" s="622"/>
      <c r="O120" s="622"/>
      <c r="P120" s="622"/>
      <c r="Q120" s="622"/>
      <c r="R120" s="622"/>
      <c r="S120" s="622"/>
      <c r="T120" s="622"/>
      <c r="U120" s="622"/>
      <c r="V120" s="622"/>
      <c r="W120" s="622"/>
      <c r="X120" s="622"/>
      <c r="Y120" s="622"/>
      <c r="Z120" s="622"/>
      <c r="AA120" s="622"/>
      <c r="AB120" s="622"/>
      <c r="AC120" s="622"/>
      <c r="AD120" s="622"/>
      <c r="AE120" s="622"/>
      <c r="AF120" s="622"/>
      <c r="AG120" s="622"/>
      <c r="AH120" s="622"/>
      <c r="AI120" s="622"/>
      <c r="AJ120" s="622"/>
      <c r="AK120" s="622"/>
      <c r="AL120" s="622"/>
      <c r="AM120" s="622"/>
      <c r="AN120" s="622"/>
      <c r="AO120" s="622"/>
      <c r="AP120" s="622"/>
      <c r="AQ120" s="622"/>
      <c r="AR120" s="622"/>
      <c r="AS120" s="622"/>
      <c r="AT120" s="622"/>
      <c r="AU120" s="622"/>
      <c r="AV120" s="622"/>
      <c r="AW120" s="622"/>
      <c r="AX120" s="622"/>
      <c r="AY120" s="622"/>
      <c r="AZ120" s="622"/>
      <c r="BA120" s="622"/>
      <c r="BB120" s="622"/>
      <c r="BC120" s="622"/>
      <c r="BD120" s="622"/>
      <c r="BE120" s="622"/>
      <c r="BF120" s="622"/>
      <c r="BG120" s="622"/>
      <c r="BH120" s="622"/>
      <c r="BI120" s="622"/>
      <c r="BJ120" s="622"/>
      <c r="BK120" s="622"/>
      <c r="BL120" s="622"/>
      <c r="BM120" s="622"/>
      <c r="BN120" s="622"/>
      <c r="BO120" s="622"/>
      <c r="BP120" s="622"/>
      <c r="BQ120" s="622"/>
      <c r="BR120" s="622"/>
      <c r="BS120" s="622"/>
      <c r="BT120" s="622"/>
      <c r="BU120" s="622"/>
      <c r="BV120" s="622"/>
      <c r="BW120" s="622"/>
      <c r="BX120" s="622"/>
      <c r="BY120" s="622"/>
      <c r="BZ120" s="622"/>
    </row>
    <row r="121" spans="3:78" x14ac:dyDescent="0.15">
      <c r="C121" s="19" t="s">
        <v>208</v>
      </c>
      <c r="D121" s="591"/>
      <c r="E121" s="29"/>
      <c r="F121" s="29">
        <f>D4*(1-D91)+D5</f>
        <v>4027905.2199999997</v>
      </c>
      <c r="G121" s="29">
        <f t="shared" ref="G121:AH121" si="245">F124</f>
        <v>3986472.6559329829</v>
      </c>
      <c r="H121" s="29">
        <f t="shared" si="245"/>
        <v>3854659.6528626159</v>
      </c>
      <c r="I121" s="29">
        <f t="shared" si="245"/>
        <v>3625485.8706227299</v>
      </c>
      <c r="J121" s="29">
        <f t="shared" si="245"/>
        <v>3375141.5787404366</v>
      </c>
      <c r="K121" s="29">
        <f t="shared" si="245"/>
        <v>0</v>
      </c>
      <c r="L121" s="29">
        <f t="shared" si="245"/>
        <v>0</v>
      </c>
      <c r="M121" s="29">
        <f t="shared" si="245"/>
        <v>0</v>
      </c>
      <c r="N121" s="29">
        <f t="shared" si="245"/>
        <v>0</v>
      </c>
      <c r="O121" s="29">
        <f t="shared" si="245"/>
        <v>0</v>
      </c>
      <c r="P121" s="29">
        <f t="shared" si="245"/>
        <v>0</v>
      </c>
      <c r="Q121" s="29">
        <f t="shared" si="245"/>
        <v>0</v>
      </c>
      <c r="R121" s="29">
        <f t="shared" si="245"/>
        <v>0</v>
      </c>
      <c r="S121" s="29">
        <f t="shared" si="245"/>
        <v>0</v>
      </c>
      <c r="T121" s="29">
        <f t="shared" si="245"/>
        <v>0</v>
      </c>
      <c r="U121" s="29">
        <f t="shared" si="245"/>
        <v>0</v>
      </c>
      <c r="V121" s="29">
        <f t="shared" si="245"/>
        <v>0</v>
      </c>
      <c r="W121" s="29">
        <f t="shared" si="245"/>
        <v>0</v>
      </c>
      <c r="X121" s="29">
        <f t="shared" si="245"/>
        <v>0</v>
      </c>
      <c r="Y121" s="29">
        <f t="shared" si="245"/>
        <v>0</v>
      </c>
      <c r="Z121" s="29">
        <f t="shared" si="245"/>
        <v>0</v>
      </c>
      <c r="AA121" s="29">
        <f t="shared" si="245"/>
        <v>0</v>
      </c>
      <c r="AB121" s="29">
        <f t="shared" si="245"/>
        <v>0</v>
      </c>
      <c r="AC121" s="29">
        <f t="shared" si="245"/>
        <v>0</v>
      </c>
      <c r="AD121" s="29">
        <f t="shared" si="245"/>
        <v>0</v>
      </c>
      <c r="AE121" s="29">
        <f t="shared" si="245"/>
        <v>0</v>
      </c>
      <c r="AF121" s="29">
        <f t="shared" si="245"/>
        <v>0</v>
      </c>
      <c r="AG121" s="29">
        <f t="shared" si="245"/>
        <v>0</v>
      </c>
      <c r="AH121" s="29">
        <f t="shared" si="245"/>
        <v>0</v>
      </c>
      <c r="AI121" s="29">
        <f t="shared" ref="AI121" si="246">AH124</f>
        <v>0</v>
      </c>
      <c r="AJ121" s="29">
        <f t="shared" ref="AJ121" si="247">AI124</f>
        <v>0</v>
      </c>
      <c r="AK121" s="622"/>
      <c r="AL121" s="622"/>
      <c r="AM121" s="622"/>
      <c r="AN121" s="622"/>
      <c r="AO121" s="622"/>
      <c r="AP121" s="622"/>
      <c r="AQ121" s="622"/>
      <c r="AR121" s="622"/>
      <c r="AS121" s="622"/>
      <c r="AT121" s="622"/>
      <c r="AU121" s="622"/>
      <c r="AV121" s="622"/>
      <c r="AW121" s="622"/>
      <c r="AX121" s="622"/>
      <c r="AY121" s="622"/>
      <c r="AZ121" s="622"/>
      <c r="BA121" s="622"/>
      <c r="BB121" s="622"/>
      <c r="BC121" s="622"/>
      <c r="BD121" s="622"/>
      <c r="BE121" s="622"/>
      <c r="BF121" s="622"/>
      <c r="BG121" s="622"/>
      <c r="BH121" s="622"/>
      <c r="BI121" s="622"/>
      <c r="BJ121" s="622"/>
      <c r="BK121" s="622"/>
      <c r="BL121" s="622"/>
      <c r="BM121" s="622"/>
      <c r="BN121" s="622"/>
      <c r="BO121" s="622"/>
      <c r="BP121" s="622"/>
      <c r="BQ121" s="622"/>
      <c r="BR121" s="622"/>
      <c r="BS121" s="622"/>
      <c r="BT121" s="622"/>
      <c r="BU121" s="622"/>
      <c r="BV121" s="622"/>
      <c r="BW121" s="622"/>
      <c r="BX121" s="622"/>
      <c r="BY121" s="622"/>
      <c r="BZ121" s="622"/>
    </row>
    <row r="122" spans="3:78" x14ac:dyDescent="0.15">
      <c r="C122" s="19" t="s">
        <v>209</v>
      </c>
      <c r="D122" s="591"/>
      <c r="E122" s="29"/>
      <c r="F122" s="29">
        <f>F121*$K$22</f>
        <v>201395.261</v>
      </c>
      <c r="G122" s="29">
        <f t="shared" ref="G122:AH122" si="248">G121*$K$23</f>
        <v>199323.63279664915</v>
      </c>
      <c r="H122" s="29">
        <f t="shared" si="248"/>
        <v>192732.98264313082</v>
      </c>
      <c r="I122" s="29">
        <f t="shared" si="248"/>
        <v>181274.2935311365</v>
      </c>
      <c r="J122" s="29">
        <f t="shared" si="248"/>
        <v>168757.07893702184</v>
      </c>
      <c r="K122" s="29">
        <f t="shared" si="248"/>
        <v>0</v>
      </c>
      <c r="L122" s="29">
        <f t="shared" si="248"/>
        <v>0</v>
      </c>
      <c r="M122" s="29">
        <f t="shared" si="248"/>
        <v>0</v>
      </c>
      <c r="N122" s="29">
        <f t="shared" si="248"/>
        <v>0</v>
      </c>
      <c r="O122" s="29">
        <f t="shared" si="248"/>
        <v>0</v>
      </c>
      <c r="P122" s="29">
        <f t="shared" si="248"/>
        <v>0</v>
      </c>
      <c r="Q122" s="29">
        <f t="shared" si="248"/>
        <v>0</v>
      </c>
      <c r="R122" s="29">
        <f t="shared" si="248"/>
        <v>0</v>
      </c>
      <c r="S122" s="29">
        <f t="shared" si="248"/>
        <v>0</v>
      </c>
      <c r="T122" s="29">
        <f t="shared" si="248"/>
        <v>0</v>
      </c>
      <c r="U122" s="29">
        <f t="shared" si="248"/>
        <v>0</v>
      </c>
      <c r="V122" s="29">
        <f t="shared" si="248"/>
        <v>0</v>
      </c>
      <c r="W122" s="29">
        <f t="shared" si="248"/>
        <v>0</v>
      </c>
      <c r="X122" s="29">
        <f t="shared" si="248"/>
        <v>0</v>
      </c>
      <c r="Y122" s="29">
        <f t="shared" si="248"/>
        <v>0</v>
      </c>
      <c r="Z122" s="29">
        <f t="shared" si="248"/>
        <v>0</v>
      </c>
      <c r="AA122" s="29">
        <f t="shared" si="248"/>
        <v>0</v>
      </c>
      <c r="AB122" s="29">
        <f t="shared" si="248"/>
        <v>0</v>
      </c>
      <c r="AC122" s="29">
        <f t="shared" si="248"/>
        <v>0</v>
      </c>
      <c r="AD122" s="29">
        <f t="shared" si="248"/>
        <v>0</v>
      </c>
      <c r="AE122" s="29">
        <f t="shared" si="248"/>
        <v>0</v>
      </c>
      <c r="AF122" s="29">
        <f t="shared" si="248"/>
        <v>0</v>
      </c>
      <c r="AG122" s="29">
        <f t="shared" si="248"/>
        <v>0</v>
      </c>
      <c r="AH122" s="29">
        <f t="shared" si="248"/>
        <v>0</v>
      </c>
      <c r="AI122" s="29">
        <f t="shared" ref="AI122:AJ122" si="249">AI121*$K$23</f>
        <v>0</v>
      </c>
      <c r="AJ122" s="29">
        <f t="shared" si="249"/>
        <v>0</v>
      </c>
      <c r="AK122" s="622"/>
      <c r="AL122" s="622"/>
      <c r="AM122" s="622"/>
      <c r="AN122" s="622"/>
      <c r="AO122" s="622"/>
      <c r="AP122" s="622"/>
      <c r="AQ122" s="622"/>
      <c r="AR122" s="622"/>
      <c r="AS122" s="622"/>
      <c r="AT122" s="622"/>
      <c r="AU122" s="622"/>
      <c r="AV122" s="622"/>
      <c r="AW122" s="622"/>
      <c r="AX122" s="622"/>
      <c r="AY122" s="622"/>
      <c r="AZ122" s="622"/>
      <c r="BA122" s="622"/>
      <c r="BB122" s="622"/>
      <c r="BC122" s="622"/>
      <c r="BD122" s="622"/>
      <c r="BE122" s="622"/>
      <c r="BF122" s="622"/>
      <c r="BG122" s="622"/>
      <c r="BH122" s="622"/>
      <c r="BI122" s="622"/>
      <c r="BJ122" s="622"/>
      <c r="BK122" s="622"/>
      <c r="BL122" s="622"/>
      <c r="BM122" s="622"/>
      <c r="BN122" s="622"/>
      <c r="BO122" s="622"/>
      <c r="BP122" s="622"/>
      <c r="BQ122" s="622"/>
      <c r="BR122" s="622"/>
      <c r="BS122" s="622"/>
      <c r="BT122" s="622"/>
      <c r="BU122" s="622"/>
      <c r="BV122" s="622"/>
      <c r="BW122" s="622"/>
      <c r="BX122" s="622"/>
      <c r="BY122" s="622"/>
      <c r="BZ122" s="622"/>
    </row>
    <row r="123" spans="3:78" x14ac:dyDescent="0.15">
      <c r="C123" s="19" t="s">
        <v>184</v>
      </c>
      <c r="D123" s="591"/>
      <c r="E123" s="29"/>
      <c r="F123" s="29">
        <f t="shared" ref="F123:O123" si="250">MAX(-F121-F122,-F115)</f>
        <v>-242827.82506701667</v>
      </c>
      <c r="G123" s="29">
        <f t="shared" si="250"/>
        <v>-331136.63586701662</v>
      </c>
      <c r="H123" s="29">
        <f t="shared" si="250"/>
        <v>-421906.7648830167</v>
      </c>
      <c r="I123" s="29">
        <f t="shared" si="250"/>
        <v>-431618.58541343</v>
      </c>
      <c r="J123" s="29">
        <f t="shared" si="250"/>
        <v>-3543898.6576774586</v>
      </c>
      <c r="K123" s="29">
        <f t="shared" si="250"/>
        <v>0</v>
      </c>
      <c r="L123" s="29">
        <f t="shared" si="250"/>
        <v>0</v>
      </c>
      <c r="M123" s="29">
        <f t="shared" si="250"/>
        <v>0</v>
      </c>
      <c r="N123" s="29">
        <f t="shared" si="250"/>
        <v>0</v>
      </c>
      <c r="O123" s="29">
        <f t="shared" si="250"/>
        <v>0</v>
      </c>
      <c r="P123" s="29">
        <f t="shared" ref="P123:AH123" si="251">MAX(-P121-P122,-P115-P93)</f>
        <v>0</v>
      </c>
      <c r="Q123" s="29">
        <f t="shared" si="251"/>
        <v>0</v>
      </c>
      <c r="R123" s="29">
        <f t="shared" si="251"/>
        <v>0</v>
      </c>
      <c r="S123" s="29">
        <f t="shared" si="251"/>
        <v>0</v>
      </c>
      <c r="T123" s="29">
        <f t="shared" si="251"/>
        <v>0</v>
      </c>
      <c r="U123" s="29">
        <f t="shared" si="251"/>
        <v>0</v>
      </c>
      <c r="V123" s="29">
        <f t="shared" si="251"/>
        <v>0</v>
      </c>
      <c r="W123" s="29">
        <f t="shared" si="251"/>
        <v>0</v>
      </c>
      <c r="X123" s="29">
        <f t="shared" si="251"/>
        <v>0</v>
      </c>
      <c r="Y123" s="29">
        <f t="shared" si="251"/>
        <v>0</v>
      </c>
      <c r="Z123" s="29">
        <f t="shared" si="251"/>
        <v>0</v>
      </c>
      <c r="AA123" s="29">
        <f t="shared" si="251"/>
        <v>0</v>
      </c>
      <c r="AB123" s="29">
        <f t="shared" si="251"/>
        <v>0</v>
      </c>
      <c r="AC123" s="29">
        <f t="shared" si="251"/>
        <v>0</v>
      </c>
      <c r="AD123" s="29">
        <f t="shared" si="251"/>
        <v>0</v>
      </c>
      <c r="AE123" s="29">
        <f t="shared" si="251"/>
        <v>0</v>
      </c>
      <c r="AF123" s="29">
        <f t="shared" si="251"/>
        <v>0</v>
      </c>
      <c r="AG123" s="29">
        <f t="shared" si="251"/>
        <v>0</v>
      </c>
      <c r="AH123" s="29">
        <f t="shared" si="251"/>
        <v>0</v>
      </c>
      <c r="AI123" s="29">
        <f t="shared" ref="AI123:AJ123" si="252">MAX(-AI121-AI122,-AI115-AI93)</f>
        <v>0</v>
      </c>
      <c r="AJ123" s="29">
        <f t="shared" si="252"/>
        <v>0</v>
      </c>
      <c r="AK123" s="622"/>
      <c r="AL123" s="622"/>
      <c r="AM123" s="622"/>
      <c r="AN123" s="622"/>
      <c r="AO123" s="622"/>
      <c r="AP123" s="622"/>
      <c r="AQ123" s="622"/>
      <c r="AR123" s="622"/>
      <c r="AS123" s="622"/>
      <c r="AT123" s="622"/>
      <c r="AU123" s="622"/>
      <c r="AV123" s="622"/>
      <c r="AW123" s="622"/>
      <c r="AX123" s="622"/>
      <c r="AY123" s="622"/>
      <c r="AZ123" s="622"/>
      <c r="BA123" s="622"/>
      <c r="BB123" s="622"/>
      <c r="BC123" s="622"/>
      <c r="BD123" s="622"/>
      <c r="BE123" s="622"/>
      <c r="BF123" s="622"/>
      <c r="BG123" s="622"/>
      <c r="BH123" s="622"/>
      <c r="BI123" s="622"/>
      <c r="BJ123" s="622"/>
      <c r="BK123" s="622"/>
      <c r="BL123" s="622"/>
      <c r="BM123" s="622"/>
      <c r="BN123" s="622"/>
      <c r="BO123" s="622"/>
      <c r="BP123" s="622"/>
      <c r="BQ123" s="622"/>
      <c r="BR123" s="622"/>
      <c r="BS123" s="622"/>
      <c r="BT123" s="622"/>
      <c r="BU123" s="622"/>
      <c r="BV123" s="622"/>
      <c r="BW123" s="622"/>
      <c r="BX123" s="622"/>
      <c r="BY123" s="622"/>
      <c r="BZ123" s="622"/>
    </row>
    <row r="124" spans="3:78" x14ac:dyDescent="0.15">
      <c r="C124" s="19" t="s">
        <v>190</v>
      </c>
      <c r="D124" s="591"/>
      <c r="E124" s="29"/>
      <c r="F124" s="734">
        <f t="shared" ref="F124:AH124" si="253">F121+F122+F123</f>
        <v>3986472.6559329829</v>
      </c>
      <c r="G124" s="734">
        <f t="shared" si="253"/>
        <v>3854659.6528626159</v>
      </c>
      <c r="H124" s="734">
        <f t="shared" si="253"/>
        <v>3625485.8706227299</v>
      </c>
      <c r="I124" s="734">
        <f t="shared" si="253"/>
        <v>3375141.5787404366</v>
      </c>
      <c r="J124" s="734">
        <f t="shared" si="253"/>
        <v>0</v>
      </c>
      <c r="K124" s="734">
        <f t="shared" si="253"/>
        <v>0</v>
      </c>
      <c r="L124" s="734">
        <f t="shared" si="253"/>
        <v>0</v>
      </c>
      <c r="M124" s="734">
        <f t="shared" si="253"/>
        <v>0</v>
      </c>
      <c r="N124" s="734">
        <f t="shared" si="253"/>
        <v>0</v>
      </c>
      <c r="O124" s="734">
        <f t="shared" si="253"/>
        <v>0</v>
      </c>
      <c r="P124" s="734">
        <f t="shared" si="253"/>
        <v>0</v>
      </c>
      <c r="Q124" s="734">
        <f t="shared" si="253"/>
        <v>0</v>
      </c>
      <c r="R124" s="734">
        <f t="shared" si="253"/>
        <v>0</v>
      </c>
      <c r="S124" s="734">
        <f t="shared" si="253"/>
        <v>0</v>
      </c>
      <c r="T124" s="734">
        <f t="shared" si="253"/>
        <v>0</v>
      </c>
      <c r="U124" s="734">
        <f t="shared" si="253"/>
        <v>0</v>
      </c>
      <c r="V124" s="734">
        <f t="shared" si="253"/>
        <v>0</v>
      </c>
      <c r="W124" s="734">
        <f t="shared" si="253"/>
        <v>0</v>
      </c>
      <c r="X124" s="734">
        <f t="shared" si="253"/>
        <v>0</v>
      </c>
      <c r="Y124" s="734">
        <f t="shared" si="253"/>
        <v>0</v>
      </c>
      <c r="Z124" s="734">
        <f t="shared" si="253"/>
        <v>0</v>
      </c>
      <c r="AA124" s="734">
        <f t="shared" si="253"/>
        <v>0</v>
      </c>
      <c r="AB124" s="734">
        <f t="shared" si="253"/>
        <v>0</v>
      </c>
      <c r="AC124" s="734">
        <f t="shared" si="253"/>
        <v>0</v>
      </c>
      <c r="AD124" s="734">
        <f t="shared" si="253"/>
        <v>0</v>
      </c>
      <c r="AE124" s="734">
        <f t="shared" si="253"/>
        <v>0</v>
      </c>
      <c r="AF124" s="734">
        <f t="shared" si="253"/>
        <v>0</v>
      </c>
      <c r="AG124" s="734">
        <f t="shared" si="253"/>
        <v>0</v>
      </c>
      <c r="AH124" s="734">
        <f t="shared" si="253"/>
        <v>0</v>
      </c>
      <c r="AI124" s="734">
        <f t="shared" ref="AI124:AJ124" si="254">AI121+AI122+AI123</f>
        <v>0</v>
      </c>
      <c r="AJ124" s="734">
        <f t="shared" si="254"/>
        <v>0</v>
      </c>
      <c r="AK124" s="622"/>
      <c r="AL124" s="622"/>
      <c r="AM124" s="622"/>
      <c r="AN124" s="622"/>
      <c r="AO124" s="622"/>
      <c r="AP124" s="622"/>
      <c r="AQ124" s="622"/>
      <c r="AR124" s="622"/>
      <c r="AS124" s="622"/>
      <c r="AT124" s="622"/>
      <c r="AU124" s="622"/>
      <c r="AV124" s="622"/>
      <c r="AW124" s="622"/>
      <c r="AX124" s="622"/>
      <c r="AY124" s="622"/>
      <c r="AZ124" s="622"/>
      <c r="BA124" s="622"/>
      <c r="BB124" s="622"/>
      <c r="BC124" s="622"/>
      <c r="BD124" s="622"/>
      <c r="BE124" s="622"/>
      <c r="BF124" s="622"/>
      <c r="BG124" s="622"/>
      <c r="BH124" s="622"/>
      <c r="BI124" s="622"/>
      <c r="BJ124" s="622"/>
      <c r="BK124" s="622"/>
      <c r="BL124" s="622"/>
      <c r="BM124" s="622"/>
      <c r="BN124" s="622"/>
      <c r="BO124" s="622"/>
      <c r="BP124" s="622"/>
      <c r="BQ124" s="622"/>
      <c r="BR124" s="622"/>
      <c r="BS124" s="622"/>
      <c r="BT124" s="622"/>
      <c r="BU124" s="622"/>
      <c r="BV124" s="622"/>
      <c r="BW124" s="622"/>
      <c r="BX124" s="622"/>
      <c r="BY124" s="622"/>
      <c r="BZ124" s="622"/>
    </row>
    <row r="125" spans="3:78" x14ac:dyDescent="0.15">
      <c r="C125" s="28" t="s">
        <v>210</v>
      </c>
      <c r="D125" s="591"/>
      <c r="E125" s="27"/>
      <c r="F125" s="29">
        <f t="shared" ref="F125:AH125" si="255">F115+F123</f>
        <v>0</v>
      </c>
      <c r="G125" s="29">
        <f t="shared" si="255"/>
        <v>0</v>
      </c>
      <c r="H125" s="29">
        <f t="shared" si="255"/>
        <v>0</v>
      </c>
      <c r="I125" s="29">
        <f t="shared" si="255"/>
        <v>0</v>
      </c>
      <c r="J125" s="29">
        <f t="shared" si="255"/>
        <v>231427.61568538286</v>
      </c>
      <c r="K125" s="29">
        <f t="shared" si="255"/>
        <v>247796.30164982541</v>
      </c>
      <c r="L125" s="29">
        <f t="shared" si="255"/>
        <v>278743.39614217298</v>
      </c>
      <c r="M125" s="29">
        <f t="shared" si="255"/>
        <v>310989.89706516813</v>
      </c>
      <c r="N125" s="29">
        <f t="shared" si="255"/>
        <v>344589.01112905389</v>
      </c>
      <c r="O125" s="29">
        <f t="shared" si="255"/>
        <v>379596.09792154748</v>
      </c>
      <c r="P125" s="29">
        <f t="shared" si="255"/>
        <v>296812.75651511329</v>
      </c>
      <c r="Q125" s="29">
        <f t="shared" si="255"/>
        <v>334810.9155483814</v>
      </c>
      <c r="R125" s="29">
        <f t="shared" si="255"/>
        <v>374396.92692086007</v>
      </c>
      <c r="S125" s="29">
        <f t="shared" si="255"/>
        <v>415635.66324567457</v>
      </c>
      <c r="T125" s="29">
        <f t="shared" si="255"/>
        <v>458594.61921086686</v>
      </c>
      <c r="U125" s="29">
        <f t="shared" si="255"/>
        <v>503344.01700580039</v>
      </c>
      <c r="V125" s="29">
        <f t="shared" si="255"/>
        <v>549956.91597548744</v>
      </c>
      <c r="W125" s="29">
        <f t="shared" si="255"/>
        <v>598509.32667217648</v>
      </c>
      <c r="X125" s="29">
        <f t="shared" si="255"/>
        <v>649080.32948031288</v>
      </c>
      <c r="Y125" s="29">
        <f t="shared" si="255"/>
        <v>701752.19799802511</v>
      </c>
      <c r="Z125" s="29">
        <f t="shared" si="255"/>
        <v>756610.52736564225</v>
      </c>
      <c r="AA125" s="29">
        <f t="shared" si="255"/>
        <v>813744.36773934367</v>
      </c>
      <c r="AB125" s="29">
        <f t="shared" si="255"/>
        <v>873246.36311600113</v>
      </c>
      <c r="AC125" s="29">
        <f t="shared" si="255"/>
        <v>935212.89572349226</v>
      </c>
      <c r="AD125" s="29">
        <f t="shared" si="255"/>
        <v>999744.23619936581</v>
      </c>
      <c r="AE125" s="29">
        <f t="shared" si="255"/>
        <v>1066944.6997896391</v>
      </c>
      <c r="AF125" s="29">
        <f t="shared" si="255"/>
        <v>1136922.8088087952</v>
      </c>
      <c r="AG125" s="29">
        <f t="shared" si="255"/>
        <v>1209791.4616116956</v>
      </c>
      <c r="AH125" s="29">
        <f t="shared" si="255"/>
        <v>1285668.1083381483</v>
      </c>
      <c r="AI125" s="29">
        <f t="shared" ref="AI125:AJ125" si="256">AI115+AI123</f>
        <v>1364674.9337013247</v>
      </c>
      <c r="AJ125" s="29">
        <f t="shared" si="256"/>
        <v>37512661.842158556</v>
      </c>
      <c r="AK125" s="622"/>
      <c r="AL125" s="622"/>
      <c r="AM125" s="622"/>
      <c r="AN125" s="622"/>
      <c r="AO125" s="622"/>
      <c r="AP125" s="622"/>
      <c r="AQ125" s="622"/>
      <c r="AR125" s="622"/>
      <c r="AS125" s="622"/>
      <c r="AT125" s="622"/>
      <c r="AU125" s="622"/>
      <c r="AV125" s="622"/>
      <c r="AW125" s="622"/>
      <c r="AX125" s="622"/>
      <c r="AY125" s="622"/>
      <c r="AZ125" s="622"/>
      <c r="BA125" s="622"/>
      <c r="BB125" s="622"/>
      <c r="BC125" s="622"/>
      <c r="BD125" s="622"/>
      <c r="BE125" s="622"/>
      <c r="BF125" s="622"/>
      <c r="BG125" s="622"/>
      <c r="BH125" s="622"/>
      <c r="BI125" s="622"/>
      <c r="BJ125" s="622"/>
      <c r="BK125" s="622"/>
      <c r="BL125" s="622"/>
      <c r="BM125" s="622"/>
      <c r="BN125" s="622"/>
      <c r="BO125" s="622"/>
      <c r="BP125" s="622"/>
      <c r="BQ125" s="622"/>
      <c r="BR125" s="622"/>
      <c r="BS125" s="622"/>
      <c r="BT125" s="622"/>
      <c r="BU125" s="622"/>
      <c r="BV125" s="622"/>
      <c r="BW125" s="622"/>
      <c r="BX125" s="622"/>
      <c r="BY125" s="622"/>
      <c r="BZ125" s="622"/>
    </row>
    <row r="126" spans="3:78" x14ac:dyDescent="0.15">
      <c r="C126" s="37" t="s">
        <v>211</v>
      </c>
      <c r="D126" s="591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622"/>
      <c r="AL126" s="622"/>
      <c r="AM126" s="622"/>
      <c r="AN126" s="622"/>
      <c r="AO126" s="622"/>
      <c r="AP126" s="622"/>
      <c r="AQ126" s="622"/>
      <c r="AR126" s="622"/>
      <c r="AS126" s="622"/>
      <c r="AT126" s="622"/>
      <c r="AU126" s="622"/>
      <c r="AV126" s="622"/>
      <c r="AW126" s="622"/>
      <c r="AX126" s="622"/>
      <c r="AY126" s="622"/>
      <c r="AZ126" s="622"/>
      <c r="BA126" s="622"/>
      <c r="BB126" s="622"/>
      <c r="BC126" s="622"/>
      <c r="BD126" s="622"/>
      <c r="BE126" s="622"/>
      <c r="BF126" s="622"/>
      <c r="BG126" s="622"/>
      <c r="BH126" s="622"/>
      <c r="BI126" s="622"/>
      <c r="BJ126" s="622"/>
      <c r="BK126" s="622"/>
      <c r="BL126" s="622"/>
      <c r="BM126" s="622"/>
      <c r="BN126" s="622"/>
      <c r="BO126" s="622"/>
      <c r="BP126" s="622"/>
      <c r="BQ126" s="622"/>
      <c r="BR126" s="622"/>
      <c r="BS126" s="622"/>
      <c r="BT126" s="622"/>
      <c r="BU126" s="622"/>
      <c r="BV126" s="622"/>
      <c r="BW126" s="622"/>
      <c r="BX126" s="622"/>
      <c r="BY126" s="622"/>
      <c r="BZ126" s="622"/>
    </row>
    <row r="127" spans="3:78" x14ac:dyDescent="0.15">
      <c r="C127" s="628" t="s">
        <v>212</v>
      </c>
      <c r="D127" s="591"/>
      <c r="E127" s="29"/>
      <c r="F127" s="29">
        <f t="shared" ref="F127:AH127" si="257">F125*$K$20</f>
        <v>0</v>
      </c>
      <c r="G127" s="29">
        <f t="shared" si="257"/>
        <v>0</v>
      </c>
      <c r="H127" s="29">
        <f t="shared" si="257"/>
        <v>0</v>
      </c>
      <c r="I127" s="29">
        <f t="shared" si="257"/>
        <v>0</v>
      </c>
      <c r="J127" s="29">
        <f t="shared" si="257"/>
        <v>115713.80784269143</v>
      </c>
      <c r="K127" s="29">
        <f t="shared" si="257"/>
        <v>123898.15082491271</v>
      </c>
      <c r="L127" s="29">
        <f t="shared" si="257"/>
        <v>139371.69807108649</v>
      </c>
      <c r="M127" s="29">
        <f t="shared" si="257"/>
        <v>155494.94853258407</v>
      </c>
      <c r="N127" s="29">
        <f t="shared" si="257"/>
        <v>172294.50556452695</v>
      </c>
      <c r="O127" s="29">
        <f t="shared" si="257"/>
        <v>189798.04896077374</v>
      </c>
      <c r="P127" s="29">
        <f t="shared" si="257"/>
        <v>148406.37825755664</v>
      </c>
      <c r="Q127" s="29">
        <f t="shared" si="257"/>
        <v>167405.4577741907</v>
      </c>
      <c r="R127" s="29">
        <f t="shared" si="257"/>
        <v>187198.46346043004</v>
      </c>
      <c r="S127" s="29">
        <f t="shared" si="257"/>
        <v>207817.83162283729</v>
      </c>
      <c r="T127" s="29">
        <f t="shared" si="257"/>
        <v>229297.30960543343</v>
      </c>
      <c r="U127" s="29">
        <f t="shared" si="257"/>
        <v>251672.00850290019</v>
      </c>
      <c r="V127" s="29">
        <f t="shared" si="257"/>
        <v>274978.45798774372</v>
      </c>
      <c r="W127" s="29">
        <f t="shared" si="257"/>
        <v>299254.66333608824</v>
      </c>
      <c r="X127" s="29">
        <f t="shared" si="257"/>
        <v>324540.16474015644</v>
      </c>
      <c r="Y127" s="29">
        <f t="shared" si="257"/>
        <v>350876.09899901255</v>
      </c>
      <c r="Z127" s="29">
        <f t="shared" si="257"/>
        <v>378305.26368282113</v>
      </c>
      <c r="AA127" s="29">
        <f t="shared" si="257"/>
        <v>406872.18386967183</v>
      </c>
      <c r="AB127" s="29">
        <f t="shared" si="257"/>
        <v>436623.18155800056</v>
      </c>
      <c r="AC127" s="29">
        <f t="shared" si="257"/>
        <v>467606.44786174613</v>
      </c>
      <c r="AD127" s="29">
        <f t="shared" si="257"/>
        <v>499872.11809968291</v>
      </c>
      <c r="AE127" s="29">
        <f t="shared" si="257"/>
        <v>533472.34989481955</v>
      </c>
      <c r="AF127" s="29">
        <f t="shared" si="257"/>
        <v>568461.40440439759</v>
      </c>
      <c r="AG127" s="29">
        <f t="shared" si="257"/>
        <v>604895.73080584779</v>
      </c>
      <c r="AH127" s="29">
        <f t="shared" si="257"/>
        <v>642834.05416907417</v>
      </c>
      <c r="AI127" s="29">
        <f t="shared" ref="AI127:AJ127" si="258">AI125*$K$20</f>
        <v>682337.46685066237</v>
      </c>
      <c r="AJ127" s="29">
        <f t="shared" si="258"/>
        <v>18756330.921079278</v>
      </c>
      <c r="AK127" s="622"/>
      <c r="AL127" s="622"/>
      <c r="AM127" s="622"/>
      <c r="AN127" s="622"/>
      <c r="AO127" s="622"/>
      <c r="AP127" s="622"/>
      <c r="AQ127" s="622"/>
      <c r="AR127" s="622"/>
      <c r="AS127" s="622"/>
      <c r="AT127" s="622"/>
      <c r="AU127" s="622"/>
      <c r="AV127" s="622"/>
      <c r="AW127" s="622"/>
      <c r="AX127" s="622"/>
      <c r="AY127" s="622"/>
      <c r="AZ127" s="622"/>
      <c r="BA127" s="622"/>
      <c r="BB127" s="622"/>
      <c r="BC127" s="622"/>
      <c r="BD127" s="622"/>
      <c r="BE127" s="622"/>
      <c r="BF127" s="622"/>
      <c r="BG127" s="622"/>
      <c r="BH127" s="622"/>
      <c r="BI127" s="622"/>
      <c r="BJ127" s="622"/>
      <c r="BK127" s="622"/>
      <c r="BL127" s="622"/>
      <c r="BM127" s="622"/>
      <c r="BN127" s="622"/>
      <c r="BO127" s="622"/>
      <c r="BP127" s="622"/>
      <c r="BQ127" s="622"/>
      <c r="BR127" s="622"/>
      <c r="BS127" s="622"/>
      <c r="BT127" s="622"/>
      <c r="BU127" s="622"/>
      <c r="BV127" s="622"/>
      <c r="BW127" s="622"/>
      <c r="BX127" s="622"/>
      <c r="BY127" s="622"/>
      <c r="BZ127" s="622"/>
    </row>
    <row r="128" spans="3:78" x14ac:dyDescent="0.15">
      <c r="C128" s="628" t="s">
        <v>213</v>
      </c>
      <c r="D128" s="591"/>
      <c r="E128" s="29"/>
      <c r="F128" s="29">
        <f t="shared" ref="F128:AH128" si="259">F125*$K$21</f>
        <v>0</v>
      </c>
      <c r="G128" s="29">
        <f t="shared" si="259"/>
        <v>0</v>
      </c>
      <c r="H128" s="29">
        <f t="shared" si="259"/>
        <v>0</v>
      </c>
      <c r="I128" s="29">
        <f t="shared" si="259"/>
        <v>0</v>
      </c>
      <c r="J128" s="29">
        <f t="shared" si="259"/>
        <v>115713.80784269143</v>
      </c>
      <c r="K128" s="29">
        <f t="shared" si="259"/>
        <v>123898.15082491271</v>
      </c>
      <c r="L128" s="29">
        <f t="shared" si="259"/>
        <v>139371.69807108649</v>
      </c>
      <c r="M128" s="29">
        <f t="shared" si="259"/>
        <v>155494.94853258407</v>
      </c>
      <c r="N128" s="29">
        <f t="shared" si="259"/>
        <v>172294.50556452695</v>
      </c>
      <c r="O128" s="29">
        <f t="shared" si="259"/>
        <v>189798.04896077374</v>
      </c>
      <c r="P128" s="29">
        <f t="shared" si="259"/>
        <v>148406.37825755664</v>
      </c>
      <c r="Q128" s="29">
        <f t="shared" si="259"/>
        <v>167405.4577741907</v>
      </c>
      <c r="R128" s="29">
        <f t="shared" si="259"/>
        <v>187198.46346043004</v>
      </c>
      <c r="S128" s="29">
        <f t="shared" si="259"/>
        <v>207817.83162283729</v>
      </c>
      <c r="T128" s="29">
        <f t="shared" si="259"/>
        <v>229297.30960543343</v>
      </c>
      <c r="U128" s="29">
        <f t="shared" si="259"/>
        <v>251672.00850290019</v>
      </c>
      <c r="V128" s="29">
        <f t="shared" si="259"/>
        <v>274978.45798774372</v>
      </c>
      <c r="W128" s="29">
        <f t="shared" si="259"/>
        <v>299254.66333608824</v>
      </c>
      <c r="X128" s="29">
        <f t="shared" si="259"/>
        <v>324540.16474015644</v>
      </c>
      <c r="Y128" s="29">
        <f t="shared" si="259"/>
        <v>350876.09899901255</v>
      </c>
      <c r="Z128" s="29">
        <f t="shared" si="259"/>
        <v>378305.26368282113</v>
      </c>
      <c r="AA128" s="29">
        <f t="shared" si="259"/>
        <v>406872.18386967183</v>
      </c>
      <c r="AB128" s="29">
        <f t="shared" si="259"/>
        <v>436623.18155800056</v>
      </c>
      <c r="AC128" s="29">
        <f t="shared" si="259"/>
        <v>467606.44786174613</v>
      </c>
      <c r="AD128" s="29">
        <f t="shared" si="259"/>
        <v>499872.11809968291</v>
      </c>
      <c r="AE128" s="29">
        <f t="shared" si="259"/>
        <v>533472.34989481955</v>
      </c>
      <c r="AF128" s="29">
        <f t="shared" si="259"/>
        <v>568461.40440439759</v>
      </c>
      <c r="AG128" s="29">
        <f t="shared" si="259"/>
        <v>604895.73080584779</v>
      </c>
      <c r="AH128" s="29">
        <f t="shared" si="259"/>
        <v>642834.05416907417</v>
      </c>
      <c r="AI128" s="29">
        <f t="shared" ref="AI128:AJ128" si="260">AI125*$K$21</f>
        <v>682337.46685066237</v>
      </c>
      <c r="AJ128" s="29">
        <f t="shared" si="260"/>
        <v>18756330.921079278</v>
      </c>
      <c r="AK128" s="622"/>
      <c r="AL128" s="622"/>
      <c r="AM128" s="622"/>
      <c r="AN128" s="622"/>
      <c r="AO128" s="622"/>
      <c r="AP128" s="622"/>
      <c r="AQ128" s="622"/>
      <c r="AR128" s="622"/>
      <c r="AS128" s="622"/>
      <c r="AT128" s="622"/>
      <c r="AU128" s="622"/>
      <c r="AV128" s="622"/>
      <c r="AW128" s="622"/>
      <c r="AX128" s="622"/>
      <c r="AY128" s="622"/>
      <c r="AZ128" s="622"/>
      <c r="BA128" s="622"/>
      <c r="BB128" s="622"/>
      <c r="BC128" s="622"/>
      <c r="BD128" s="622"/>
      <c r="BE128" s="622"/>
      <c r="BF128" s="622"/>
      <c r="BG128" s="622"/>
      <c r="BH128" s="622"/>
      <c r="BI128" s="622"/>
      <c r="BJ128" s="622"/>
      <c r="BK128" s="622"/>
      <c r="BL128" s="622"/>
      <c r="BM128" s="622"/>
      <c r="BN128" s="622"/>
      <c r="BO128" s="622"/>
      <c r="BP128" s="622"/>
      <c r="BQ128" s="622"/>
      <c r="BR128" s="622"/>
      <c r="BS128" s="622"/>
      <c r="BT128" s="622"/>
      <c r="BU128" s="622"/>
      <c r="BV128" s="622"/>
      <c r="BW128" s="622"/>
      <c r="BX128" s="622"/>
      <c r="BY128" s="622"/>
      <c r="BZ128" s="622"/>
    </row>
    <row r="129" spans="2:78" x14ac:dyDescent="0.15">
      <c r="C129" s="37" t="s">
        <v>48</v>
      </c>
      <c r="D129" s="591"/>
      <c r="E1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622"/>
      <c r="AL129" s="622"/>
      <c r="AM129" s="622"/>
      <c r="AN129" s="622"/>
      <c r="AO129" s="622"/>
      <c r="AP129" s="622"/>
      <c r="AQ129" s="622"/>
      <c r="AR129" s="622"/>
      <c r="AS129" s="622"/>
      <c r="AT129" s="622"/>
      <c r="AU129" s="622"/>
      <c r="AV129" s="622"/>
      <c r="AW129" s="622"/>
      <c r="AX129" s="622"/>
      <c r="AY129" s="622"/>
      <c r="AZ129" s="622"/>
      <c r="BA129" s="622"/>
      <c r="BB129" s="622"/>
      <c r="BC129" s="622"/>
      <c r="BD129" s="622"/>
      <c r="BE129" s="622"/>
      <c r="BF129" s="622"/>
      <c r="BG129" s="622"/>
      <c r="BH129" s="622"/>
      <c r="BI129" s="622"/>
      <c r="BJ129" s="622"/>
      <c r="BK129" s="622"/>
      <c r="BL129" s="622"/>
      <c r="BM129" s="622"/>
      <c r="BN129" s="622"/>
      <c r="BO129" s="622"/>
      <c r="BP129" s="622"/>
      <c r="BQ129" s="622"/>
      <c r="BR129" s="622"/>
      <c r="BS129" s="622"/>
      <c r="BT129" s="622"/>
      <c r="BU129" s="622"/>
      <c r="BV129" s="622"/>
      <c r="BW129" s="622"/>
      <c r="BX129" s="622"/>
      <c r="BY129" s="622"/>
      <c r="BZ129" s="622"/>
    </row>
    <row r="130" spans="2:78" x14ac:dyDescent="0.15">
      <c r="C130" s="628" t="s">
        <v>212</v>
      </c>
      <c r="D130" s="629">
        <f>SUM(E130:AJ130)</f>
        <v>28267018.005266864</v>
      </c>
      <c r="E130" s="35">
        <f>E115</f>
        <v>-4019999.580000001</v>
      </c>
      <c r="F130" s="29">
        <f t="shared" ref="F130:AH130" si="261">-F123+F127</f>
        <v>242827.82506701667</v>
      </c>
      <c r="G130" s="29">
        <f t="shared" si="261"/>
        <v>331136.63586701662</v>
      </c>
      <c r="H130" s="29">
        <f t="shared" si="261"/>
        <v>421906.7648830167</v>
      </c>
      <c r="I130" s="29">
        <f t="shared" si="261"/>
        <v>431618.58541343</v>
      </c>
      <c r="J130" s="29">
        <f t="shared" si="261"/>
        <v>3659612.46552015</v>
      </c>
      <c r="K130" s="29">
        <f t="shared" si="261"/>
        <v>123898.15082491271</v>
      </c>
      <c r="L130" s="29">
        <f t="shared" si="261"/>
        <v>139371.69807108649</v>
      </c>
      <c r="M130" s="29">
        <f t="shared" si="261"/>
        <v>155494.94853258407</v>
      </c>
      <c r="N130" s="29">
        <f t="shared" si="261"/>
        <v>172294.50556452695</v>
      </c>
      <c r="O130" s="29">
        <f t="shared" si="261"/>
        <v>189798.04896077374</v>
      </c>
      <c r="P130" s="29">
        <f t="shared" si="261"/>
        <v>148406.37825755664</v>
      </c>
      <c r="Q130" s="29">
        <f t="shared" si="261"/>
        <v>167405.4577741907</v>
      </c>
      <c r="R130" s="29">
        <f t="shared" si="261"/>
        <v>187198.46346043004</v>
      </c>
      <c r="S130" s="29">
        <f t="shared" si="261"/>
        <v>207817.83162283729</v>
      </c>
      <c r="T130" s="29">
        <f t="shared" si="261"/>
        <v>229297.30960543343</v>
      </c>
      <c r="U130" s="29">
        <f t="shared" si="261"/>
        <v>251672.00850290019</v>
      </c>
      <c r="V130" s="29">
        <f t="shared" si="261"/>
        <v>274978.45798774372</v>
      </c>
      <c r="W130" s="29">
        <f t="shared" si="261"/>
        <v>299254.66333608824</v>
      </c>
      <c r="X130" s="29">
        <f t="shared" si="261"/>
        <v>324540.16474015644</v>
      </c>
      <c r="Y130" s="29">
        <f t="shared" si="261"/>
        <v>350876.09899901255</v>
      </c>
      <c r="Z130" s="29">
        <f t="shared" si="261"/>
        <v>378305.26368282113</v>
      </c>
      <c r="AA130" s="29">
        <f t="shared" si="261"/>
        <v>406872.18386967183</v>
      </c>
      <c r="AB130" s="29">
        <f t="shared" si="261"/>
        <v>436623.18155800056</v>
      </c>
      <c r="AC130" s="29">
        <f t="shared" si="261"/>
        <v>467606.44786174613</v>
      </c>
      <c r="AD130" s="29">
        <f t="shared" si="261"/>
        <v>499872.11809968291</v>
      </c>
      <c r="AE130" s="29">
        <f t="shared" si="261"/>
        <v>533472.34989481955</v>
      </c>
      <c r="AF130" s="29">
        <f t="shared" si="261"/>
        <v>568461.40440439759</v>
      </c>
      <c r="AG130" s="29">
        <f t="shared" si="261"/>
        <v>604895.73080584779</v>
      </c>
      <c r="AH130" s="29">
        <f t="shared" si="261"/>
        <v>642834.05416907417</v>
      </c>
      <c r="AI130" s="29">
        <f t="shared" ref="AI130:AJ130" si="262">-AI123+AI127</f>
        <v>682337.46685066237</v>
      </c>
      <c r="AJ130" s="29">
        <f t="shared" si="262"/>
        <v>18756330.921079278</v>
      </c>
      <c r="AK130" s="622"/>
      <c r="AL130" s="622"/>
      <c r="AM130" s="622"/>
      <c r="AN130" s="622"/>
      <c r="AO130" s="622"/>
      <c r="AP130" s="622"/>
      <c r="AQ130" s="622"/>
      <c r="AR130" s="622"/>
      <c r="AS130" s="622"/>
      <c r="AT130" s="622"/>
      <c r="AU130" s="622"/>
      <c r="AV130" s="622"/>
      <c r="AW130" s="622"/>
      <c r="AX130" s="622"/>
      <c r="AY130" s="622"/>
      <c r="AZ130" s="622"/>
      <c r="BA130" s="622"/>
      <c r="BB130" s="622"/>
      <c r="BC130" s="622"/>
      <c r="BD130" s="622"/>
      <c r="BE130" s="622"/>
      <c r="BF130" s="622"/>
      <c r="BG130" s="622"/>
      <c r="BH130" s="622"/>
      <c r="BI130" s="622"/>
      <c r="BJ130" s="622"/>
      <c r="BK130" s="622"/>
      <c r="BL130" s="622"/>
      <c r="BM130" s="622"/>
      <c r="BN130" s="622"/>
      <c r="BO130" s="622"/>
      <c r="BP130" s="622"/>
      <c r="BQ130" s="622"/>
      <c r="BR130" s="622"/>
      <c r="BS130" s="622"/>
      <c r="BT130" s="622"/>
      <c r="BU130" s="622"/>
      <c r="BV130" s="622"/>
      <c r="BW130" s="622"/>
      <c r="BX130" s="622"/>
      <c r="BY130" s="622"/>
      <c r="BZ130" s="622"/>
    </row>
    <row r="131" spans="2:78" x14ac:dyDescent="0.15">
      <c r="C131" s="628" t="s">
        <v>213</v>
      </c>
      <c r="D131" s="629">
        <f>SUM(E131:AJ131)</f>
        <v>27315629.116358928</v>
      </c>
      <c r="E131" s="35">
        <v>0</v>
      </c>
      <c r="F131" s="29">
        <f t="shared" ref="F131:AH131" si="263">F128</f>
        <v>0</v>
      </c>
      <c r="G131" s="29">
        <f t="shared" si="263"/>
        <v>0</v>
      </c>
      <c r="H131" s="29">
        <f t="shared" si="263"/>
        <v>0</v>
      </c>
      <c r="I131" s="29">
        <f t="shared" si="263"/>
        <v>0</v>
      </c>
      <c r="J131" s="29">
        <f t="shared" si="263"/>
        <v>115713.80784269143</v>
      </c>
      <c r="K131" s="29">
        <f t="shared" si="263"/>
        <v>123898.15082491271</v>
      </c>
      <c r="L131" s="29">
        <f t="shared" si="263"/>
        <v>139371.69807108649</v>
      </c>
      <c r="M131" s="29">
        <f t="shared" si="263"/>
        <v>155494.94853258407</v>
      </c>
      <c r="N131" s="29">
        <f t="shared" si="263"/>
        <v>172294.50556452695</v>
      </c>
      <c r="O131" s="29">
        <f t="shared" si="263"/>
        <v>189798.04896077374</v>
      </c>
      <c r="P131" s="29">
        <f t="shared" si="263"/>
        <v>148406.37825755664</v>
      </c>
      <c r="Q131" s="29">
        <f t="shared" si="263"/>
        <v>167405.4577741907</v>
      </c>
      <c r="R131" s="29">
        <f t="shared" si="263"/>
        <v>187198.46346043004</v>
      </c>
      <c r="S131" s="29">
        <f t="shared" si="263"/>
        <v>207817.83162283729</v>
      </c>
      <c r="T131" s="29">
        <f t="shared" si="263"/>
        <v>229297.30960543343</v>
      </c>
      <c r="U131" s="29">
        <f t="shared" si="263"/>
        <v>251672.00850290019</v>
      </c>
      <c r="V131" s="29">
        <f t="shared" si="263"/>
        <v>274978.45798774372</v>
      </c>
      <c r="W131" s="29">
        <f t="shared" si="263"/>
        <v>299254.66333608824</v>
      </c>
      <c r="X131" s="29">
        <f t="shared" si="263"/>
        <v>324540.16474015644</v>
      </c>
      <c r="Y131" s="29">
        <f t="shared" si="263"/>
        <v>350876.09899901255</v>
      </c>
      <c r="Z131" s="29">
        <f t="shared" si="263"/>
        <v>378305.26368282113</v>
      </c>
      <c r="AA131" s="29">
        <f t="shared" si="263"/>
        <v>406872.18386967183</v>
      </c>
      <c r="AB131" s="29">
        <f t="shared" si="263"/>
        <v>436623.18155800056</v>
      </c>
      <c r="AC131" s="29">
        <f t="shared" si="263"/>
        <v>467606.44786174613</v>
      </c>
      <c r="AD131" s="29">
        <f t="shared" si="263"/>
        <v>499872.11809968291</v>
      </c>
      <c r="AE131" s="29">
        <f t="shared" si="263"/>
        <v>533472.34989481955</v>
      </c>
      <c r="AF131" s="29">
        <f t="shared" si="263"/>
        <v>568461.40440439759</v>
      </c>
      <c r="AG131" s="29">
        <f t="shared" si="263"/>
        <v>604895.73080584779</v>
      </c>
      <c r="AH131" s="29">
        <f t="shared" si="263"/>
        <v>642834.05416907417</v>
      </c>
      <c r="AI131" s="29">
        <f t="shared" ref="AI131:AJ131" si="264">AI128</f>
        <v>682337.46685066237</v>
      </c>
      <c r="AJ131" s="29">
        <f t="shared" si="264"/>
        <v>18756330.921079278</v>
      </c>
      <c r="AK131" s="622"/>
      <c r="AL131" s="622"/>
      <c r="AM131" s="622"/>
      <c r="AN131" s="622"/>
      <c r="AO131" s="622"/>
      <c r="AP131" s="622"/>
      <c r="AQ131" s="622"/>
      <c r="AR131" s="622"/>
      <c r="AS131" s="622"/>
      <c r="AT131" s="622"/>
      <c r="AU131" s="622"/>
      <c r="AV131" s="622"/>
      <c r="AW131" s="622"/>
      <c r="AX131" s="622"/>
      <c r="AY131" s="622"/>
      <c r="AZ131" s="622"/>
      <c r="BA131" s="622"/>
      <c r="BB131" s="622"/>
      <c r="BC131" s="622"/>
      <c r="BD131" s="622"/>
      <c r="BE131" s="622"/>
      <c r="BF131" s="622"/>
      <c r="BG131" s="622"/>
      <c r="BH131" s="622"/>
      <c r="BI131" s="622"/>
      <c r="BJ131" s="622"/>
      <c r="BK131" s="622"/>
      <c r="BL131" s="622"/>
      <c r="BM131" s="622"/>
      <c r="BN131" s="622"/>
      <c r="BO131" s="622"/>
      <c r="BP131" s="622"/>
      <c r="BQ131" s="622"/>
      <c r="BR131" s="622"/>
      <c r="BS131" s="622"/>
      <c r="BT131" s="622"/>
      <c r="BU131" s="622"/>
      <c r="BV131" s="622"/>
      <c r="BW131" s="622"/>
      <c r="BX131" s="622"/>
      <c r="BY131" s="622"/>
      <c r="BZ131" s="622"/>
    </row>
    <row r="132" spans="2:78" ht="14" x14ac:dyDescent="0.15">
      <c r="C132" s="124" t="s">
        <v>214</v>
      </c>
      <c r="D132" s="121"/>
      <c r="E132" s="123">
        <f t="shared" ref="E132:AH132" si="265">SUM(E130:E131)</f>
        <v>-4019999.580000001</v>
      </c>
      <c r="F132" s="125">
        <f t="shared" si="265"/>
        <v>242827.82506701667</v>
      </c>
      <c r="G132" s="125">
        <f t="shared" si="265"/>
        <v>331136.63586701662</v>
      </c>
      <c r="H132" s="125">
        <f t="shared" si="265"/>
        <v>421906.7648830167</v>
      </c>
      <c r="I132" s="125">
        <f t="shared" si="265"/>
        <v>431618.58541343</v>
      </c>
      <c r="J132" s="125">
        <f t="shared" si="265"/>
        <v>3775326.2733628415</v>
      </c>
      <c r="K132" s="125">
        <f t="shared" si="265"/>
        <v>247796.30164982541</v>
      </c>
      <c r="L132" s="125">
        <f t="shared" si="265"/>
        <v>278743.39614217298</v>
      </c>
      <c r="M132" s="125">
        <f t="shared" si="265"/>
        <v>310989.89706516813</v>
      </c>
      <c r="N132" s="125">
        <f t="shared" si="265"/>
        <v>344589.01112905389</v>
      </c>
      <c r="O132" s="125">
        <f t="shared" si="265"/>
        <v>379596.09792154748</v>
      </c>
      <c r="P132" s="125">
        <f t="shared" si="265"/>
        <v>296812.75651511329</v>
      </c>
      <c r="Q132" s="125">
        <f t="shared" si="265"/>
        <v>334810.9155483814</v>
      </c>
      <c r="R132" s="125">
        <f t="shared" si="265"/>
        <v>374396.92692086007</v>
      </c>
      <c r="S132" s="125">
        <f t="shared" si="265"/>
        <v>415635.66324567457</v>
      </c>
      <c r="T132" s="125">
        <f t="shared" si="265"/>
        <v>458594.61921086686</v>
      </c>
      <c r="U132" s="125">
        <f t="shared" si="265"/>
        <v>503344.01700580039</v>
      </c>
      <c r="V132" s="125">
        <f t="shared" si="265"/>
        <v>549956.91597548744</v>
      </c>
      <c r="W132" s="125">
        <f t="shared" si="265"/>
        <v>598509.32667217648</v>
      </c>
      <c r="X132" s="125">
        <f t="shared" si="265"/>
        <v>649080.32948031288</v>
      </c>
      <c r="Y132" s="125">
        <f t="shared" si="265"/>
        <v>701752.19799802511</v>
      </c>
      <c r="Z132" s="125">
        <f t="shared" si="265"/>
        <v>756610.52736564225</v>
      </c>
      <c r="AA132" s="125">
        <f t="shared" si="265"/>
        <v>813744.36773934367</v>
      </c>
      <c r="AB132" s="125">
        <f t="shared" si="265"/>
        <v>873246.36311600113</v>
      </c>
      <c r="AC132" s="125">
        <f t="shared" si="265"/>
        <v>935212.89572349226</v>
      </c>
      <c r="AD132" s="125">
        <f t="shared" si="265"/>
        <v>999744.23619936581</v>
      </c>
      <c r="AE132" s="125">
        <f t="shared" si="265"/>
        <v>1066944.6997896391</v>
      </c>
      <c r="AF132" s="125">
        <f t="shared" si="265"/>
        <v>1136922.8088087952</v>
      </c>
      <c r="AG132" s="125">
        <f t="shared" si="265"/>
        <v>1209791.4616116956</v>
      </c>
      <c r="AH132" s="125">
        <f t="shared" si="265"/>
        <v>1285668.1083381483</v>
      </c>
      <c r="AI132" s="125">
        <f t="shared" ref="AI132:AJ132" si="266">SUM(AI130:AI131)</f>
        <v>1364674.9337013247</v>
      </c>
      <c r="AJ132" s="125">
        <f t="shared" si="266"/>
        <v>37512661.842158556</v>
      </c>
      <c r="AK132" s="591"/>
      <c r="AL132" s="591"/>
      <c r="AM132" s="591"/>
      <c r="AN132" s="591"/>
      <c r="AO132" s="591"/>
      <c r="AP132" s="591"/>
      <c r="AQ132" s="591"/>
      <c r="AR132" s="591"/>
      <c r="AS132" s="591"/>
      <c r="AT132" s="591"/>
      <c r="AU132" s="591"/>
      <c r="AV132" s="591"/>
      <c r="AW132" s="591"/>
      <c r="AX132" s="591"/>
      <c r="AY132" s="591"/>
      <c r="AZ132" s="591"/>
      <c r="BA132" s="591"/>
      <c r="BB132" s="591"/>
      <c r="BC132" s="591"/>
      <c r="BD132" s="591"/>
      <c r="BE132" s="591"/>
      <c r="BF132" s="591"/>
      <c r="BG132" s="591"/>
      <c r="BH132" s="591"/>
      <c r="BI132" s="591"/>
      <c r="BJ132" s="591"/>
      <c r="BK132" s="591"/>
      <c r="BL132" s="591"/>
      <c r="BM132" s="591"/>
      <c r="BN132" s="591"/>
      <c r="BO132" s="591"/>
      <c r="BP132" s="591"/>
      <c r="BQ132" s="591"/>
      <c r="BR132" s="591"/>
      <c r="BS132" s="591"/>
      <c r="BT132" s="591"/>
      <c r="BU132" s="591"/>
      <c r="BV132" s="591"/>
      <c r="BW132" s="591"/>
      <c r="BX132" s="591"/>
      <c r="BY132" s="591"/>
      <c r="BZ132" s="591"/>
    </row>
    <row r="133" spans="2:78" s="281" customFormat="1" ht="12" x14ac:dyDescent="0.15">
      <c r="B133" s="459"/>
      <c r="C133" s="269"/>
      <c r="D133" s="278"/>
      <c r="E133" s="282" t="s">
        <v>215</v>
      </c>
      <c r="F133" s="279">
        <f t="shared" ref="F133:AH133" si="267">F130/-$E$130</f>
        <v>6.0404937919674266E-2</v>
      </c>
      <c r="G133" s="279">
        <f t="shared" si="267"/>
        <v>8.2372306085419178E-2</v>
      </c>
      <c r="H133" s="279">
        <f t="shared" si="267"/>
        <v>0.10495194252806778</v>
      </c>
      <c r="I133" s="279">
        <f t="shared" si="267"/>
        <v>0.10736781853430688</v>
      </c>
      <c r="J133" s="279">
        <f t="shared" si="267"/>
        <v>0.91035145469347267</v>
      </c>
      <c r="K133" s="279">
        <f t="shared" si="267"/>
        <v>3.0820438748631083E-2</v>
      </c>
      <c r="L133" s="279">
        <f t="shared" si="267"/>
        <v>3.4669580256793571E-2</v>
      </c>
      <c r="M133" s="279">
        <f t="shared" si="267"/>
        <v>3.8680339497096171E-2</v>
      </c>
      <c r="N133" s="279">
        <f t="shared" si="267"/>
        <v>4.2859334220260517E-2</v>
      </c>
      <c r="O133" s="279">
        <f t="shared" si="267"/>
        <v>4.7213449947866339E-2</v>
      </c>
      <c r="P133" s="279">
        <f t="shared" si="267"/>
        <v>3.6917013373806526E-2</v>
      </c>
      <c r="Q133" s="279">
        <f t="shared" si="267"/>
        <v>4.1643153050824611E-2</v>
      </c>
      <c r="R133" s="279">
        <f t="shared" si="267"/>
        <v>4.6566786820517528E-2</v>
      </c>
      <c r="S133" s="279">
        <f t="shared" si="267"/>
        <v>5.1695983416704047E-2</v>
      </c>
      <c r="T133" s="279">
        <f t="shared" si="267"/>
        <v>5.7039137701958009E-2</v>
      </c>
      <c r="U133" s="279">
        <f t="shared" si="267"/>
        <v>6.2604983780346596E-2</v>
      </c>
      <c r="V133" s="279">
        <f t="shared" si="267"/>
        <v>6.8402608636029677E-2</v>
      </c>
      <c r="W133" s="279">
        <f t="shared" si="267"/>
        <v>7.4441466318782096E-2</v>
      </c>
      <c r="X133" s="279">
        <f t="shared" si="267"/>
        <v>8.0731392698343604E-2</v>
      </c>
      <c r="Y133" s="279">
        <f t="shared" si="267"/>
        <v>8.7282620810376424E-2</v>
      </c>
      <c r="Z133" s="279">
        <f t="shared" si="267"/>
        <v>9.4105796817725296E-2</v>
      </c>
      <c r="AA133" s="279">
        <f t="shared" si="267"/>
        <v>0.10121199661161948</v>
      </c>
      <c r="AB133" s="279">
        <f t="shared" si="267"/>
        <v>0.10861274307844591</v>
      </c>
      <c r="AC133" s="279">
        <f t="shared" si="267"/>
        <v>0.11632002405874531</v>
      </c>
      <c r="AD133" s="279">
        <f t="shared" si="267"/>
        <v>0.1243463110261526</v>
      </c>
      <c r="AE133" s="279">
        <f t="shared" si="267"/>
        <v>0.13270457851511006</v>
      </c>
      <c r="AF133" s="279">
        <f t="shared" si="267"/>
        <v>0.14140832432733674</v>
      </c>
      <c r="AG133" s="279">
        <f t="shared" si="267"/>
        <v>0.15047159054823772</v>
      </c>
      <c r="AH133" s="279">
        <f t="shared" si="267"/>
        <v>0.15990898540568355</v>
      </c>
      <c r="AI133" s="279">
        <f t="shared" ref="AI133:AJ133" si="268">AI130/-$E$130</f>
        <v>0.16973570600489024</v>
      </c>
      <c r="AJ133" s="279">
        <f t="shared" si="268"/>
        <v>4.6657544479343631</v>
      </c>
      <c r="AK133" s="280"/>
      <c r="AL133" s="280"/>
      <c r="AM133" s="280"/>
      <c r="AN133" s="280"/>
      <c r="AO133" s="280"/>
      <c r="AP133" s="280"/>
      <c r="AQ133" s="280"/>
      <c r="AR133" s="280"/>
      <c r="AS133" s="280"/>
      <c r="AT133" s="280"/>
      <c r="AU133" s="280"/>
      <c r="AV133" s="280"/>
      <c r="AW133" s="280"/>
      <c r="AX133" s="280"/>
      <c r="AY133" s="280"/>
      <c r="AZ133" s="280"/>
      <c r="BA133" s="280"/>
      <c r="BB133" s="280"/>
      <c r="BC133" s="280"/>
      <c r="BD133" s="280"/>
      <c r="BE133" s="280"/>
      <c r="BF133" s="280"/>
      <c r="BG133" s="280"/>
      <c r="BH133" s="280"/>
      <c r="BI133" s="280"/>
      <c r="BJ133" s="280"/>
      <c r="BK133" s="280"/>
      <c r="BL133" s="280"/>
      <c r="BM133" s="280"/>
      <c r="BN133" s="280"/>
      <c r="BO133" s="280"/>
      <c r="BP133" s="280"/>
      <c r="BQ133" s="280"/>
      <c r="BR133" s="280"/>
      <c r="BS133" s="280"/>
      <c r="BT133" s="280"/>
      <c r="BU133" s="280"/>
      <c r="BV133" s="280"/>
      <c r="BW133" s="280"/>
      <c r="BX133" s="280"/>
      <c r="BY133" s="280"/>
      <c r="BZ133" s="280"/>
    </row>
    <row r="134" spans="2:78" x14ac:dyDescent="0.15">
      <c r="C134" s="7" t="s">
        <v>120</v>
      </c>
      <c r="D134" s="33">
        <f>IRR(E130:AJ130)</f>
        <v>0.13925735435712761</v>
      </c>
      <c r="E134" s="592"/>
      <c r="F134" s="622"/>
      <c r="G134" s="263" t="str">
        <f>"Cumm.= "&amp;TEXT((SUM($F133:G133)),"0.0%")</f>
        <v>Cumm.= 14.3%</v>
      </c>
      <c r="H134" s="263" t="str">
        <f>"Cumm.= "&amp;TEXT((SUM($F133:H133)),"0.0%")</f>
        <v>Cumm.= 24.8%</v>
      </c>
      <c r="I134" s="263" t="str">
        <f>"Cumm.= "&amp;TEXT((SUM($F133:I133)),"0.0%")</f>
        <v>Cumm.= 35.5%</v>
      </c>
      <c r="J134" s="263" t="str">
        <f>"Cumm.= "&amp;TEXT((SUM($F133:J133)),"0.0%")</f>
        <v>Cumm.= 126.5%</v>
      </c>
      <c r="K134" s="263" t="str">
        <f>"Cumm.= "&amp;TEXT((SUM($F133:K133)),"0.0%")</f>
        <v>Cumm.= 129.6%</v>
      </c>
      <c r="L134" s="263" t="str">
        <f>"Cumm.= "&amp;TEXT((SUM($F133:L133)),"0.0%")</f>
        <v>Cumm.= 133.1%</v>
      </c>
      <c r="M134" s="263" t="str">
        <f>"Cumm.= "&amp;TEXT((SUM($F133:M133)),"0.0%")</f>
        <v>Cumm.= 137.0%</v>
      </c>
      <c r="N134" s="263" t="str">
        <f>"Cumm.= "&amp;TEXT((SUM($F133:N133)),"0.0%")</f>
        <v>Cumm.= 141.2%</v>
      </c>
      <c r="O134" s="263" t="str">
        <f>"Cumm.= "&amp;TEXT((SUM($F133:O133)),"0.0%")</f>
        <v>Cumm.= 146.0%</v>
      </c>
      <c r="P134" s="263" t="str">
        <f>"Cumm.= "&amp;TEXT((SUM($F133:P133)),"0.0%")</f>
        <v>Cumm.= 149.7%</v>
      </c>
      <c r="Q134" s="263" t="str">
        <f>"Cumm.= "&amp;TEXT((SUM($F133:Q133)),"0.0%")</f>
        <v>Cumm.= 153.8%</v>
      </c>
      <c r="R134" s="263" t="str">
        <f>"Cumm.= "&amp;TEXT((SUM($F133:R133)),"0.0%")</f>
        <v>Cumm.= 158.5%</v>
      </c>
      <c r="S134" s="263" t="str">
        <f>"Cumm.= "&amp;TEXT((SUM($F133:S133)),"0.0%")</f>
        <v>Cumm.= 163.7%</v>
      </c>
      <c r="T134" s="263" t="str">
        <f>"Cumm.= "&amp;TEXT((SUM($F133:T133)),"0.0%")</f>
        <v>Cumm.= 169.4%</v>
      </c>
      <c r="U134" s="263" t="str">
        <f>"Cumm.= "&amp;TEXT((SUM($F133:U133)),"0.0%")</f>
        <v>Cumm.= 175.6%</v>
      </c>
      <c r="V134" s="263" t="str">
        <f>"Cumm.= "&amp;TEXT((SUM($F133:V133)),"0.0%")</f>
        <v>Cumm.= 182.5%</v>
      </c>
      <c r="W134" s="263" t="str">
        <f>"Cumm.= "&amp;TEXT((SUM($F133:W133)),"0.0%")</f>
        <v>Cumm.= 189.9%</v>
      </c>
      <c r="X134" s="263" t="str">
        <f>"Cumm.= "&amp;TEXT((SUM($F133:X133)),"0.0%")</f>
        <v>Cumm.= 198.0%</v>
      </c>
      <c r="Y134" s="263" t="str">
        <f>"Cumm.= "&amp;TEXT((SUM($F133:Y133)),"0.0%")</f>
        <v>Cumm.= 206.7%</v>
      </c>
      <c r="Z134" s="263" t="str">
        <f>"Cumm.= "&amp;TEXT((SUM($F133:Z133)),"0.0%")</f>
        <v>Cumm.= 216.1%</v>
      </c>
      <c r="AA134" s="263" t="str">
        <f>"Cumm.= "&amp;TEXT((SUM($F133:AA133)),"0.0%")</f>
        <v>Cumm.= 226.2%</v>
      </c>
      <c r="AB134" s="263" t="str">
        <f>"Cumm.= "&amp;TEXT((SUM($F133:AB133)),"0.0%")</f>
        <v>Cumm.= 237.1%</v>
      </c>
      <c r="AC134" s="263" t="str">
        <f>"Cumm.= "&amp;TEXT((SUM($F133:AC133)),"0.0%")</f>
        <v>Cumm.= 248.7%</v>
      </c>
      <c r="AD134" s="263" t="str">
        <f>"Cumm.= "&amp;TEXT((SUM($F133:AD133)),"0.0%")</f>
        <v>Cumm.= 261.2%</v>
      </c>
      <c r="AE134" s="263" t="str">
        <f>"Cumm.= "&amp;TEXT((SUM($F133:AE133)),"0.0%")</f>
        <v>Cumm.= 274.4%</v>
      </c>
      <c r="AF134" s="263" t="str">
        <f>"Cumm.= "&amp;TEXT((SUM($F133:AF133)),"0.0%")</f>
        <v>Cumm.= 288.6%</v>
      </c>
      <c r="AG134" s="263" t="str">
        <f>"Cumm.= "&amp;TEXT((SUM($F133:AG133)),"0.0%")</f>
        <v>Cumm.= 303.6%</v>
      </c>
      <c r="AH134" s="263" t="str">
        <f>"Cumm.= "&amp;TEXT((SUM($F133:AH133)),"0.0%")</f>
        <v>Cumm.= 319.6%</v>
      </c>
      <c r="AI134" s="263" t="str">
        <f>"Cumm.= "&amp;TEXT((SUM($F133:AI133)),"0.0%")</f>
        <v>Cumm.= 336.6%</v>
      </c>
      <c r="AJ134" s="263" t="str">
        <f>"Cumm.= "&amp;TEXT((SUM($F133:AJ133)),"0.0%")</f>
        <v>Cumm.= 803.2%</v>
      </c>
      <c r="AK134" s="622"/>
      <c r="AL134" s="622"/>
      <c r="AM134" s="622"/>
      <c r="AN134" s="622"/>
      <c r="AO134" s="622"/>
      <c r="AP134" s="622"/>
      <c r="AQ134" s="622"/>
      <c r="AR134" s="622"/>
      <c r="AS134" s="622"/>
      <c r="AT134" s="622"/>
      <c r="AU134" s="622"/>
      <c r="AV134" s="622"/>
      <c r="AW134" s="622"/>
      <c r="AX134" s="622"/>
      <c r="AY134" s="622"/>
      <c r="AZ134" s="622"/>
      <c r="BA134" s="622"/>
      <c r="BB134" s="622"/>
      <c r="BC134" s="622"/>
      <c r="BD134" s="622"/>
      <c r="BE134" s="622"/>
      <c r="BF134" s="622"/>
      <c r="BG134" s="622"/>
      <c r="BH134" s="622"/>
      <c r="BI134" s="622"/>
      <c r="BJ134" s="622"/>
      <c r="BK134" s="622"/>
      <c r="BL134" s="622"/>
      <c r="BM134" s="622"/>
      <c r="BN134" s="622"/>
      <c r="BO134" s="622"/>
      <c r="BP134" s="622"/>
      <c r="BQ134" s="622"/>
      <c r="BR134" s="622"/>
      <c r="BS134" s="622"/>
      <c r="BT134" s="622"/>
      <c r="BU134" s="622"/>
      <c r="BV134" s="622"/>
      <c r="BW134" s="622"/>
      <c r="BX134" s="622"/>
      <c r="BY134" s="622"/>
      <c r="BZ134" s="622"/>
    </row>
    <row r="135" spans="2:78" x14ac:dyDescent="0.15">
      <c r="C135" s="7"/>
      <c r="D135" s="24"/>
      <c r="E135" s="621"/>
      <c r="F135" s="622"/>
      <c r="G135" s="622"/>
      <c r="H135" s="622"/>
      <c r="I135" s="622"/>
      <c r="J135" s="622"/>
      <c r="K135" s="622"/>
      <c r="L135" s="622"/>
      <c r="M135" s="622"/>
      <c r="N135" s="622"/>
      <c r="O135" s="622"/>
      <c r="P135" s="591"/>
      <c r="Q135" s="622"/>
      <c r="R135" s="622"/>
      <c r="S135" s="622"/>
      <c r="T135" s="622"/>
      <c r="U135" s="622"/>
      <c r="V135" s="622"/>
      <c r="W135" s="622"/>
      <c r="X135" s="622"/>
      <c r="Y135" s="622"/>
      <c r="Z135" s="622"/>
      <c r="AA135" s="622"/>
      <c r="AB135" s="622"/>
      <c r="AC135" s="622"/>
      <c r="AD135" s="622"/>
      <c r="AE135" s="622"/>
      <c r="AF135" s="622"/>
      <c r="AG135" s="622"/>
      <c r="AH135" s="622"/>
      <c r="AI135" s="622"/>
      <c r="AJ135" s="622"/>
      <c r="AK135" s="622"/>
      <c r="AL135" s="622"/>
      <c r="AM135" s="622"/>
      <c r="AN135" s="622"/>
      <c r="AO135" s="622"/>
      <c r="AP135" s="622"/>
      <c r="AQ135" s="622"/>
      <c r="AR135" s="622"/>
      <c r="AS135" s="622"/>
      <c r="AT135" s="622"/>
      <c r="AU135" s="622"/>
      <c r="AV135" s="622"/>
      <c r="AW135" s="622"/>
      <c r="AX135" s="622"/>
      <c r="AY135" s="622"/>
      <c r="AZ135" s="622"/>
      <c r="BA135" s="622"/>
      <c r="BB135" s="622"/>
      <c r="BC135" s="622"/>
      <c r="BD135" s="622"/>
      <c r="BE135" s="622"/>
      <c r="BF135" s="622"/>
      <c r="BG135" s="622"/>
      <c r="BH135" s="622"/>
      <c r="BI135" s="622"/>
      <c r="BJ135" s="622"/>
      <c r="BK135" s="622"/>
      <c r="BL135" s="622"/>
      <c r="BM135" s="622"/>
      <c r="BN135" s="622"/>
      <c r="BO135" s="622"/>
      <c r="BP135" s="622"/>
      <c r="BQ135" s="622"/>
      <c r="BR135" s="622"/>
      <c r="BS135" s="622"/>
      <c r="BT135" s="622"/>
      <c r="BU135" s="622"/>
      <c r="BV135" s="622"/>
      <c r="BW135" s="622"/>
      <c r="BX135" s="622"/>
      <c r="BY135" s="622"/>
      <c r="BZ135" s="622"/>
    </row>
    <row r="136" spans="2:78" x14ac:dyDescent="0.15">
      <c r="C136" s="591" t="s">
        <v>216</v>
      </c>
      <c r="D136" s="8">
        <f>SUM(F130:J130)</f>
        <v>5087102.2767506298</v>
      </c>
      <c r="E136" s="621"/>
      <c r="F136" s="622"/>
      <c r="G136" s="622"/>
      <c r="H136" s="622"/>
      <c r="I136" s="622"/>
      <c r="J136" s="622"/>
      <c r="K136" s="622"/>
      <c r="L136" s="622"/>
      <c r="M136" s="622"/>
      <c r="N136" s="622"/>
      <c r="O136" s="622"/>
      <c r="P136" s="622"/>
      <c r="Q136" s="622"/>
      <c r="R136" s="622"/>
      <c r="S136" s="622"/>
      <c r="T136" s="622"/>
      <c r="U136" s="622"/>
      <c r="V136" s="622"/>
      <c r="W136" s="622"/>
      <c r="X136" s="622"/>
      <c r="Y136" s="622"/>
      <c r="Z136" s="622"/>
      <c r="AA136" s="622"/>
      <c r="AB136" s="622"/>
      <c r="AC136" s="622"/>
      <c r="AD136" s="622"/>
      <c r="AE136" s="622"/>
      <c r="AF136" s="622"/>
      <c r="AG136" s="622"/>
      <c r="AH136" s="622"/>
      <c r="AI136" s="622"/>
      <c r="AJ136" s="622"/>
      <c r="AK136" s="622"/>
      <c r="AL136" s="622"/>
      <c r="AM136" s="622"/>
      <c r="AN136" s="622"/>
      <c r="AO136" s="622"/>
      <c r="AP136" s="622"/>
      <c r="AQ136" s="622"/>
      <c r="AR136" s="622"/>
      <c r="AS136" s="622"/>
      <c r="AT136" s="622"/>
      <c r="AU136" s="622"/>
      <c r="AV136" s="622"/>
      <c r="AW136" s="622"/>
      <c r="AX136" s="622"/>
      <c r="AY136" s="622"/>
      <c r="AZ136" s="622"/>
      <c r="BA136" s="622"/>
      <c r="BB136" s="622"/>
      <c r="BC136" s="622"/>
      <c r="BD136" s="622"/>
      <c r="BE136" s="622"/>
      <c r="BF136" s="622"/>
      <c r="BG136" s="622"/>
      <c r="BH136" s="622"/>
      <c r="BI136" s="622"/>
      <c r="BJ136" s="622"/>
      <c r="BK136" s="622"/>
      <c r="BL136" s="622"/>
      <c r="BM136" s="622"/>
      <c r="BN136" s="622"/>
      <c r="BO136" s="622"/>
      <c r="BP136" s="622"/>
      <c r="BQ136" s="622"/>
      <c r="BR136" s="622"/>
      <c r="BS136" s="622"/>
      <c r="BT136" s="622"/>
      <c r="BU136" s="622"/>
      <c r="BV136" s="622"/>
      <c r="BW136" s="622"/>
      <c r="BX136" s="622"/>
      <c r="BY136" s="622"/>
      <c r="BZ136" s="622"/>
    </row>
    <row r="137" spans="2:78" x14ac:dyDescent="0.15">
      <c r="C137" s="591" t="s">
        <v>217</v>
      </c>
      <c r="D137" s="8">
        <f>SUM(F131:J131)</f>
        <v>115713.80784269143</v>
      </c>
      <c r="E137" s="621"/>
      <c r="F137" s="622"/>
      <c r="G137" s="622"/>
      <c r="H137" s="622"/>
      <c r="I137" s="622"/>
      <c r="J137" s="622"/>
      <c r="K137" s="622"/>
      <c r="L137" s="622"/>
      <c r="M137" s="622"/>
      <c r="N137" s="622"/>
      <c r="O137" s="622"/>
      <c r="P137" s="622"/>
      <c r="Q137" s="622"/>
      <c r="R137" s="622"/>
      <c r="S137" s="622"/>
      <c r="T137" s="622"/>
      <c r="U137" s="622"/>
      <c r="V137" s="622"/>
      <c r="W137" s="622"/>
      <c r="X137" s="622"/>
      <c r="Y137" s="622"/>
      <c r="Z137" s="622"/>
      <c r="AA137" s="622"/>
      <c r="AB137" s="622"/>
      <c r="AC137" s="622"/>
      <c r="AD137" s="622"/>
      <c r="AE137" s="622"/>
      <c r="AF137" s="622"/>
      <c r="AG137" s="622"/>
      <c r="AH137" s="622"/>
      <c r="AI137" s="622"/>
      <c r="AJ137" s="622"/>
      <c r="AK137" s="622"/>
      <c r="AL137" s="622"/>
      <c r="AM137" s="622"/>
      <c r="AN137" s="622"/>
      <c r="AO137" s="622"/>
      <c r="AP137" s="622"/>
      <c r="AQ137" s="622"/>
      <c r="AR137" s="622"/>
      <c r="AS137" s="622"/>
      <c r="AT137" s="622"/>
      <c r="AU137" s="622"/>
      <c r="AV137" s="622"/>
      <c r="AW137" s="622"/>
      <c r="AX137" s="622"/>
      <c r="AY137" s="622"/>
      <c r="AZ137" s="622"/>
      <c r="BA137" s="622"/>
      <c r="BB137" s="622"/>
      <c r="BC137" s="622"/>
      <c r="BD137" s="622"/>
      <c r="BE137" s="622"/>
      <c r="BF137" s="622"/>
      <c r="BG137" s="622"/>
      <c r="BH137" s="622"/>
      <c r="BI137" s="622"/>
      <c r="BJ137" s="622"/>
      <c r="BK137" s="622"/>
      <c r="BL137" s="622"/>
      <c r="BM137" s="622"/>
      <c r="BN137" s="622"/>
      <c r="BO137" s="622"/>
      <c r="BP137" s="622"/>
      <c r="BQ137" s="622"/>
      <c r="BR137" s="622"/>
      <c r="BS137" s="622"/>
      <c r="BT137" s="622"/>
      <c r="BU137" s="622"/>
      <c r="BV137" s="622"/>
      <c r="BW137" s="622"/>
      <c r="BX137" s="622"/>
      <c r="BY137" s="622"/>
      <c r="BZ137" s="622"/>
    </row>
    <row r="138" spans="2:78" x14ac:dyDescent="0.15">
      <c r="C138" s="10"/>
      <c r="D138" s="24"/>
      <c r="E138" s="591"/>
      <c r="F138" s="622"/>
      <c r="G138" s="622"/>
      <c r="H138" s="622"/>
      <c r="I138" s="622"/>
      <c r="J138" s="622"/>
      <c r="K138" s="622"/>
      <c r="L138" s="622"/>
      <c r="M138" s="622"/>
      <c r="N138" s="622"/>
      <c r="O138" s="622"/>
      <c r="P138" s="622"/>
      <c r="Q138" s="622"/>
      <c r="R138" s="622"/>
      <c r="S138" s="622"/>
      <c r="T138" s="622"/>
      <c r="U138" s="622"/>
      <c r="V138" s="622"/>
      <c r="W138" s="622"/>
      <c r="X138" s="622"/>
      <c r="Y138" s="622"/>
      <c r="Z138" s="622"/>
      <c r="AA138" s="622"/>
      <c r="AB138" s="622"/>
      <c r="AC138" s="622"/>
      <c r="AD138" s="622"/>
      <c r="AE138" s="622"/>
      <c r="AF138" s="622"/>
      <c r="AG138" s="622"/>
      <c r="AH138" s="622"/>
      <c r="AI138" s="622"/>
      <c r="AJ138" s="622"/>
      <c r="AK138" s="622"/>
      <c r="AL138" s="622"/>
      <c r="AM138" s="622"/>
      <c r="AN138" s="622"/>
      <c r="AO138" s="622"/>
      <c r="AP138" s="622"/>
      <c r="AQ138" s="622"/>
      <c r="AR138" s="622"/>
      <c r="AS138" s="622"/>
      <c r="AT138" s="622"/>
      <c r="AU138" s="622"/>
      <c r="AV138" s="622"/>
      <c r="AW138" s="622"/>
      <c r="AX138" s="622"/>
      <c r="AY138" s="622"/>
      <c r="AZ138" s="622"/>
      <c r="BA138" s="622"/>
      <c r="BB138" s="622"/>
      <c r="BC138" s="622"/>
      <c r="BD138" s="622"/>
      <c r="BE138" s="622"/>
      <c r="BF138" s="622"/>
      <c r="BG138" s="622"/>
      <c r="BH138" s="622"/>
      <c r="BI138" s="622"/>
      <c r="BJ138" s="622"/>
      <c r="BK138" s="622"/>
      <c r="BL138" s="622"/>
      <c r="BM138" s="622"/>
      <c r="BN138" s="622"/>
      <c r="BO138" s="622"/>
      <c r="BP138" s="622"/>
      <c r="BQ138" s="622"/>
      <c r="BR138" s="622"/>
      <c r="BS138" s="622"/>
      <c r="BT138" s="622"/>
      <c r="BU138" s="622"/>
      <c r="BV138" s="622"/>
      <c r="BW138" s="622"/>
      <c r="BX138" s="622"/>
      <c r="BY138" s="622"/>
      <c r="BZ138" s="622"/>
    </row>
    <row r="139" spans="2:78" x14ac:dyDescent="0.15">
      <c r="C139" s="7" t="s">
        <v>218</v>
      </c>
      <c r="D139" s="24"/>
      <c r="E139" s="591"/>
      <c r="F139" s="622"/>
      <c r="G139" s="622"/>
      <c r="H139" s="622"/>
      <c r="I139" s="622"/>
      <c r="J139" s="622"/>
      <c r="K139" s="622"/>
      <c r="L139" s="622"/>
      <c r="M139" s="622"/>
      <c r="N139" s="622"/>
      <c r="O139" s="622"/>
      <c r="P139" s="622"/>
      <c r="Q139" s="622"/>
      <c r="R139" s="622"/>
      <c r="S139" s="622"/>
      <c r="T139" s="622"/>
      <c r="U139" s="622"/>
      <c r="V139" s="622"/>
      <c r="W139" s="622"/>
      <c r="X139" s="622"/>
      <c r="Y139" s="622"/>
      <c r="Z139" s="622"/>
      <c r="AA139" s="622"/>
      <c r="AB139" s="622"/>
      <c r="AC139" s="622"/>
      <c r="AD139" s="622"/>
      <c r="AE139" s="622"/>
      <c r="AF139" s="622"/>
      <c r="AG139" s="622"/>
      <c r="AH139" s="622"/>
      <c r="AI139" s="622"/>
      <c r="AJ139" s="622"/>
      <c r="AK139" s="622"/>
      <c r="AL139" s="622"/>
      <c r="AM139" s="622"/>
      <c r="AN139" s="622"/>
      <c r="AO139" s="622"/>
      <c r="AP139" s="622"/>
      <c r="AQ139" s="622"/>
      <c r="AR139" s="622"/>
      <c r="AS139" s="622"/>
      <c r="AT139" s="622"/>
      <c r="AU139" s="622"/>
      <c r="AV139" s="622"/>
      <c r="AW139" s="622"/>
      <c r="AX139" s="622"/>
      <c r="AY139" s="622"/>
      <c r="AZ139" s="622"/>
      <c r="BA139" s="622"/>
      <c r="BB139" s="622"/>
      <c r="BC139" s="622"/>
      <c r="BD139" s="622"/>
      <c r="BE139" s="622"/>
      <c r="BF139" s="622"/>
      <c r="BG139" s="622"/>
      <c r="BH139" s="622"/>
      <c r="BI139" s="622"/>
      <c r="BJ139" s="622"/>
      <c r="BK139" s="622"/>
      <c r="BL139" s="622"/>
      <c r="BM139" s="622"/>
      <c r="BN139" s="622"/>
      <c r="BO139" s="622"/>
      <c r="BP139" s="622"/>
      <c r="BQ139" s="622"/>
      <c r="BR139" s="622"/>
      <c r="BS139" s="622"/>
      <c r="BT139" s="622"/>
      <c r="BU139" s="622"/>
      <c r="BV139" s="622"/>
      <c r="BW139" s="622"/>
      <c r="BX139" s="622"/>
      <c r="BY139" s="622"/>
      <c r="BZ139" s="622"/>
    </row>
    <row r="140" spans="2:78" x14ac:dyDescent="0.15">
      <c r="C140" s="594" t="s">
        <v>219</v>
      </c>
      <c r="E140" s="630"/>
      <c r="F140" s="8">
        <f>(IF(N5="Yes",-(MIN(-E130,Notes!D54)),-Notes!D54))-(ResAssets/27.5)-(CommAssets/39)</f>
        <v>-7793301.3659673668</v>
      </c>
      <c r="G140" s="8">
        <f t="shared" ref="G140:AF140" si="269">(-ResAssets/27.5)+(-CommAssets/39)</f>
        <v>-9967.3659673659677</v>
      </c>
      <c r="H140" s="8">
        <f t="shared" si="269"/>
        <v>-9967.3659673659677</v>
      </c>
      <c r="I140" s="8">
        <f t="shared" si="269"/>
        <v>-9967.3659673659677</v>
      </c>
      <c r="J140" s="8">
        <f t="shared" si="269"/>
        <v>-9967.3659673659677</v>
      </c>
      <c r="K140" s="8">
        <f t="shared" si="269"/>
        <v>-9967.3659673659677</v>
      </c>
      <c r="L140" s="8">
        <f t="shared" si="269"/>
        <v>-9967.3659673659677</v>
      </c>
      <c r="M140" s="8">
        <f t="shared" si="269"/>
        <v>-9967.3659673659677</v>
      </c>
      <c r="N140" s="8">
        <f t="shared" si="269"/>
        <v>-9967.3659673659677</v>
      </c>
      <c r="O140" s="8">
        <f t="shared" si="269"/>
        <v>-9967.3659673659677</v>
      </c>
      <c r="P140" s="8">
        <f t="shared" si="269"/>
        <v>-9967.3659673659677</v>
      </c>
      <c r="Q140" s="8">
        <f t="shared" si="269"/>
        <v>-9967.3659673659677</v>
      </c>
      <c r="R140" s="8">
        <f t="shared" si="269"/>
        <v>-9967.3659673659677</v>
      </c>
      <c r="S140" s="8">
        <f t="shared" si="269"/>
        <v>-9967.3659673659677</v>
      </c>
      <c r="T140" s="8">
        <f t="shared" si="269"/>
        <v>-9967.3659673659677</v>
      </c>
      <c r="U140" s="8">
        <f t="shared" si="269"/>
        <v>-9967.3659673659677</v>
      </c>
      <c r="V140" s="8">
        <f t="shared" si="269"/>
        <v>-9967.3659673659677</v>
      </c>
      <c r="W140" s="8">
        <f t="shared" si="269"/>
        <v>-9967.3659673659677</v>
      </c>
      <c r="X140" s="8">
        <f t="shared" si="269"/>
        <v>-9967.3659673659677</v>
      </c>
      <c r="Y140" s="8">
        <f t="shared" si="269"/>
        <v>-9967.3659673659677</v>
      </c>
      <c r="Z140" s="8">
        <f t="shared" si="269"/>
        <v>-9967.3659673659677</v>
      </c>
      <c r="AA140" s="8">
        <f t="shared" si="269"/>
        <v>-9967.3659673659677</v>
      </c>
      <c r="AB140" s="8">
        <f t="shared" si="269"/>
        <v>-9967.3659673659677</v>
      </c>
      <c r="AC140" s="8">
        <f t="shared" si="269"/>
        <v>-9967.3659673659677</v>
      </c>
      <c r="AD140" s="8">
        <f t="shared" si="269"/>
        <v>-9967.3659673659677</v>
      </c>
      <c r="AE140" s="8">
        <f t="shared" si="269"/>
        <v>-9967.3659673659677</v>
      </c>
      <c r="AF140" s="8">
        <f t="shared" si="269"/>
        <v>-9967.3659673659677</v>
      </c>
      <c r="AG140" s="8">
        <f>((-ResAssets/(27.5))/2)+(-CommAssets/39)</f>
        <v>-5240.0932400932397</v>
      </c>
      <c r="AH140" s="8">
        <f>-CommAssets/39</f>
        <v>-512.82051282051282</v>
      </c>
      <c r="AI140" s="8">
        <f>-CommAssets/39</f>
        <v>-512.82051282051282</v>
      </c>
      <c r="AJ140" s="8">
        <f>-CommAssets/39</f>
        <v>-512.82051282051282</v>
      </c>
      <c r="AK140" s="591"/>
      <c r="AL140" s="591"/>
      <c r="AM140" s="591"/>
      <c r="AN140" s="591"/>
      <c r="AO140" s="591"/>
      <c r="AP140" s="591"/>
      <c r="AQ140" s="591"/>
      <c r="AR140" s="591"/>
      <c r="AS140" s="591"/>
      <c r="AT140" s="591"/>
      <c r="AU140" s="591"/>
      <c r="AV140" s="591"/>
      <c r="AW140" s="591"/>
      <c r="AX140" s="591"/>
      <c r="AY140" s="591"/>
      <c r="AZ140" s="591"/>
      <c r="BA140" s="591"/>
      <c r="BB140" s="591"/>
      <c r="BC140" s="591"/>
      <c r="BD140" s="591"/>
      <c r="BE140" s="591"/>
      <c r="BF140" s="591"/>
      <c r="BG140" s="591"/>
      <c r="BH140" s="591"/>
      <c r="BI140" s="591"/>
      <c r="BJ140" s="591"/>
      <c r="BK140" s="591"/>
      <c r="BL140" s="591"/>
      <c r="BM140" s="591"/>
      <c r="BN140" s="591"/>
      <c r="BO140" s="591"/>
      <c r="BP140" s="591"/>
      <c r="BQ140" s="591"/>
      <c r="BR140" s="591"/>
      <c r="BS140" s="591"/>
      <c r="BT140" s="591"/>
      <c r="BU140" s="591"/>
      <c r="BV140" s="591"/>
      <c r="BW140" s="591"/>
      <c r="BX140" s="591"/>
      <c r="BY140" s="591"/>
      <c r="BZ140" s="591"/>
    </row>
    <row r="141" spans="2:78" x14ac:dyDescent="0.15">
      <c r="C141" s="120" t="s">
        <v>220</v>
      </c>
      <c r="D141" s="121"/>
      <c r="E141" s="122"/>
      <c r="F141" s="123">
        <f>F85-(F96)+F140</f>
        <v>-7669729.5409003505</v>
      </c>
      <c r="G141" s="123">
        <f>G85-(G96)+G140</f>
        <v>201913.26989965068</v>
      </c>
      <c r="H141" s="123">
        <f>H85-(H96)+H140</f>
        <v>292683.39891565073</v>
      </c>
      <c r="I141" s="123">
        <f>I85-(I96)+I140</f>
        <v>379931.09051197063</v>
      </c>
      <c r="J141" s="123">
        <f>J85-(J96)+J140</f>
        <v>420893.95163684437</v>
      </c>
      <c r="K141" s="123">
        <f t="shared" ref="K141:AH141" si="270">(K85-K96)+(K140/2)</f>
        <v>230505.46796974735</v>
      </c>
      <c r="L141" s="123">
        <f t="shared" si="270"/>
        <v>267420.53106333886</v>
      </c>
      <c r="M141" s="123">
        <f t="shared" si="270"/>
        <v>305968.02566879516</v>
      </c>
      <c r="N141" s="123">
        <f t="shared" si="270"/>
        <v>346219.74198969366</v>
      </c>
      <c r="O141" s="123">
        <f t="shared" si="270"/>
        <v>388250.66010472929</v>
      </c>
      <c r="P141" s="123">
        <f t="shared" si="270"/>
        <v>432139.09444161697</v>
      </c>
      <c r="Q141" s="123">
        <f t="shared" si="270"/>
        <v>477966.84495421703</v>
      </c>
      <c r="R141" s="123">
        <f t="shared" si="270"/>
        <v>525819.35532222339</v>
      </c>
      <c r="S141" s="123">
        <f t="shared" si="270"/>
        <v>575785.87850838876</v>
      </c>
      <c r="T141" s="123">
        <f t="shared" si="270"/>
        <v>627959.65002468484</v>
      </c>
      <c r="U141" s="123">
        <f t="shared" si="270"/>
        <v>682438.06927600596</v>
      </c>
      <c r="V141" s="123">
        <f t="shared" si="270"/>
        <v>739322.88936814177</v>
      </c>
      <c r="W141" s="123">
        <f t="shared" si="270"/>
        <v>798720.41578574781</v>
      </c>
      <c r="X141" s="123">
        <f t="shared" si="270"/>
        <v>860741.71436601959</v>
      </c>
      <c r="Y141" s="123">
        <f t="shared" si="270"/>
        <v>925502.82901473506</v>
      </c>
      <c r="Z141" s="123">
        <f t="shared" si="270"/>
        <v>993125.00963339512</v>
      </c>
      <c r="AA141" s="123">
        <f t="shared" si="270"/>
        <v>1063734.9507493041</v>
      </c>
      <c r="AB141" s="123">
        <f t="shared" si="270"/>
        <v>1137465.0413647946</v>
      </c>
      <c r="AC141" s="123">
        <f t="shared" si="270"/>
        <v>1214453.6265673104</v>
      </c>
      <c r="AD141" s="123">
        <f t="shared" si="270"/>
        <v>1294845.2814689539</v>
      </c>
      <c r="AE141" s="123">
        <f t="shared" si="270"/>
        <v>1378791.0980722771</v>
      </c>
      <c r="AF141" s="123">
        <f t="shared" si="270"/>
        <v>1466448.9856887632</v>
      </c>
      <c r="AG141" s="123">
        <f t="shared" si="270"/>
        <v>1560347.621931233</v>
      </c>
      <c r="AH141" s="123">
        <f t="shared" si="270"/>
        <v>1658295.8731523152</v>
      </c>
      <c r="AI141" s="123">
        <f t="shared" ref="AI141:AJ141" si="271">(AI85-AI96)+(AI140/2)</f>
        <v>1758110.4123264614</v>
      </c>
      <c r="AJ141" s="123">
        <f t="shared" si="271"/>
        <v>1862343.3533182088</v>
      </c>
      <c r="AK141" s="591"/>
      <c r="AL141" s="591"/>
      <c r="AM141" s="591"/>
      <c r="AN141" s="591"/>
      <c r="AO141" s="591"/>
      <c r="AP141" s="591"/>
      <c r="AQ141" s="591"/>
      <c r="AR141" s="591"/>
      <c r="AS141" s="591"/>
      <c r="AT141" s="591"/>
      <c r="AU141" s="591"/>
      <c r="AV141" s="591"/>
      <c r="AW141" s="591"/>
      <c r="AX141" s="591"/>
      <c r="AY141" s="591"/>
      <c r="AZ141" s="591"/>
      <c r="BA141" s="591"/>
      <c r="BB141" s="591"/>
      <c r="BC141" s="591"/>
      <c r="BD141" s="591"/>
      <c r="BE141" s="591"/>
      <c r="BF141" s="591"/>
      <c r="BG141" s="591"/>
      <c r="BH141" s="591"/>
      <c r="BI141" s="591"/>
      <c r="BJ141" s="591"/>
      <c r="BK141" s="591"/>
      <c r="BL141" s="591"/>
      <c r="BM141" s="591"/>
      <c r="BN141" s="591"/>
      <c r="BO141" s="591"/>
      <c r="BP141" s="591"/>
      <c r="BQ141" s="591"/>
      <c r="BR141" s="591"/>
      <c r="BS141" s="591"/>
      <c r="BT141" s="591"/>
      <c r="BU141" s="591"/>
      <c r="BV141" s="591"/>
      <c r="BW141" s="591"/>
      <c r="BX141" s="591"/>
      <c r="BY141" s="591"/>
      <c r="BZ141" s="591"/>
    </row>
    <row r="142" spans="2:78" x14ac:dyDescent="0.15">
      <c r="C142" s="594" t="s">
        <v>221</v>
      </c>
      <c r="D142" s="77">
        <v>0.4</v>
      </c>
      <c r="E142" s="626"/>
      <c r="F142" s="8">
        <f>-F140*$D$142</f>
        <v>3117320.5463869469</v>
      </c>
      <c r="G142" s="8">
        <f t="shared" ref="G142:AH142" si="272">-G140*$D$142</f>
        <v>3986.9463869463871</v>
      </c>
      <c r="H142" s="8">
        <f t="shared" si="272"/>
        <v>3986.9463869463871</v>
      </c>
      <c r="I142" s="8">
        <f t="shared" si="272"/>
        <v>3986.9463869463871</v>
      </c>
      <c r="J142" s="8">
        <f t="shared" si="272"/>
        <v>3986.9463869463871</v>
      </c>
      <c r="K142" s="8">
        <f t="shared" si="272"/>
        <v>3986.9463869463871</v>
      </c>
      <c r="L142" s="8">
        <f t="shared" si="272"/>
        <v>3986.9463869463871</v>
      </c>
      <c r="M142" s="8">
        <f t="shared" si="272"/>
        <v>3986.9463869463871</v>
      </c>
      <c r="N142" s="8">
        <f t="shared" si="272"/>
        <v>3986.9463869463871</v>
      </c>
      <c r="O142" s="8">
        <f t="shared" si="272"/>
        <v>3986.9463869463871</v>
      </c>
      <c r="P142" s="8">
        <f t="shared" si="272"/>
        <v>3986.9463869463871</v>
      </c>
      <c r="Q142" s="8">
        <f t="shared" si="272"/>
        <v>3986.9463869463871</v>
      </c>
      <c r="R142" s="8">
        <f t="shared" si="272"/>
        <v>3986.9463869463871</v>
      </c>
      <c r="S142" s="8">
        <f t="shared" si="272"/>
        <v>3986.9463869463871</v>
      </c>
      <c r="T142" s="8">
        <f t="shared" si="272"/>
        <v>3986.9463869463871</v>
      </c>
      <c r="U142" s="8">
        <f t="shared" si="272"/>
        <v>3986.9463869463871</v>
      </c>
      <c r="V142" s="8">
        <f t="shared" si="272"/>
        <v>3986.9463869463871</v>
      </c>
      <c r="W142" s="8">
        <f t="shared" si="272"/>
        <v>3986.9463869463871</v>
      </c>
      <c r="X142" s="8">
        <f t="shared" si="272"/>
        <v>3986.9463869463871</v>
      </c>
      <c r="Y142" s="8">
        <f t="shared" si="272"/>
        <v>3986.9463869463871</v>
      </c>
      <c r="Z142" s="8">
        <f t="shared" si="272"/>
        <v>3986.9463869463871</v>
      </c>
      <c r="AA142" s="8">
        <f t="shared" si="272"/>
        <v>3986.9463869463871</v>
      </c>
      <c r="AB142" s="8">
        <f t="shared" si="272"/>
        <v>3986.9463869463871</v>
      </c>
      <c r="AC142" s="8">
        <f t="shared" si="272"/>
        <v>3986.9463869463871</v>
      </c>
      <c r="AD142" s="8">
        <f t="shared" si="272"/>
        <v>3986.9463869463871</v>
      </c>
      <c r="AE142" s="8">
        <f t="shared" si="272"/>
        <v>3986.9463869463871</v>
      </c>
      <c r="AF142" s="8">
        <f t="shared" si="272"/>
        <v>3986.9463869463871</v>
      </c>
      <c r="AG142" s="8">
        <f t="shared" si="272"/>
        <v>2096.0372960372961</v>
      </c>
      <c r="AH142" s="8">
        <f t="shared" si="272"/>
        <v>205.12820512820514</v>
      </c>
      <c r="AI142" s="8">
        <f t="shared" ref="AI142:AJ142" si="273">-AI140*$D$142</f>
        <v>205.12820512820514</v>
      </c>
      <c r="AJ142" s="8">
        <f t="shared" si="273"/>
        <v>205.12820512820514</v>
      </c>
      <c r="AK142" s="591"/>
      <c r="AL142" s="591"/>
      <c r="AM142" s="591"/>
      <c r="AN142" s="591"/>
      <c r="AO142" s="591"/>
      <c r="AP142" s="591"/>
      <c r="AQ142" s="591"/>
      <c r="AR142" s="591"/>
      <c r="AS142" s="591"/>
      <c r="AT142" s="591"/>
      <c r="AU142" s="591"/>
      <c r="AV142" s="591"/>
      <c r="AW142" s="591"/>
      <c r="AX142" s="591"/>
      <c r="AY142" s="591"/>
      <c r="AZ142" s="591"/>
      <c r="BA142" s="591"/>
      <c r="BB142" s="591"/>
      <c r="BC142" s="591"/>
      <c r="BD142" s="591"/>
      <c r="BE142" s="591"/>
      <c r="BF142" s="591"/>
      <c r="BG142" s="591"/>
      <c r="BH142" s="591"/>
      <c r="BI142" s="591"/>
      <c r="BJ142" s="591"/>
      <c r="BK142" s="591"/>
      <c r="BL142" s="591"/>
      <c r="BM142" s="591"/>
      <c r="BN142" s="591"/>
      <c r="BO142" s="591"/>
      <c r="BP142" s="591"/>
      <c r="BQ142" s="591"/>
      <c r="BR142" s="591"/>
      <c r="BS142" s="591"/>
      <c r="BT142" s="591"/>
      <c r="BU142" s="591"/>
      <c r="BV142" s="591"/>
      <c r="BW142" s="591"/>
      <c r="BX142" s="591"/>
      <c r="BY142" s="591"/>
      <c r="BZ142" s="591"/>
    </row>
    <row r="143" spans="2:78" x14ac:dyDescent="0.15">
      <c r="C143" s="594" t="s">
        <v>222</v>
      </c>
      <c r="D143" s="78"/>
      <c r="E143" s="145">
        <f>E130</f>
        <v>-4019999.580000001</v>
      </c>
      <c r="F143" s="145">
        <f t="shared" ref="F143:AH143" si="274">F130+F142</f>
        <v>3360148.3714539637</v>
      </c>
      <c r="G143" s="145">
        <f t="shared" si="274"/>
        <v>335123.58225396299</v>
      </c>
      <c r="H143" s="145">
        <f t="shared" si="274"/>
        <v>425893.71126996307</v>
      </c>
      <c r="I143" s="145">
        <f t="shared" si="274"/>
        <v>435605.53180037637</v>
      </c>
      <c r="J143" s="145">
        <f t="shared" si="274"/>
        <v>3663599.4119070964</v>
      </c>
      <c r="K143" s="145">
        <f t="shared" si="274"/>
        <v>127885.0972118591</v>
      </c>
      <c r="L143" s="145">
        <f t="shared" si="274"/>
        <v>143358.64445803288</v>
      </c>
      <c r="M143" s="145">
        <f t="shared" si="274"/>
        <v>159481.89491953046</v>
      </c>
      <c r="N143" s="145">
        <f t="shared" si="274"/>
        <v>176281.45195147334</v>
      </c>
      <c r="O143" s="145">
        <f t="shared" si="274"/>
        <v>193784.99534772013</v>
      </c>
      <c r="P143" s="145">
        <f t="shared" si="274"/>
        <v>152393.32464450304</v>
      </c>
      <c r="Q143" s="145">
        <f t="shared" si="274"/>
        <v>171392.40416113709</v>
      </c>
      <c r="R143" s="145">
        <f t="shared" si="274"/>
        <v>191185.40984737643</v>
      </c>
      <c r="S143" s="145">
        <f t="shared" si="274"/>
        <v>211804.77800978368</v>
      </c>
      <c r="T143" s="145">
        <f t="shared" si="274"/>
        <v>233284.25599237983</v>
      </c>
      <c r="U143" s="145">
        <f t="shared" si="274"/>
        <v>255658.95488984659</v>
      </c>
      <c r="V143" s="145">
        <f t="shared" si="274"/>
        <v>278965.40437469009</v>
      </c>
      <c r="W143" s="145">
        <f t="shared" si="274"/>
        <v>303241.60972303461</v>
      </c>
      <c r="X143" s="145">
        <f t="shared" si="274"/>
        <v>328527.11112710281</v>
      </c>
      <c r="Y143" s="145">
        <f t="shared" si="274"/>
        <v>354863.04538595892</v>
      </c>
      <c r="Z143" s="145">
        <f t="shared" si="274"/>
        <v>382292.21006976749</v>
      </c>
      <c r="AA143" s="145">
        <f t="shared" si="274"/>
        <v>410859.1302566182</v>
      </c>
      <c r="AB143" s="145">
        <f t="shared" si="274"/>
        <v>440610.12794494693</v>
      </c>
      <c r="AC143" s="145">
        <f t="shared" si="274"/>
        <v>471593.39424869249</v>
      </c>
      <c r="AD143" s="145">
        <f t="shared" si="274"/>
        <v>503859.06448662927</v>
      </c>
      <c r="AE143" s="145">
        <f t="shared" si="274"/>
        <v>537459.29628176591</v>
      </c>
      <c r="AF143" s="145">
        <f t="shared" si="274"/>
        <v>572448.35079134395</v>
      </c>
      <c r="AG143" s="145">
        <f t="shared" si="274"/>
        <v>606991.7681018851</v>
      </c>
      <c r="AH143" s="145">
        <f t="shared" si="274"/>
        <v>643039.18237420241</v>
      </c>
      <c r="AI143" s="145">
        <f t="shared" ref="AI143:AJ143" si="275">AI130+AI142</f>
        <v>682542.59505579062</v>
      </c>
      <c r="AJ143" s="145">
        <f t="shared" si="275"/>
        <v>18756536.049284406</v>
      </c>
      <c r="AK143" s="591"/>
      <c r="AL143" s="591"/>
      <c r="AM143" s="591"/>
      <c r="AN143" s="591"/>
      <c r="AO143" s="591"/>
      <c r="AP143" s="591"/>
      <c r="AQ143" s="591"/>
      <c r="AR143" s="591"/>
      <c r="AS143" s="591"/>
      <c r="AT143" s="591"/>
      <c r="AU143" s="591"/>
      <c r="AV143" s="591"/>
      <c r="AW143" s="591"/>
      <c r="AX143" s="591"/>
      <c r="AY143" s="591"/>
      <c r="AZ143" s="591"/>
      <c r="BA143" s="591"/>
      <c r="BB143" s="591"/>
      <c r="BC143" s="591"/>
      <c r="BD143" s="591"/>
      <c r="BE143" s="591"/>
      <c r="BF143" s="591"/>
      <c r="BG143" s="591"/>
      <c r="BH143" s="591"/>
      <c r="BI143" s="591"/>
      <c r="BJ143" s="591"/>
      <c r="BK143" s="591"/>
      <c r="BL143" s="591"/>
      <c r="BM143" s="591"/>
      <c r="BN143" s="591"/>
      <c r="BO143" s="591"/>
      <c r="BP143" s="591"/>
      <c r="BQ143" s="591"/>
      <c r="BR143" s="591"/>
      <c r="BS143" s="591"/>
      <c r="BT143" s="591"/>
      <c r="BU143" s="591"/>
      <c r="BV143" s="591"/>
      <c r="BW143" s="591"/>
      <c r="BX143" s="591"/>
      <c r="BY143" s="591"/>
      <c r="BZ143" s="591"/>
    </row>
    <row r="144" spans="2:78" x14ac:dyDescent="0.15">
      <c r="C144" s="79" t="s">
        <v>223</v>
      </c>
      <c r="D144" s="33">
        <f>IRR(E143:AJ143)</f>
        <v>0.33282125152593678</v>
      </c>
      <c r="E144" s="591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591"/>
      <c r="AL144" s="591"/>
      <c r="AM144" s="591"/>
      <c r="AN144" s="591"/>
      <c r="AO144" s="591"/>
      <c r="AP144" s="591"/>
      <c r="AQ144" s="591"/>
      <c r="AR144" s="591"/>
      <c r="AS144" s="591"/>
      <c r="AT144" s="591"/>
      <c r="AU144" s="591"/>
      <c r="AV144" s="591"/>
      <c r="AW144" s="591"/>
      <c r="AX144" s="591"/>
      <c r="AY144" s="591"/>
      <c r="AZ144" s="591"/>
      <c r="BA144" s="591"/>
      <c r="BB144" s="591"/>
      <c r="BC144" s="591"/>
      <c r="BD144" s="591"/>
      <c r="BE144" s="591"/>
      <c r="BF144" s="591"/>
      <c r="BG144" s="591"/>
      <c r="BH144" s="591"/>
      <c r="BI144" s="591"/>
      <c r="BJ144" s="591"/>
      <c r="BK144" s="591"/>
      <c r="BL144" s="591"/>
      <c r="BM144" s="591"/>
      <c r="BN144" s="591"/>
      <c r="BO144" s="591"/>
      <c r="BP144" s="591"/>
      <c r="BQ144" s="591"/>
      <c r="BR144" s="591"/>
      <c r="BS144" s="591"/>
      <c r="BT144" s="591"/>
      <c r="BU144" s="591"/>
      <c r="BV144" s="591"/>
      <c r="BW144" s="591"/>
      <c r="BX144" s="591"/>
      <c r="BY144" s="591"/>
      <c r="BZ144" s="591"/>
    </row>
    <row r="145" spans="1:36" x14ac:dyDescent="0.15">
      <c r="A145" s="591"/>
      <c r="C145" s="591"/>
      <c r="E145" s="591"/>
      <c r="F145" s="9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</row>
    <row r="146" spans="1:36" x14ac:dyDescent="0.15">
      <c r="A146" s="591"/>
      <c r="C146" s="591"/>
      <c r="E146" s="591"/>
      <c r="F146" s="591"/>
      <c r="G146" s="591"/>
      <c r="H146" s="591"/>
      <c r="I146" s="591"/>
      <c r="J146" s="631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  <c r="AA146" s="632"/>
      <c r="AB146" s="632"/>
      <c r="AC146" s="591"/>
      <c r="AD146" s="591"/>
      <c r="AE146" s="591"/>
      <c r="AF146" s="591"/>
      <c r="AG146" s="591"/>
      <c r="AH146" s="591"/>
      <c r="AI146" s="591"/>
      <c r="AJ146" s="591"/>
    </row>
    <row r="147" spans="1:36" x14ac:dyDescent="0.15">
      <c r="A147" s="591"/>
      <c r="C147" s="591"/>
      <c r="E147" s="591"/>
      <c r="F147" s="591"/>
      <c r="G147" s="591"/>
      <c r="H147" s="591"/>
      <c r="I147" s="591"/>
      <c r="J147" s="631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  <c r="AA147" s="632"/>
      <c r="AB147" s="632"/>
      <c r="AC147" s="591"/>
      <c r="AD147" s="591"/>
      <c r="AE147" s="591"/>
      <c r="AF147" s="591"/>
      <c r="AG147" s="591"/>
      <c r="AH147" s="591"/>
      <c r="AI147" s="591"/>
      <c r="AJ147" s="591"/>
    </row>
    <row r="148" spans="1:36" x14ac:dyDescent="0.15">
      <c r="A148" s="591"/>
      <c r="C148" s="591"/>
      <c r="E148" s="591"/>
      <c r="F148" s="591"/>
      <c r="G148" s="591"/>
      <c r="H148" s="591"/>
      <c r="I148" s="591"/>
      <c r="J148" s="631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  <c r="AA148" s="632"/>
      <c r="AB148" s="632"/>
      <c r="AC148" s="591"/>
      <c r="AD148" s="591"/>
      <c r="AE148" s="591"/>
      <c r="AF148" s="591"/>
      <c r="AG148" s="591"/>
      <c r="AH148" s="591"/>
      <c r="AI148" s="591"/>
      <c r="AJ148" s="591"/>
    </row>
    <row r="149" spans="1:36" x14ac:dyDescent="0.15">
      <c r="A149" s="591"/>
      <c r="C149" s="591"/>
      <c r="E149" s="591"/>
      <c r="F149" s="591"/>
      <c r="G149" s="591"/>
      <c r="H149" s="591"/>
      <c r="I149" s="591"/>
      <c r="J149" s="631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  <c r="AA149" s="632"/>
      <c r="AB149" s="632"/>
      <c r="AC149" s="591"/>
      <c r="AD149" s="591"/>
      <c r="AE149" s="591"/>
      <c r="AF149" s="591"/>
      <c r="AG149" s="591"/>
      <c r="AH149" s="591"/>
      <c r="AI149" s="591"/>
      <c r="AJ149" s="591"/>
    </row>
    <row r="150" spans="1:36" x14ac:dyDescent="0.15">
      <c r="A150" s="591"/>
      <c r="C150" s="591"/>
      <c r="E150" s="591"/>
      <c r="F150" s="591"/>
      <c r="G150" s="591"/>
      <c r="H150" s="591"/>
      <c r="I150" s="591"/>
      <c r="J150" s="631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  <c r="AA150" s="632"/>
      <c r="AB150" s="632"/>
      <c r="AC150" s="591"/>
      <c r="AD150" s="591"/>
      <c r="AE150" s="591"/>
      <c r="AF150" s="591"/>
      <c r="AG150" s="591"/>
      <c r="AH150" s="591"/>
      <c r="AI150" s="591"/>
      <c r="AJ150" s="591"/>
    </row>
    <row r="151" spans="1:36" x14ac:dyDescent="0.15">
      <c r="A151" s="591"/>
      <c r="C151" s="591"/>
      <c r="E151" s="591"/>
      <c r="F151" s="591"/>
      <c r="G151" s="591"/>
      <c r="H151" s="591"/>
      <c r="I151" s="591"/>
      <c r="J151" s="631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  <c r="AA151" s="632"/>
      <c r="AB151" s="632"/>
      <c r="AC151" s="591"/>
      <c r="AD151" s="591"/>
      <c r="AE151" s="591"/>
      <c r="AF151" s="591"/>
      <c r="AG151" s="591"/>
      <c r="AH151" s="591"/>
      <c r="AI151" s="591"/>
      <c r="AJ151" s="591"/>
    </row>
    <row r="152" spans="1:36" x14ac:dyDescent="0.15">
      <c r="A152" s="591"/>
      <c r="C152" s="591"/>
      <c r="E152" s="591"/>
      <c r="F152" s="591"/>
      <c r="G152" s="591"/>
      <c r="H152" s="591"/>
      <c r="I152" s="591"/>
      <c r="J152" s="631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  <c r="AA152" s="632"/>
      <c r="AB152" s="632"/>
      <c r="AC152" s="591"/>
      <c r="AD152" s="591"/>
      <c r="AE152" s="591"/>
      <c r="AF152" s="591"/>
      <c r="AG152" s="591"/>
      <c r="AH152" s="591"/>
      <c r="AI152" s="591"/>
      <c r="AJ152" s="591"/>
    </row>
    <row r="153" spans="1:36" hidden="1" x14ac:dyDescent="0.15">
      <c r="A153" s="591"/>
      <c r="C153" s="591"/>
      <c r="E153" s="591"/>
      <c r="F153" s="591"/>
      <c r="G153" s="591"/>
      <c r="H153" s="591"/>
      <c r="I153" s="591"/>
      <c r="J153" s="631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  <c r="AA153" s="632"/>
      <c r="AB153" s="632"/>
      <c r="AC153" s="591"/>
      <c r="AD153" s="591"/>
      <c r="AE153" s="591"/>
      <c r="AF153" s="591"/>
      <c r="AG153" s="591"/>
      <c r="AH153" s="591"/>
      <c r="AI153" s="591"/>
      <c r="AJ153" s="591"/>
    </row>
    <row r="154" spans="1:36" hidden="1" x14ac:dyDescent="0.15">
      <c r="A154" s="591"/>
      <c r="C154" s="591"/>
      <c r="E154" s="591"/>
      <c r="F154" s="591"/>
      <c r="G154" s="591"/>
      <c r="H154" s="591"/>
      <c r="I154" s="591"/>
      <c r="J154" s="631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  <c r="AA154" s="632"/>
      <c r="AB154" s="632"/>
      <c r="AC154" s="591"/>
      <c r="AD154" s="591"/>
      <c r="AE154" s="591"/>
      <c r="AF154" s="591"/>
      <c r="AG154" s="591"/>
      <c r="AH154" s="591"/>
      <c r="AI154" s="591"/>
      <c r="AJ154" s="591"/>
    </row>
    <row r="155" spans="1:36" s="218" customFormat="1" hidden="1" x14ac:dyDescent="0.15">
      <c r="A155" s="794" t="s">
        <v>224</v>
      </c>
      <c r="B155" s="794"/>
      <c r="C155" s="794"/>
      <c r="D155" s="794"/>
      <c r="E155" s="794"/>
      <c r="F155" s="794"/>
      <c r="G155" s="794"/>
      <c r="H155" s="794"/>
      <c r="I155" s="794"/>
      <c r="J155" s="794"/>
      <c r="K155" s="794"/>
      <c r="L155" s="794"/>
      <c r="M155" s="794"/>
      <c r="N155" s="794"/>
      <c r="O155" s="794"/>
      <c r="P155" s="219"/>
      <c r="Q155" s="219"/>
      <c r="R155" s="219"/>
      <c r="S155" s="219"/>
      <c r="T155" s="219"/>
      <c r="U155" s="219"/>
      <c r="V155" s="633"/>
      <c r="W155" s="633"/>
      <c r="X155" s="633"/>
      <c r="Y155" s="633"/>
      <c r="Z155" s="633"/>
      <c r="AA155" s="633"/>
      <c r="AB155" s="633"/>
      <c r="AC155" s="633"/>
      <c r="AD155" s="633"/>
      <c r="AE155" s="633"/>
      <c r="AF155" s="633"/>
      <c r="AG155" s="633"/>
      <c r="AH155" s="633"/>
      <c r="AI155" s="633"/>
      <c r="AJ155" s="633"/>
    </row>
    <row r="156" spans="1:36" hidden="1" x14ac:dyDescent="0.15">
      <c r="A156" s="591"/>
      <c r="C156" s="591"/>
      <c r="E156" s="591"/>
      <c r="F156" s="11"/>
      <c r="G156" s="11"/>
      <c r="H156" s="591"/>
      <c r="I156" s="59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591"/>
      <c r="W156" s="591"/>
      <c r="X156" s="591"/>
      <c r="Y156" s="591"/>
      <c r="Z156" s="591"/>
      <c r="AA156" s="591"/>
      <c r="AB156" s="591"/>
      <c r="AC156" s="591"/>
      <c r="AD156" s="591"/>
      <c r="AE156" s="591"/>
      <c r="AF156" s="591"/>
      <c r="AG156" s="591"/>
      <c r="AH156" s="591"/>
      <c r="AI156" s="591"/>
      <c r="AJ156" s="591"/>
    </row>
    <row r="157" spans="1:36" ht="15" hidden="1" x14ac:dyDescent="0.2">
      <c r="A157" s="591"/>
      <c r="C157" s="796" t="s">
        <v>225</v>
      </c>
      <c r="D157" s="796"/>
      <c r="E157" s="796"/>
      <c r="F157" s="11"/>
      <c r="G157" s="591"/>
      <c r="H157" s="337" t="s">
        <v>226</v>
      </c>
      <c r="I157" s="338">
        <v>0.03</v>
      </c>
      <c r="J157" s="591"/>
      <c r="K157" s="591"/>
      <c r="L157" s="591"/>
      <c r="M157" s="591"/>
      <c r="N157" s="591"/>
      <c r="O157" s="591"/>
      <c r="P157" s="591"/>
      <c r="Q157" s="591"/>
      <c r="R157" s="591"/>
      <c r="S157" s="11"/>
      <c r="T157" s="11"/>
      <c r="U157" s="11"/>
      <c r="V157" s="591"/>
      <c r="W157" s="591"/>
      <c r="X157" s="591"/>
      <c r="Y157" s="591"/>
      <c r="Z157" s="591"/>
      <c r="AA157" s="591"/>
      <c r="AB157" s="591"/>
      <c r="AC157" s="591"/>
      <c r="AD157" s="591"/>
      <c r="AE157" s="591"/>
      <c r="AF157" s="591"/>
      <c r="AG157" s="591"/>
      <c r="AH157" s="591"/>
      <c r="AI157" s="591"/>
      <c r="AJ157" s="591"/>
    </row>
    <row r="158" spans="1:36" ht="14" hidden="1" thickBot="1" x14ac:dyDescent="0.2">
      <c r="A158" s="591"/>
      <c r="C158" s="591"/>
      <c r="D158" s="150" t="s">
        <v>227</v>
      </c>
      <c r="E158" s="151" t="s">
        <v>140</v>
      </c>
      <c r="F158" s="11"/>
      <c r="G158" s="591"/>
      <c r="H158" s="11"/>
      <c r="I158" s="11"/>
      <c r="J158" s="11"/>
      <c r="K158" s="591"/>
      <c r="L158" s="591"/>
      <c r="M158" s="591"/>
      <c r="N158" s="591"/>
      <c r="O158" s="591"/>
      <c r="P158" s="591"/>
      <c r="Q158" s="591"/>
      <c r="R158" s="591"/>
      <c r="S158" s="591"/>
      <c r="T158" s="591"/>
      <c r="U158" s="591"/>
      <c r="V158" s="591"/>
      <c r="W158" s="591"/>
      <c r="X158" s="591"/>
      <c r="Y158" s="591"/>
      <c r="Z158" s="591"/>
      <c r="AA158" s="591"/>
      <c r="AB158" s="591"/>
      <c r="AC158" s="591"/>
      <c r="AD158" s="591"/>
      <c r="AE158" s="591"/>
      <c r="AF158" s="591"/>
      <c r="AG158" s="591"/>
      <c r="AH158" s="591"/>
      <c r="AI158" s="591"/>
      <c r="AJ158" s="591"/>
    </row>
    <row r="159" spans="1:36" hidden="1" x14ac:dyDescent="0.15">
      <c r="A159" s="591"/>
      <c r="C159" s="591" t="str">
        <f>+C41</f>
        <v>Net Rental Income</v>
      </c>
      <c r="D159" s="148">
        <f>+D29*NoOfSpaces*(1-G15)</f>
        <v>42334</v>
      </c>
      <c r="E159" s="623">
        <f>+D159*12</f>
        <v>508008</v>
      </c>
      <c r="F159" s="11"/>
      <c r="G159" s="591"/>
      <c r="H159" s="11"/>
      <c r="I159" s="11"/>
      <c r="J159" s="11"/>
      <c r="K159" s="11"/>
      <c r="L159" s="11"/>
      <c r="M159" s="591"/>
      <c r="N159" s="591"/>
      <c r="O159" s="591"/>
      <c r="P159" s="591"/>
      <c r="Q159" s="591"/>
      <c r="R159" s="591"/>
      <c r="S159" s="591"/>
      <c r="T159" s="591"/>
      <c r="U159" s="591"/>
      <c r="V159" s="591"/>
      <c r="W159" s="591"/>
      <c r="X159" s="591"/>
      <c r="Y159" s="591"/>
      <c r="Z159" s="591"/>
      <c r="AA159" s="591"/>
      <c r="AB159" s="591"/>
      <c r="AC159" s="591"/>
      <c r="AD159" s="591"/>
      <c r="AE159" s="591"/>
      <c r="AF159" s="591"/>
      <c r="AG159" s="591"/>
      <c r="AH159" s="591"/>
      <c r="AI159" s="591"/>
      <c r="AJ159" s="591"/>
    </row>
    <row r="160" spans="1:36" hidden="1" x14ac:dyDescent="0.15">
      <c r="A160" s="591"/>
      <c r="C160" s="591" t="s">
        <v>139</v>
      </c>
      <c r="D160" s="149">
        <f>+D50/12</f>
        <v>11471.5</v>
      </c>
      <c r="E160" s="623">
        <f t="shared" ref="E160:E162" si="276">+D160*12</f>
        <v>137658</v>
      </c>
      <c r="F160" s="11"/>
      <c r="G160" s="591"/>
      <c r="H160" s="11"/>
      <c r="I160" s="11"/>
      <c r="J160" s="11"/>
      <c r="K160" s="11"/>
      <c r="L160" s="11"/>
      <c r="M160" s="591"/>
      <c r="N160" s="591"/>
      <c r="O160" s="591"/>
      <c r="P160" s="591"/>
      <c r="Q160" s="591"/>
      <c r="R160" s="591"/>
      <c r="S160" s="591"/>
      <c r="T160" s="591"/>
      <c r="U160" s="591"/>
      <c r="V160" s="591"/>
      <c r="W160" s="591"/>
      <c r="X160" s="591"/>
      <c r="Y160" s="591"/>
      <c r="Z160" s="591"/>
      <c r="AA160" s="591"/>
      <c r="AB160" s="591"/>
      <c r="AC160" s="591"/>
      <c r="AD160" s="591"/>
      <c r="AE160" s="591"/>
      <c r="AF160" s="591"/>
      <c r="AG160" s="591"/>
      <c r="AH160" s="591"/>
      <c r="AI160" s="591"/>
      <c r="AJ160" s="591"/>
    </row>
    <row r="161" spans="3:7" hidden="1" x14ac:dyDescent="0.15">
      <c r="C161" s="615" t="s">
        <v>228</v>
      </c>
      <c r="D161" s="149">
        <f>+E51/12</f>
        <v>0</v>
      </c>
      <c r="E161" s="623">
        <f t="shared" si="276"/>
        <v>0</v>
      </c>
      <c r="F161" s="11"/>
      <c r="G161" s="591"/>
    </row>
    <row r="162" spans="3:7" hidden="1" x14ac:dyDescent="0.15">
      <c r="C162" s="615" t="s">
        <v>229</v>
      </c>
      <c r="D162" s="735">
        <f>SUM(D159:D161)</f>
        <v>53805.5</v>
      </c>
      <c r="E162" s="735">
        <f t="shared" si="276"/>
        <v>645666</v>
      </c>
      <c r="F162" s="591"/>
      <c r="G162" s="591"/>
    </row>
    <row r="163" spans="3:7" hidden="1" x14ac:dyDescent="0.15">
      <c r="C163" s="591" t="s">
        <v>230</v>
      </c>
      <c r="D163" s="629">
        <f>+F80</f>
        <v>25299.896666666667</v>
      </c>
      <c r="E163" s="623">
        <f>+D163*12</f>
        <v>303598.76</v>
      </c>
      <c r="F163" s="591"/>
      <c r="G163" s="591"/>
    </row>
    <row r="164" spans="3:7" hidden="1" x14ac:dyDescent="0.15">
      <c r="C164" s="615" t="s">
        <v>231</v>
      </c>
      <c r="D164" s="736">
        <f>+D162-D163</f>
        <v>28505.603333333333</v>
      </c>
      <c r="E164" s="721">
        <f>+D164*12</f>
        <v>342067.24</v>
      </c>
      <c r="F164" s="591"/>
      <c r="G164" s="340"/>
    </row>
    <row r="165" spans="3:7" hidden="1" x14ac:dyDescent="0.15">
      <c r="C165" s="591" t="s">
        <v>88</v>
      </c>
      <c r="D165" s="591"/>
      <c r="E165" s="634">
        <f>E164/D6</f>
        <v>3.7430327485016776E-2</v>
      </c>
      <c r="F165" s="591"/>
      <c r="G165" s="591"/>
    </row>
    <row r="166" spans="3:7" hidden="1" x14ac:dyDescent="0.15">
      <c r="C166" s="591"/>
      <c r="D166" s="591"/>
      <c r="E166" s="591"/>
      <c r="F166" s="591"/>
      <c r="G166" s="591"/>
    </row>
    <row r="167" spans="3:7" ht="15" hidden="1" x14ac:dyDescent="0.2">
      <c r="C167" s="796" t="s">
        <v>232</v>
      </c>
      <c r="D167" s="796"/>
      <c r="E167" s="796"/>
      <c r="F167" s="796"/>
      <c r="G167" s="591"/>
    </row>
    <row r="168" spans="3:7" ht="14" hidden="1" thickBot="1" x14ac:dyDescent="0.2">
      <c r="C168" s="7"/>
      <c r="D168" s="635" t="s">
        <v>108</v>
      </c>
      <c r="E168" s="635" t="s">
        <v>109</v>
      </c>
      <c r="F168" s="635" t="s">
        <v>110</v>
      </c>
      <c r="G168" s="591"/>
    </row>
    <row r="169" spans="3:7" hidden="1" x14ac:dyDescent="0.15">
      <c r="C169" s="591" t="s">
        <v>233</v>
      </c>
      <c r="D169" s="636">
        <f>E200</f>
        <v>9.1907619803446083E-2</v>
      </c>
      <c r="E169" s="636">
        <f>E208</f>
        <v>0.12385009217364273</v>
      </c>
      <c r="F169" s="636">
        <f>E212</f>
        <v>0.11775460424877249</v>
      </c>
      <c r="G169" s="591"/>
    </row>
    <row r="170" spans="3:7" hidden="1" x14ac:dyDescent="0.15">
      <c r="C170" s="591" t="s">
        <v>234</v>
      </c>
      <c r="D170" s="636">
        <f>E242</f>
        <v>0.14504393676384675</v>
      </c>
      <c r="E170" s="636">
        <f>E291</f>
        <v>0.20115948277237883</v>
      </c>
      <c r="F170" s="636">
        <f>+E340</f>
        <v>0.19889915064877361</v>
      </c>
      <c r="G170" s="591"/>
    </row>
    <row r="171" spans="3:7" hidden="1" x14ac:dyDescent="0.15">
      <c r="C171" s="591" t="s">
        <v>120</v>
      </c>
      <c r="D171" s="636">
        <f>+E259</f>
        <v>9.9998723743233375E-2</v>
      </c>
      <c r="E171" s="636">
        <f>+E308</f>
        <v>0.13629589635225003</v>
      </c>
      <c r="F171" s="636">
        <f>+E357</f>
        <v>0.14898953767875489</v>
      </c>
      <c r="G171" s="591"/>
    </row>
    <row r="172" spans="3:7" ht="12.75" hidden="1" customHeight="1" x14ac:dyDescent="0.15">
      <c r="C172" s="591" t="s">
        <v>235</v>
      </c>
      <c r="D172" s="637" t="str">
        <f>+TEXT(E260,"0.0")&amp;"x"</f>
        <v>1.3x</v>
      </c>
      <c r="E172" s="637" t="str">
        <f>+TEXT(E309,"0.0")&amp;"x"</f>
        <v>1.8x</v>
      </c>
      <c r="F172" s="637" t="str">
        <f>+TEXT(E358,"0.0")&amp;"x"</f>
        <v>2.4x</v>
      </c>
      <c r="G172" s="591"/>
    </row>
    <row r="173" spans="3:7" hidden="1" x14ac:dyDescent="0.15">
      <c r="C173" s="591" t="s">
        <v>236</v>
      </c>
      <c r="D173" s="611">
        <f>ROUND(E261,-3)</f>
        <v>5266000</v>
      </c>
      <c r="E173" s="611">
        <f>ROUND(E310,-3)</f>
        <v>7117000</v>
      </c>
      <c r="F173" s="611">
        <f>ROUND(E359,-3)</f>
        <v>9683000</v>
      </c>
      <c r="G173" s="340"/>
    </row>
    <row r="174" spans="3:7" hidden="1" x14ac:dyDescent="0.15">
      <c r="C174" s="591" t="s">
        <v>237</v>
      </c>
      <c r="D174" s="611">
        <f>ROUND(SUM(F256:H256),-3)</f>
        <v>645000</v>
      </c>
      <c r="E174" s="611">
        <f>ROUND(E311,-3)</f>
        <v>2156000</v>
      </c>
      <c r="F174" s="611">
        <f>ROUND(E360,-3)</f>
        <v>4722000</v>
      </c>
      <c r="G174" s="591"/>
    </row>
    <row r="175" spans="3:7" hidden="1" x14ac:dyDescent="0.15">
      <c r="C175" s="591"/>
      <c r="D175" s="591"/>
      <c r="E175" s="591"/>
      <c r="F175" s="591"/>
      <c r="G175" s="591"/>
    </row>
    <row r="176" spans="3:7" hidden="1" x14ac:dyDescent="0.15">
      <c r="C176" s="795"/>
      <c r="D176" s="795"/>
      <c r="E176" s="591"/>
      <c r="F176" s="11"/>
      <c r="G176" s="591"/>
    </row>
    <row r="177" spans="3:21" hidden="1" x14ac:dyDescent="0.15">
      <c r="C177" s="591"/>
      <c r="D177" s="615"/>
      <c r="E177" s="591"/>
      <c r="F177" s="11"/>
      <c r="G177" s="591"/>
      <c r="H177" s="591"/>
      <c r="I177" s="591"/>
      <c r="J177" s="591"/>
      <c r="K177" s="591"/>
      <c r="L177" s="591"/>
      <c r="M177" s="591"/>
      <c r="N177" s="591"/>
      <c r="O177" s="591"/>
      <c r="P177" s="591"/>
      <c r="Q177" s="591"/>
      <c r="R177" s="591"/>
      <c r="S177" s="591"/>
      <c r="T177" s="591"/>
      <c r="U177" s="591"/>
    </row>
    <row r="178" spans="3:21" hidden="1" x14ac:dyDescent="0.15">
      <c r="C178" s="591"/>
      <c r="D178" s="591"/>
      <c r="E178" s="591"/>
      <c r="F178" s="11"/>
      <c r="G178" s="11"/>
      <c r="H178" s="591"/>
      <c r="I178" s="591"/>
      <c r="J178" s="591"/>
      <c r="K178" s="591"/>
      <c r="L178" s="591"/>
      <c r="M178" s="591"/>
      <c r="N178" s="591"/>
      <c r="O178" s="591"/>
      <c r="P178" s="591"/>
      <c r="Q178" s="591"/>
      <c r="R178" s="591"/>
      <c r="S178" s="591"/>
      <c r="T178" s="591"/>
      <c r="U178" s="591"/>
    </row>
    <row r="179" spans="3:21" hidden="1" x14ac:dyDescent="0.15">
      <c r="C179" s="591"/>
      <c r="D179" s="591"/>
      <c r="E179" s="591"/>
      <c r="F179" s="11"/>
      <c r="G179" s="11"/>
      <c r="H179" s="11"/>
      <c r="I179" s="11"/>
      <c r="J179" s="11"/>
      <c r="K179" s="11"/>
      <c r="L179" s="11"/>
      <c r="M179" s="591"/>
      <c r="N179" s="591"/>
      <c r="O179" s="591"/>
      <c r="P179" s="591"/>
      <c r="Q179" s="591"/>
      <c r="R179" s="591"/>
      <c r="S179" s="591"/>
      <c r="T179" s="591"/>
      <c r="U179" s="591"/>
    </row>
    <row r="180" spans="3:21" hidden="1" x14ac:dyDescent="0.15">
      <c r="C180" s="591"/>
      <c r="D180" s="591"/>
      <c r="E180" s="591"/>
      <c r="F180" s="11"/>
      <c r="G180" s="11"/>
      <c r="H180" s="11"/>
      <c r="I180" s="11"/>
      <c r="J180" s="11"/>
      <c r="K180" s="11"/>
      <c r="L180" s="11"/>
      <c r="M180" s="591"/>
      <c r="N180" s="591"/>
      <c r="O180" s="591"/>
      <c r="P180" s="591"/>
      <c r="Q180" s="591"/>
      <c r="R180" s="591"/>
      <c r="S180" s="591"/>
      <c r="T180" s="591"/>
      <c r="U180" s="591"/>
    </row>
    <row r="181" spans="3:21" hidden="1" x14ac:dyDescent="0.15">
      <c r="C181" s="591"/>
      <c r="D181" s="591"/>
      <c r="E181" s="591"/>
      <c r="F181" s="11"/>
      <c r="G181" s="11"/>
      <c r="H181" s="11"/>
      <c r="I181" s="11"/>
      <c r="J181" s="11"/>
      <c r="K181" s="11"/>
      <c r="L181" s="11"/>
      <c r="M181" s="591"/>
      <c r="N181" s="591"/>
      <c r="O181" s="591"/>
      <c r="P181" s="591"/>
      <c r="Q181" s="591"/>
      <c r="R181" s="591"/>
      <c r="S181" s="591"/>
      <c r="T181" s="591"/>
      <c r="U181" s="591"/>
    </row>
    <row r="182" spans="3:21" hidden="1" x14ac:dyDescent="0.15">
      <c r="C182" s="591"/>
      <c r="D182" s="591"/>
      <c r="E182" s="591"/>
      <c r="F182" s="11"/>
      <c r="G182" s="11"/>
      <c r="H182" s="11"/>
      <c r="I182" s="11"/>
      <c r="J182" s="11"/>
      <c r="K182" s="11"/>
      <c r="L182" s="11"/>
      <c r="M182" s="591"/>
      <c r="N182" s="591"/>
      <c r="O182" s="591"/>
      <c r="P182" s="591"/>
      <c r="Q182" s="591"/>
      <c r="R182" s="591"/>
      <c r="S182" s="591"/>
      <c r="T182" s="591"/>
      <c r="U182" s="591"/>
    </row>
    <row r="183" spans="3:21" hidden="1" x14ac:dyDescent="0.15">
      <c r="C183" s="591"/>
      <c r="D183" s="591"/>
      <c r="E183" s="591"/>
      <c r="F183" s="11"/>
      <c r="G183" s="11"/>
      <c r="H183" s="11"/>
      <c r="I183" s="11"/>
      <c r="J183" s="11"/>
      <c r="K183" s="11"/>
      <c r="L183" s="11"/>
      <c r="M183" s="591"/>
      <c r="N183" s="591"/>
      <c r="O183" s="591"/>
      <c r="P183" s="591"/>
      <c r="Q183" s="591"/>
      <c r="R183" s="591"/>
      <c r="S183" s="591"/>
      <c r="T183" s="591"/>
      <c r="U183" s="591"/>
    </row>
    <row r="184" spans="3:21" hidden="1" x14ac:dyDescent="0.15">
      <c r="C184" s="591"/>
      <c r="D184" s="591"/>
      <c r="E184" s="591"/>
      <c r="F184" s="11"/>
      <c r="G184" s="11"/>
      <c r="H184" s="11"/>
      <c r="I184" s="11"/>
      <c r="J184" s="11"/>
      <c r="K184" s="11"/>
      <c r="L184" s="11"/>
      <c r="M184" s="591"/>
      <c r="N184" s="591"/>
      <c r="O184" s="591"/>
      <c r="P184" s="591"/>
      <c r="Q184" s="591"/>
      <c r="R184" s="591"/>
      <c r="S184" s="591"/>
      <c r="T184" s="591"/>
      <c r="U184" s="591"/>
    </row>
    <row r="185" spans="3:21" hidden="1" x14ac:dyDescent="0.15">
      <c r="C185" s="591"/>
      <c r="D185" s="591"/>
      <c r="E185" s="591"/>
      <c r="F185" s="11"/>
      <c r="G185" s="11"/>
      <c r="H185" s="304"/>
      <c r="I185" s="611"/>
      <c r="J185" s="611"/>
      <c r="K185" s="638"/>
      <c r="L185" s="611"/>
      <c r="M185" s="639"/>
      <c r="N185" s="611"/>
      <c r="O185" s="617"/>
      <c r="P185" s="617"/>
      <c r="Q185" s="11"/>
      <c r="R185" s="11"/>
      <c r="S185" s="11"/>
      <c r="T185" s="11"/>
      <c r="U185" s="11"/>
    </row>
    <row r="186" spans="3:21" hidden="1" x14ac:dyDescent="0.15">
      <c r="C186" s="591"/>
      <c r="D186" s="591"/>
      <c r="E186" s="591"/>
      <c r="F186" s="11"/>
      <c r="G186" s="11"/>
      <c r="H186" s="304"/>
      <c r="I186" s="611"/>
      <c r="J186" s="611"/>
      <c r="K186" s="638"/>
      <c r="L186" s="611"/>
      <c r="M186" s="639"/>
      <c r="N186" s="611"/>
      <c r="O186" s="617"/>
      <c r="P186" s="617"/>
      <c r="Q186" s="11"/>
      <c r="R186" s="11"/>
      <c r="S186" s="11"/>
      <c r="T186" s="11"/>
      <c r="U186" s="11"/>
    </row>
    <row r="187" spans="3:21" hidden="1" x14ac:dyDescent="0.15">
      <c r="C187" s="591"/>
      <c r="D187" s="591"/>
      <c r="E187" s="591"/>
      <c r="F187" s="11"/>
      <c r="G187" s="11"/>
      <c r="H187" s="304"/>
      <c r="I187" s="611"/>
      <c r="J187" s="611"/>
      <c r="K187" s="638"/>
      <c r="L187" s="611"/>
      <c r="M187" s="639"/>
      <c r="N187" s="611"/>
      <c r="O187" s="617"/>
      <c r="P187" s="617"/>
      <c r="Q187" s="11"/>
      <c r="R187" s="11"/>
      <c r="S187" s="11"/>
      <c r="T187" s="11"/>
      <c r="U187" s="11"/>
    </row>
    <row r="188" spans="3:21" hidden="1" x14ac:dyDescent="0.15">
      <c r="C188" s="591"/>
      <c r="D188" s="591"/>
      <c r="E188" s="591"/>
      <c r="F188" s="11"/>
      <c r="G188" s="11"/>
      <c r="H188" s="304"/>
      <c r="I188" s="611"/>
      <c r="J188" s="611"/>
      <c r="K188" s="638"/>
      <c r="L188" s="611"/>
      <c r="M188" s="639"/>
      <c r="N188" s="611"/>
      <c r="O188" s="617"/>
      <c r="P188" s="617"/>
      <c r="Q188" s="11"/>
      <c r="R188" s="11"/>
      <c r="S188" s="11"/>
      <c r="T188" s="11"/>
      <c r="U188" s="11"/>
    </row>
    <row r="189" spans="3:21" hidden="1" x14ac:dyDescent="0.15">
      <c r="C189" s="591"/>
      <c r="D189" s="591"/>
      <c r="E189" s="591"/>
      <c r="F189" s="11"/>
      <c r="G189" s="11"/>
      <c r="H189" s="304"/>
      <c r="I189" s="611"/>
      <c r="J189" s="611"/>
      <c r="K189" s="638"/>
      <c r="L189" s="611"/>
      <c r="M189" s="639"/>
      <c r="N189" s="611"/>
      <c r="O189" s="617"/>
      <c r="P189" s="617"/>
      <c r="Q189" s="11"/>
      <c r="R189" s="11"/>
      <c r="S189" s="11"/>
      <c r="T189" s="11"/>
      <c r="U189" s="11"/>
    </row>
    <row r="190" spans="3:21" ht="15" hidden="1" x14ac:dyDescent="0.2">
      <c r="C190" s="792" t="s">
        <v>238</v>
      </c>
      <c r="D190" s="792"/>
      <c r="E190" s="792"/>
      <c r="F190" s="792"/>
      <c r="G190" s="792"/>
      <c r="H190" s="792"/>
      <c r="I190" s="792"/>
      <c r="J190" s="792"/>
      <c r="K190" s="792"/>
      <c r="L190" s="792"/>
      <c r="M190" s="792"/>
      <c r="N190" s="792"/>
      <c r="O190" s="792"/>
      <c r="P190" s="11"/>
      <c r="Q190" s="591"/>
      <c r="R190" s="591"/>
      <c r="S190" s="591"/>
      <c r="T190" s="591"/>
      <c r="U190" s="591"/>
    </row>
    <row r="191" spans="3:21" hidden="1" x14ac:dyDescent="0.15">
      <c r="C191" s="591"/>
      <c r="D191" s="591"/>
      <c r="E191" s="591"/>
      <c r="F191" s="283">
        <v>1</v>
      </c>
      <c r="G191" s="283">
        <v>2</v>
      </c>
      <c r="H191" s="283">
        <v>3</v>
      </c>
      <c r="I191" s="283">
        <v>4</v>
      </c>
      <c r="J191" s="283">
        <v>5</v>
      </c>
      <c r="K191" s="283">
        <v>6</v>
      </c>
      <c r="L191" s="283">
        <v>7</v>
      </c>
      <c r="M191" s="283">
        <v>8</v>
      </c>
      <c r="N191" s="283">
        <v>9</v>
      </c>
      <c r="O191" s="283">
        <v>10</v>
      </c>
      <c r="P191" s="283"/>
      <c r="Q191" s="591"/>
      <c r="R191" s="591"/>
      <c r="S191" s="591"/>
      <c r="T191" s="591"/>
      <c r="U191" s="591"/>
    </row>
    <row r="192" spans="3:21" hidden="1" x14ac:dyDescent="0.15">
      <c r="C192" s="591" t="s">
        <v>125</v>
      </c>
      <c r="D192" s="591"/>
      <c r="E192" s="591"/>
      <c r="F192" s="9">
        <f t="shared" ref="F192:O192" si="277">F85</f>
        <v>364027.24</v>
      </c>
      <c r="G192" s="9">
        <f t="shared" si="277"/>
        <v>452336.05079999997</v>
      </c>
      <c r="H192" s="9">
        <f t="shared" si="277"/>
        <v>543106.17981600005</v>
      </c>
      <c r="I192" s="9">
        <f t="shared" si="277"/>
        <v>630353.87141231995</v>
      </c>
      <c r="J192" s="9">
        <f t="shared" si="277"/>
        <v>667674.46884056623</v>
      </c>
      <c r="K192" s="9">
        <f t="shared" si="277"/>
        <v>696774.04861737753</v>
      </c>
      <c r="L192" s="9">
        <f t="shared" si="277"/>
        <v>727721.14310972509</v>
      </c>
      <c r="M192" s="9">
        <f t="shared" si="277"/>
        <v>759967.64403272024</v>
      </c>
      <c r="N192" s="9">
        <f t="shared" si="277"/>
        <v>793566.758096606</v>
      </c>
      <c r="O192" s="9">
        <f t="shared" si="277"/>
        <v>828573.84488909959</v>
      </c>
      <c r="P192" s="9"/>
      <c r="Q192" s="591"/>
      <c r="R192" s="591"/>
      <c r="S192" s="591"/>
      <c r="T192" s="591"/>
      <c r="U192" s="591"/>
    </row>
    <row r="193" spans="3:16" hidden="1" x14ac:dyDescent="0.15">
      <c r="C193" s="591" t="s">
        <v>239</v>
      </c>
      <c r="D193" s="591"/>
      <c r="E193" s="591"/>
      <c r="F193" s="11">
        <f t="shared" ref="F193:O193" si="278">SUM(F105:F108)</f>
        <v>119256</v>
      </c>
      <c r="G193" s="11">
        <f t="shared" si="278"/>
        <v>119256</v>
      </c>
      <c r="H193" s="11">
        <f t="shared" si="278"/>
        <v>119256</v>
      </c>
      <c r="I193" s="11">
        <f t="shared" si="278"/>
        <v>119256</v>
      </c>
      <c r="J193" s="11">
        <f t="shared" si="278"/>
        <v>119256</v>
      </c>
      <c r="K193" s="11">
        <f t="shared" si="278"/>
        <v>119256</v>
      </c>
      <c r="L193" s="11">
        <f t="shared" si="278"/>
        <v>119256</v>
      </c>
      <c r="M193" s="11">
        <f t="shared" si="278"/>
        <v>119256</v>
      </c>
      <c r="N193" s="11">
        <f t="shared" si="278"/>
        <v>119256</v>
      </c>
      <c r="O193" s="11">
        <f t="shared" si="278"/>
        <v>119256</v>
      </c>
      <c r="P193" s="11"/>
    </row>
    <row r="194" spans="3:16" hidden="1" x14ac:dyDescent="0.15">
      <c r="C194" s="591"/>
      <c r="D194" s="591"/>
      <c r="E194" s="59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hidden="1" x14ac:dyDescent="0.15">
      <c r="C195" s="591" t="s">
        <v>240</v>
      </c>
      <c r="D195" s="591"/>
      <c r="E195" s="591"/>
      <c r="F195" s="11"/>
      <c r="G195" s="11"/>
      <c r="H195" s="339">
        <f>(H192/RefiCap)*(1-Cost_of_Sale)</f>
        <v>10034533.227076573</v>
      </c>
      <c r="I195" s="11"/>
      <c r="J195" s="11"/>
      <c r="K195" s="11"/>
      <c r="L195" s="11"/>
      <c r="M195" s="11"/>
      <c r="N195" s="11"/>
      <c r="O195" s="11"/>
      <c r="P195" s="11"/>
    </row>
    <row r="196" spans="3:16" hidden="1" x14ac:dyDescent="0.15">
      <c r="C196" s="591"/>
      <c r="D196" s="591"/>
      <c r="E196" s="59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hidden="1" x14ac:dyDescent="0.15">
      <c r="C197" s="591"/>
      <c r="D197" s="591"/>
      <c r="E197" s="59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hidden="1" x14ac:dyDescent="0.15">
      <c r="C198" s="591"/>
      <c r="D198" s="591"/>
      <c r="E198" s="59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hidden="1" x14ac:dyDescent="0.15">
      <c r="C199" s="591" t="s">
        <v>241</v>
      </c>
      <c r="D199" s="591"/>
      <c r="E199" s="629">
        <f>-D6</f>
        <v>-9138772.3000000007</v>
      </c>
      <c r="F199" s="9">
        <f>SUM(F192:F195)</f>
        <v>483283.24</v>
      </c>
      <c r="G199" s="9">
        <f t="shared" ref="G199:H199" si="279">SUM(G192:G195)</f>
        <v>571592.05079999997</v>
      </c>
      <c r="H199" s="9">
        <f t="shared" si="279"/>
        <v>10696895.406892573</v>
      </c>
      <c r="I199" s="11"/>
      <c r="J199" s="11"/>
      <c r="K199" s="11"/>
      <c r="L199" s="11"/>
      <c r="M199" s="11"/>
      <c r="N199" s="11"/>
      <c r="O199" s="11"/>
      <c r="P199" s="11"/>
    </row>
    <row r="200" spans="3:16" hidden="1" x14ac:dyDescent="0.15">
      <c r="C200" s="591" t="s">
        <v>242</v>
      </c>
      <c r="D200" s="591"/>
      <c r="E200" s="630">
        <f>IRR(E199:H199)</f>
        <v>9.1907619803446083E-2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hidden="1" x14ac:dyDescent="0.15">
      <c r="C201" s="591"/>
      <c r="D201" s="591"/>
      <c r="E201" s="630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hidden="1" x14ac:dyDescent="0.15">
      <c r="C202" s="591"/>
      <c r="D202" s="591"/>
      <c r="E202" s="630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hidden="1" x14ac:dyDescent="0.15">
      <c r="C203" s="591"/>
      <c r="D203" s="591"/>
      <c r="E203" s="630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hidden="1" x14ac:dyDescent="0.15">
      <c r="C204" s="591"/>
      <c r="D204" s="591"/>
      <c r="E204" s="630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hidden="1" x14ac:dyDescent="0.15">
      <c r="C205" s="591"/>
      <c r="D205" s="591"/>
      <c r="E205" s="59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hidden="1" x14ac:dyDescent="0.15">
      <c r="C206" s="591" t="s">
        <v>243</v>
      </c>
      <c r="D206" s="591"/>
      <c r="E206" s="591"/>
      <c r="F206" s="11"/>
      <c r="G206" s="11"/>
      <c r="H206" s="11"/>
      <c r="I206" s="11"/>
      <c r="J206" s="339">
        <f>(J192/RefiCap)*(1-Cost_of_Sale)</f>
        <v>12336080.662387604</v>
      </c>
      <c r="K206" s="11"/>
      <c r="L206" s="11"/>
      <c r="M206" s="11"/>
      <c r="N206" s="11"/>
      <c r="O206" s="11"/>
      <c r="P206" s="11"/>
    </row>
    <row r="207" spans="3:16" hidden="1" x14ac:dyDescent="0.15">
      <c r="C207" s="591" t="s">
        <v>244</v>
      </c>
      <c r="D207" s="591"/>
      <c r="E207" s="629">
        <f>E199</f>
        <v>-9138772.3000000007</v>
      </c>
      <c r="F207" s="9">
        <f>SUM(F192:F193,F206)</f>
        <v>483283.24</v>
      </c>
      <c r="G207" s="9">
        <f t="shared" ref="G207:J207" si="280">SUM(G192:G193,G206)</f>
        <v>571592.05079999997</v>
      </c>
      <c r="H207" s="9">
        <f t="shared" si="280"/>
        <v>662362.17981600005</v>
      </c>
      <c r="I207" s="9">
        <f t="shared" si="280"/>
        <v>749609.87141231995</v>
      </c>
      <c r="J207" s="9">
        <f t="shared" si="280"/>
        <v>13123011.131228169</v>
      </c>
      <c r="K207" s="11"/>
      <c r="L207" s="11"/>
      <c r="M207" s="11"/>
      <c r="N207" s="11"/>
      <c r="O207" s="11"/>
      <c r="P207" s="11"/>
    </row>
    <row r="208" spans="3:16" hidden="1" x14ac:dyDescent="0.15">
      <c r="C208" s="591" t="s">
        <v>245</v>
      </c>
      <c r="D208" s="591"/>
      <c r="E208" s="621">
        <f>IRR(E207:J207)</f>
        <v>0.12385009217364273</v>
      </c>
      <c r="F208" s="11"/>
      <c r="G208" s="11"/>
      <c r="H208" s="11"/>
      <c r="I208" s="11"/>
      <c r="J208" s="11"/>
      <c r="K208" s="11"/>
      <c r="L208" s="303"/>
      <c r="M208" s="11"/>
      <c r="N208" s="11"/>
      <c r="O208" s="11"/>
      <c r="P208" s="11"/>
    </row>
    <row r="209" spans="3:16" hidden="1" x14ac:dyDescent="0.15">
      <c r="C209" s="591"/>
      <c r="D209" s="591"/>
      <c r="E209" s="59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hidden="1" x14ac:dyDescent="0.15">
      <c r="C210" s="591" t="s">
        <v>246</v>
      </c>
      <c r="D210" s="591"/>
      <c r="E210" s="591"/>
      <c r="F210" s="11"/>
      <c r="G210" s="11"/>
      <c r="H210" s="11"/>
      <c r="I210" s="11"/>
      <c r="J210" s="9">
        <f>J196/RefiCap</f>
        <v>0</v>
      </c>
      <c r="K210" s="11"/>
      <c r="L210" s="11"/>
      <c r="M210" s="11"/>
      <c r="N210" s="11"/>
      <c r="O210" s="339">
        <f>(O192/RefiCap)*(1-Cost_of_Sale)</f>
        <v>15308888.181760507</v>
      </c>
      <c r="P210" s="11"/>
    </row>
    <row r="211" spans="3:16" hidden="1" x14ac:dyDescent="0.15">
      <c r="C211" s="591" t="s">
        <v>247</v>
      </c>
      <c r="D211" s="591"/>
      <c r="E211" s="629">
        <f>E207</f>
        <v>-9138772.3000000007</v>
      </c>
      <c r="F211" s="9">
        <f>SUM(F192:F193,F210)</f>
        <v>483283.24</v>
      </c>
      <c r="G211" s="9">
        <f t="shared" ref="G211:O211" si="281">SUM(G192:G193,G210)</f>
        <v>571592.05079999997</v>
      </c>
      <c r="H211" s="9">
        <f t="shared" si="281"/>
        <v>662362.17981600005</v>
      </c>
      <c r="I211" s="9">
        <f t="shared" si="281"/>
        <v>749609.87141231995</v>
      </c>
      <c r="J211" s="9">
        <f t="shared" si="281"/>
        <v>786930.46884056623</v>
      </c>
      <c r="K211" s="9">
        <f t="shared" si="281"/>
        <v>816030.04861737753</v>
      </c>
      <c r="L211" s="9">
        <f t="shared" si="281"/>
        <v>846977.14310972509</v>
      </c>
      <c r="M211" s="9">
        <f t="shared" si="281"/>
        <v>879223.64403272024</v>
      </c>
      <c r="N211" s="9">
        <f t="shared" si="281"/>
        <v>912822.758096606</v>
      </c>
      <c r="O211" s="9">
        <f t="shared" si="281"/>
        <v>16256718.026649605</v>
      </c>
      <c r="P211" s="11"/>
    </row>
    <row r="212" spans="3:16" hidden="1" x14ac:dyDescent="0.15">
      <c r="C212" s="591" t="s">
        <v>248</v>
      </c>
      <c r="D212" s="591"/>
      <c r="E212" s="630">
        <f>IRR(E211:O211)</f>
        <v>0.11775460424877249</v>
      </c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hidden="1" x14ac:dyDescent="0.15">
      <c r="C213" s="591"/>
      <c r="D213" s="591"/>
      <c r="E213" s="59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hidden="1" x14ac:dyDescent="0.15">
      <c r="C214" s="591"/>
      <c r="D214" s="591"/>
      <c r="E214" s="59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hidden="1" x14ac:dyDescent="0.15">
      <c r="C215" s="591"/>
      <c r="D215" s="591"/>
      <c r="E215" s="59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ht="15" hidden="1" x14ac:dyDescent="0.2">
      <c r="C216" s="792" t="s">
        <v>249</v>
      </c>
      <c r="D216" s="792"/>
      <c r="E216" s="792"/>
      <c r="F216" s="792"/>
      <c r="G216" s="792"/>
      <c r="H216" s="792"/>
      <c r="I216" s="11"/>
      <c r="J216" s="11"/>
      <c r="K216" s="11"/>
      <c r="L216" s="11"/>
      <c r="M216" s="11"/>
      <c r="N216" s="11"/>
      <c r="O216" s="11"/>
      <c r="P216" s="11"/>
    </row>
    <row r="217" spans="3:16" ht="15" hidden="1" x14ac:dyDescent="0.2">
      <c r="C217" s="291"/>
      <c r="D217" s="291"/>
      <c r="E217" s="291"/>
      <c r="F217" s="11" t="s">
        <v>28</v>
      </c>
      <c r="G217" s="11" t="s">
        <v>29</v>
      </c>
      <c r="H217" s="11" t="s">
        <v>30</v>
      </c>
      <c r="I217" s="292"/>
      <c r="J217" s="292"/>
      <c r="K217" s="292"/>
      <c r="L217" s="292"/>
      <c r="M217" s="292"/>
      <c r="N217" s="292"/>
      <c r="O217" s="292"/>
      <c r="P217" s="292"/>
    </row>
    <row r="218" spans="3:16" hidden="1" x14ac:dyDescent="0.15">
      <c r="C218" s="591" t="s">
        <v>125</v>
      </c>
      <c r="D218" s="591"/>
      <c r="E218" s="591"/>
      <c r="F218" s="11">
        <f>+F192</f>
        <v>364027.24</v>
      </c>
      <c r="G218" s="11">
        <f t="shared" ref="G218:H218" si="282">+G192</f>
        <v>452336.05079999997</v>
      </c>
      <c r="H218" s="11">
        <f t="shared" si="282"/>
        <v>543106.17981600005</v>
      </c>
      <c r="I218" s="11"/>
      <c r="J218" s="11"/>
      <c r="K218" s="11"/>
      <c r="L218" s="11"/>
      <c r="M218" s="11"/>
      <c r="N218" s="11"/>
      <c r="O218" s="11"/>
      <c r="P218" s="11"/>
    </row>
    <row r="219" spans="3:16" hidden="1" x14ac:dyDescent="0.15">
      <c r="C219" s="591"/>
      <c r="D219" s="591"/>
      <c r="E219" s="59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hidden="1" x14ac:dyDescent="0.15">
      <c r="C220" s="7" t="str">
        <f t="shared" ref="C220:C226" si="283">+C91</f>
        <v>Debt service</v>
      </c>
      <c r="D220" s="591"/>
      <c r="E220" s="59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hidden="1" x14ac:dyDescent="0.15">
      <c r="C221" s="28" t="str">
        <f t="shared" si="283"/>
        <v>Additional debt/Refinance</v>
      </c>
      <c r="D221" s="591"/>
      <c r="E221" s="591"/>
      <c r="F221" s="629">
        <f t="shared" ref="F221:H226" si="284">+F92</f>
        <v>5118772.72</v>
      </c>
      <c r="G221" s="629">
        <f t="shared" si="284"/>
        <v>5118772.72</v>
      </c>
      <c r="H221" s="629">
        <f t="shared" si="284"/>
        <v>5118772.72</v>
      </c>
      <c r="I221" s="11"/>
      <c r="J221" s="11"/>
      <c r="K221" s="11"/>
      <c r="L221" s="11"/>
      <c r="M221" s="11"/>
      <c r="N221" s="11"/>
      <c r="O221" s="11"/>
      <c r="P221" s="11"/>
    </row>
    <row r="222" spans="3:16" hidden="1" x14ac:dyDescent="0.15">
      <c r="C222" s="594" t="str">
        <f t="shared" si="283"/>
        <v>Additional debt/Refinance</v>
      </c>
      <c r="D222" s="591"/>
      <c r="E222" s="591"/>
      <c r="F222" s="629">
        <f t="shared" si="284"/>
        <v>0</v>
      </c>
      <c r="G222" s="629">
        <f t="shared" si="284"/>
        <v>0</v>
      </c>
      <c r="H222" s="629">
        <f t="shared" si="284"/>
        <v>0</v>
      </c>
      <c r="I222" s="11"/>
      <c r="J222" s="11"/>
      <c r="K222" s="11"/>
      <c r="L222" s="11"/>
      <c r="M222" s="11"/>
      <c r="N222" s="11"/>
      <c r="O222" s="11"/>
      <c r="P222" s="11"/>
    </row>
    <row r="223" spans="3:16" hidden="1" x14ac:dyDescent="0.15">
      <c r="C223" s="28" t="str">
        <f t="shared" si="283"/>
        <v>Payment</v>
      </c>
      <c r="D223" s="591"/>
      <c r="E223" s="591"/>
      <c r="F223" s="629">
        <f t="shared" si="284"/>
        <v>240455.41493298332</v>
      </c>
      <c r="G223" s="629">
        <f t="shared" si="284"/>
        <v>240455.41493298332</v>
      </c>
      <c r="H223" s="629">
        <f t="shared" si="284"/>
        <v>240455.41493298332</v>
      </c>
      <c r="I223" s="11"/>
      <c r="J223" s="11"/>
      <c r="K223" s="11"/>
      <c r="L223" s="11"/>
      <c r="M223" s="11"/>
      <c r="N223" s="11"/>
      <c r="O223" s="11"/>
      <c r="P223" s="11"/>
    </row>
    <row r="224" spans="3:16" hidden="1" x14ac:dyDescent="0.15">
      <c r="C224" s="28" t="str">
        <f t="shared" si="283"/>
        <v>Principal</v>
      </c>
      <c r="D224" s="591"/>
      <c r="E224" s="591"/>
      <c r="F224" s="629">
        <f t="shared" si="284"/>
        <v>0</v>
      </c>
      <c r="G224" s="629">
        <f t="shared" si="284"/>
        <v>0</v>
      </c>
      <c r="H224" s="629">
        <f t="shared" si="284"/>
        <v>0</v>
      </c>
      <c r="I224" s="11"/>
      <c r="J224" s="11"/>
      <c r="K224" s="11"/>
      <c r="L224" s="11"/>
      <c r="M224" s="11"/>
      <c r="N224" s="11"/>
      <c r="O224" s="11"/>
      <c r="P224" s="11"/>
    </row>
    <row r="225" spans="3:21" hidden="1" x14ac:dyDescent="0.15">
      <c r="C225" s="28" t="str">
        <f t="shared" si="283"/>
        <v>Interest</v>
      </c>
      <c r="D225" s="591"/>
      <c r="E225" s="591"/>
      <c r="F225" s="629">
        <f t="shared" si="284"/>
        <v>240455.41493298332</v>
      </c>
      <c r="G225" s="629">
        <f t="shared" si="284"/>
        <v>240455.41493298332</v>
      </c>
      <c r="H225" s="629">
        <f t="shared" si="284"/>
        <v>240455.41493298332</v>
      </c>
      <c r="I225" s="11"/>
      <c r="J225" s="11"/>
      <c r="K225" s="11"/>
      <c r="L225" s="11"/>
      <c r="M225" s="11"/>
      <c r="N225" s="11"/>
      <c r="O225" s="11"/>
      <c r="P225" s="11"/>
      <c r="Q225" s="591"/>
      <c r="R225" s="591"/>
      <c r="S225" s="591"/>
      <c r="T225" s="591"/>
      <c r="U225" s="591"/>
    </row>
    <row r="226" spans="3:21" hidden="1" x14ac:dyDescent="0.15">
      <c r="C226" s="28" t="str">
        <f t="shared" si="283"/>
        <v>Ending balance</v>
      </c>
      <c r="D226" s="591"/>
      <c r="E226" s="591"/>
      <c r="F226" s="629">
        <f t="shared" si="284"/>
        <v>5118772.72</v>
      </c>
      <c r="G226" s="629">
        <f t="shared" si="284"/>
        <v>5118772.72</v>
      </c>
      <c r="H226" s="629">
        <f t="shared" si="284"/>
        <v>5118772.72</v>
      </c>
      <c r="I226" s="11"/>
      <c r="J226" s="11"/>
      <c r="K226" s="11"/>
      <c r="L226" s="11"/>
      <c r="M226" s="11"/>
      <c r="N226" s="11"/>
      <c r="O226" s="11"/>
      <c r="P226" s="11"/>
      <c r="Q226" s="591"/>
      <c r="R226" s="591"/>
      <c r="S226" s="591"/>
      <c r="T226" s="591"/>
      <c r="U226" s="591"/>
    </row>
    <row r="227" spans="3:21" hidden="1" x14ac:dyDescent="0.15">
      <c r="C227" s="591"/>
      <c r="D227" s="591"/>
      <c r="E227" s="591"/>
      <c r="F227" s="629"/>
      <c r="G227" s="629"/>
      <c r="H227" s="629"/>
      <c r="I227" s="11"/>
      <c r="J227" s="11"/>
      <c r="K227" s="11"/>
      <c r="L227" s="11"/>
      <c r="M227" s="11"/>
      <c r="N227" s="11"/>
      <c r="O227" s="11"/>
      <c r="P227" s="11"/>
      <c r="Q227" s="591"/>
      <c r="R227" s="591"/>
      <c r="S227" s="591"/>
      <c r="T227" s="591"/>
      <c r="U227" s="591"/>
    </row>
    <row r="228" spans="3:21" hidden="1" x14ac:dyDescent="0.15">
      <c r="C228" s="260"/>
      <c r="D228" s="591"/>
      <c r="E228" s="591"/>
      <c r="F228" s="629"/>
      <c r="G228" s="629"/>
      <c r="H228" s="629"/>
      <c r="I228" s="11"/>
      <c r="J228" s="11"/>
      <c r="K228" s="11"/>
      <c r="L228" s="11"/>
      <c r="M228" s="11"/>
      <c r="N228" s="11"/>
      <c r="O228" s="11"/>
      <c r="P228" s="11"/>
      <c r="Q228" s="591"/>
      <c r="R228" s="591"/>
      <c r="S228" s="591"/>
      <c r="T228" s="591"/>
      <c r="U228" s="591"/>
    </row>
    <row r="229" spans="3:21" hidden="1" x14ac:dyDescent="0.15">
      <c r="C229" s="591"/>
      <c r="D229" s="591"/>
      <c r="E229" s="591"/>
      <c r="F229" s="629">
        <f t="shared" ref="F229:H230" si="285">+F101</f>
        <v>0</v>
      </c>
      <c r="G229" s="629">
        <f t="shared" si="285"/>
        <v>0</v>
      </c>
      <c r="H229" s="629">
        <f t="shared" si="285"/>
        <v>0</v>
      </c>
      <c r="I229" s="11"/>
      <c r="J229" s="11"/>
      <c r="K229" s="11"/>
      <c r="L229" s="11"/>
      <c r="M229" s="11"/>
      <c r="N229" s="11"/>
      <c r="O229" s="11"/>
      <c r="P229" s="11"/>
      <c r="Q229" s="591"/>
      <c r="R229" s="591"/>
      <c r="S229" s="591"/>
      <c r="T229" s="591"/>
      <c r="U229" s="591"/>
    </row>
    <row r="230" spans="3:21" hidden="1" x14ac:dyDescent="0.15">
      <c r="C230" s="32" t="str">
        <f>+C102</f>
        <v>Refinance Valuation</v>
      </c>
      <c r="D230" s="591"/>
      <c r="E230" s="591"/>
      <c r="F230" s="629">
        <f t="shared" si="285"/>
        <v>6933852.1904761903</v>
      </c>
      <c r="G230" s="629">
        <f t="shared" si="285"/>
        <v>8615924.7771428563</v>
      </c>
      <c r="H230" s="629">
        <f t="shared" si="285"/>
        <v>10344879.615542859</v>
      </c>
      <c r="I230" s="11"/>
      <c r="J230" s="11"/>
      <c r="K230" s="11"/>
      <c r="L230" s="11"/>
      <c r="M230" s="11"/>
      <c r="N230" s="11"/>
      <c r="O230" s="11"/>
      <c r="P230" s="11"/>
      <c r="Q230" s="591"/>
      <c r="R230" s="591"/>
      <c r="S230" s="591"/>
      <c r="T230" s="591"/>
      <c r="U230" s="591"/>
    </row>
    <row r="231" spans="3:21" hidden="1" x14ac:dyDescent="0.15">
      <c r="C231" s="31"/>
      <c r="D231" s="591"/>
      <c r="E231" s="591"/>
      <c r="F231" s="629"/>
      <c r="G231" s="629"/>
      <c r="H231" s="629"/>
      <c r="I231" s="11"/>
      <c r="J231" s="11"/>
      <c r="K231" s="11"/>
      <c r="L231" s="11"/>
      <c r="M231" s="11"/>
      <c r="N231" s="11"/>
      <c r="O231" s="11"/>
      <c r="P231" s="11"/>
      <c r="Q231" s="591"/>
      <c r="R231" s="591"/>
      <c r="S231" s="591"/>
      <c r="T231" s="591"/>
      <c r="U231" s="591"/>
    </row>
    <row r="232" spans="3:21" hidden="1" x14ac:dyDescent="0.15">
      <c r="C232" s="594" t="str">
        <f>+C104</f>
        <v>Net Cash Flow after Debt Service</v>
      </c>
      <c r="D232" s="591"/>
      <c r="E232" s="591"/>
      <c r="F232" s="629">
        <f t="shared" ref="F232:H236" si="286">+F104</f>
        <v>123571.82506701667</v>
      </c>
      <c r="G232" s="629">
        <f t="shared" si="286"/>
        <v>211880.63586701665</v>
      </c>
      <c r="H232" s="629">
        <f t="shared" si="286"/>
        <v>302650.7648830167</v>
      </c>
      <c r="I232" s="11"/>
      <c r="J232" s="11"/>
      <c r="K232" s="11"/>
      <c r="L232" s="11"/>
      <c r="M232" s="11"/>
      <c r="N232" s="11"/>
      <c r="O232" s="11"/>
      <c r="P232" s="11"/>
      <c r="Q232" s="591"/>
      <c r="R232" s="591"/>
      <c r="S232" s="591"/>
      <c r="T232" s="591"/>
      <c r="U232" s="591"/>
    </row>
    <row r="233" spans="3:21" hidden="1" x14ac:dyDescent="0.15">
      <c r="C233" s="594" t="str">
        <f>+C105</f>
        <v>Cash from Sale of POH</v>
      </c>
      <c r="D233" s="591"/>
      <c r="E233" s="591"/>
      <c r="F233" s="629">
        <f t="shared" si="286"/>
        <v>0</v>
      </c>
      <c r="G233" s="629">
        <f t="shared" si="286"/>
        <v>0</v>
      </c>
      <c r="H233" s="629">
        <f t="shared" si="286"/>
        <v>0</v>
      </c>
      <c r="I233" s="11"/>
      <c r="J233" s="11"/>
      <c r="K233" s="11"/>
      <c r="L233" s="11"/>
      <c r="M233" s="11"/>
      <c r="N233" s="11"/>
      <c r="O233" s="11"/>
      <c r="P233" s="11"/>
      <c r="Q233" s="591"/>
      <c r="R233" s="591"/>
      <c r="S233" s="591"/>
      <c r="T233" s="591"/>
      <c r="U233" s="591"/>
    </row>
    <row r="234" spans="3:21" hidden="1" x14ac:dyDescent="0.15">
      <c r="C234" s="594" t="str">
        <f>+C106</f>
        <v>Rental Income from POH</v>
      </c>
      <c r="D234" s="591"/>
      <c r="E234" s="591"/>
      <c r="F234" s="629">
        <f t="shared" si="286"/>
        <v>119256</v>
      </c>
      <c r="G234" s="629">
        <f t="shared" si="286"/>
        <v>119256</v>
      </c>
      <c r="H234" s="629">
        <f t="shared" si="286"/>
        <v>119256</v>
      </c>
      <c r="I234" s="11"/>
      <c r="J234" s="11"/>
      <c r="K234" s="11"/>
      <c r="L234" s="11"/>
      <c r="M234" s="11"/>
      <c r="N234" s="11"/>
      <c r="O234" s="11"/>
      <c r="P234" s="11"/>
      <c r="Q234" s="591"/>
      <c r="R234" s="591"/>
      <c r="S234" s="591"/>
      <c r="T234" s="591"/>
      <c r="U234" s="591"/>
    </row>
    <row r="235" spans="3:21" hidden="1" x14ac:dyDescent="0.15">
      <c r="C235" s="594" t="str">
        <f>+C107</f>
        <v>New income from POH</v>
      </c>
      <c r="D235" s="591"/>
      <c r="E235" s="591"/>
      <c r="F235" s="629">
        <f t="shared" si="286"/>
        <v>0</v>
      </c>
      <c r="G235" s="629">
        <f t="shared" si="286"/>
        <v>0</v>
      </c>
      <c r="H235" s="629">
        <f t="shared" si="286"/>
        <v>0</v>
      </c>
      <c r="I235" s="11"/>
      <c r="J235" s="11"/>
      <c r="K235" s="11"/>
      <c r="L235" s="11"/>
      <c r="M235" s="11"/>
      <c r="N235" s="11"/>
      <c r="O235" s="11"/>
      <c r="P235" s="11"/>
      <c r="Q235" s="591"/>
      <c r="R235" s="591"/>
      <c r="S235" s="591"/>
      <c r="T235" s="591"/>
      <c r="U235" s="591"/>
    </row>
    <row r="236" spans="3:21" hidden="1" x14ac:dyDescent="0.15">
      <c r="C236" s="594" t="str">
        <f>+C108</f>
        <v>POH Seller Carry Note</v>
      </c>
      <c r="D236" s="591"/>
      <c r="E236" s="591"/>
      <c r="F236" s="629">
        <f t="shared" si="286"/>
        <v>0</v>
      </c>
      <c r="G236" s="629">
        <f t="shared" si="286"/>
        <v>0</v>
      </c>
      <c r="H236" s="629">
        <f t="shared" si="286"/>
        <v>0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</row>
    <row r="237" spans="3:21" hidden="1" x14ac:dyDescent="0.15">
      <c r="C237" s="594" t="str">
        <f t="shared" ref="C237:C238" si="287">+C113</f>
        <v>Return of Capital (other)</v>
      </c>
      <c r="D237" s="591"/>
      <c r="E237" s="591"/>
      <c r="F237" s="629">
        <f t="shared" ref="F237:H237" si="288">+F113</f>
        <v>0</v>
      </c>
      <c r="G237" s="629">
        <f t="shared" si="288"/>
        <v>0</v>
      </c>
      <c r="H237" s="629">
        <f t="shared" si="288"/>
        <v>0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</row>
    <row r="238" spans="3:21" hidden="1" x14ac:dyDescent="0.15">
      <c r="C238" s="594" t="str">
        <f t="shared" si="287"/>
        <v>Sale Proceeds at Exit</v>
      </c>
      <c r="D238" s="591"/>
      <c r="E238" s="591"/>
      <c r="F238" s="629">
        <f>+F114</f>
        <v>0</v>
      </c>
      <c r="G238" s="629">
        <f>+G114</f>
        <v>0</v>
      </c>
      <c r="H238" s="629">
        <f>+(H218/RefiCap)*(1-Cost_of_Sale)</f>
        <v>10034533.227076573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</row>
    <row r="239" spans="3:21" hidden="1" x14ac:dyDescent="0.15">
      <c r="C239" s="594" t="s">
        <v>250</v>
      </c>
      <c r="D239" s="591"/>
      <c r="E239" s="591"/>
      <c r="F239" s="629"/>
      <c r="G239" s="629"/>
      <c r="H239" s="629">
        <f>-H226</f>
        <v>-5118772.72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</row>
    <row r="240" spans="3:21" ht="14" hidden="1" thickBot="1" x14ac:dyDescent="0.2">
      <c r="C240" s="677" t="str">
        <f>+C115</f>
        <v>Pretax Income Available for Distribution</v>
      </c>
      <c r="D240" s="591"/>
      <c r="E240" s="629">
        <f>+E115</f>
        <v>-4019999.580000001</v>
      </c>
      <c r="F240" s="629">
        <f>SUM(F232:F239)</f>
        <v>242827.82506701667</v>
      </c>
      <c r="G240" s="629">
        <f>SUM(G232:G239)</f>
        <v>331136.63586701662</v>
      </c>
      <c r="H240" s="629">
        <f>SUM(H232:H239)</f>
        <v>5337667.2719595907</v>
      </c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</row>
    <row r="241" spans="3:28" ht="14" hidden="1" thickTop="1" x14ac:dyDescent="0.15">
      <c r="C241" s="591"/>
      <c r="D241" s="591"/>
      <c r="E241" s="59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3:28" hidden="1" x14ac:dyDescent="0.15">
      <c r="C242" s="591" t="s">
        <v>251</v>
      </c>
      <c r="D242" s="591"/>
      <c r="E242" s="630">
        <f>IRR(E240:H240)</f>
        <v>0.14504393676384675</v>
      </c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3:28" hidden="1" x14ac:dyDescent="0.15">
      <c r="C243" s="591"/>
      <c r="D243" s="591"/>
      <c r="E243" s="59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3:28" hidden="1" x14ac:dyDescent="0.15">
      <c r="C244" s="7" t="str">
        <f t="shared" ref="C244:C249" si="289">+C119</f>
        <v>Distributions</v>
      </c>
      <c r="D244" s="591"/>
      <c r="E244" s="591"/>
      <c r="F244" s="9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3:28" hidden="1" x14ac:dyDescent="0.15">
      <c r="C245" s="594" t="str">
        <f t="shared" si="289"/>
        <v>Investor Preferred Return</v>
      </c>
      <c r="D245" s="591"/>
      <c r="E245" s="591"/>
      <c r="F245" s="9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3:28" hidden="1" x14ac:dyDescent="0.15">
      <c r="C246" s="19" t="str">
        <f t="shared" si="289"/>
        <v>Beginning balance</v>
      </c>
      <c r="D246" s="591"/>
      <c r="E246" s="591"/>
      <c r="F246" s="9">
        <f>+F121</f>
        <v>4027905.2199999997</v>
      </c>
      <c r="G246" s="9">
        <f>+G121</f>
        <v>3986472.6559329829</v>
      </c>
      <c r="H246" s="9">
        <f>+H121</f>
        <v>3854659.6528626159</v>
      </c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3:28" hidden="1" x14ac:dyDescent="0.15">
      <c r="C247" s="19" t="str">
        <f t="shared" si="289"/>
        <v>Preferred return</v>
      </c>
      <c r="D247" s="591"/>
      <c r="E247" s="591"/>
      <c r="F247" s="9">
        <f>+F246*InvestorPref</f>
        <v>201395.261</v>
      </c>
      <c r="G247" s="9">
        <f>+G246*InvestorPref</f>
        <v>199323.63279664915</v>
      </c>
      <c r="H247" s="9">
        <f>+H246*InvestorPref</f>
        <v>192732.98264313082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3:28" hidden="1" x14ac:dyDescent="0.15">
      <c r="C248" s="19" t="str">
        <f t="shared" si="289"/>
        <v>Payment</v>
      </c>
      <c r="D248" s="591"/>
      <c r="E248" s="591"/>
      <c r="F248" s="9">
        <f>MAX(-F246-F247,-F240)</f>
        <v>-242827.82506701667</v>
      </c>
      <c r="G248" s="9">
        <f t="shared" ref="G248:H248" si="290">MAX(-G246-G247,-G240)</f>
        <v>-331136.63586701662</v>
      </c>
      <c r="H248" s="9">
        <f t="shared" si="290"/>
        <v>-4047392.6355057466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3:28" hidden="1" x14ac:dyDescent="0.15">
      <c r="C249" s="19" t="str">
        <f t="shared" si="289"/>
        <v>Ending balance</v>
      </c>
      <c r="D249" s="591"/>
      <c r="E249" s="591"/>
      <c r="F249" s="737">
        <f>SUM(F246:F248)</f>
        <v>3986472.6559329829</v>
      </c>
      <c r="G249" s="737">
        <f t="shared" ref="G249:H249" si="291">SUM(G246:G248)</f>
        <v>3854659.6528626159</v>
      </c>
      <c r="H249" s="737">
        <f t="shared" si="291"/>
        <v>0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3:28" hidden="1" x14ac:dyDescent="0.15">
      <c r="C250" s="594" t="s">
        <v>252</v>
      </c>
      <c r="D250" s="591"/>
      <c r="E250" s="591"/>
      <c r="F250" s="9">
        <f>+F240+F248</f>
        <v>0</v>
      </c>
      <c r="G250" s="9">
        <f t="shared" ref="G250:H250" si="292">+G240+G248</f>
        <v>0</v>
      </c>
      <c r="H250" s="9">
        <f t="shared" si="292"/>
        <v>1290274.6364538441</v>
      </c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3:28" hidden="1" x14ac:dyDescent="0.15">
      <c r="C251" s="37" t="str">
        <f t="shared" ref="C251:C257" si="293">+C126</f>
        <v>Split</v>
      </c>
      <c r="D251" s="591"/>
      <c r="E251" s="591"/>
      <c r="F251" s="9"/>
      <c r="G251" s="9"/>
      <c r="H251" s="9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3:28" hidden="1" x14ac:dyDescent="0.15">
      <c r="C252" s="628" t="str">
        <f t="shared" si="293"/>
        <v>Investor</v>
      </c>
      <c r="D252" s="591"/>
      <c r="E252" s="591"/>
      <c r="F252" s="9">
        <f>+F250*InvestorPromote</f>
        <v>0</v>
      </c>
      <c r="G252" s="9">
        <f>+G250*InvestorPromote</f>
        <v>0</v>
      </c>
      <c r="H252" s="9">
        <f>+H250*InvestorPromote</f>
        <v>645137.31822692207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3:28" hidden="1" x14ac:dyDescent="0.15">
      <c r="C253" s="628" t="str">
        <f t="shared" si="293"/>
        <v>BVG</v>
      </c>
      <c r="D253" s="591"/>
      <c r="E253" s="591"/>
      <c r="F253" s="9">
        <f>+F250*BVGPromote</f>
        <v>0</v>
      </c>
      <c r="G253" s="9">
        <f>+G250*BVGPromote</f>
        <v>0</v>
      </c>
      <c r="H253" s="9">
        <f>+H250*BVGPromote</f>
        <v>645137.31822692207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3:28" hidden="1" x14ac:dyDescent="0.15">
      <c r="C254" s="37" t="str">
        <f t="shared" si="293"/>
        <v>Total</v>
      </c>
      <c r="D254" s="591"/>
      <c r="E254" s="591"/>
      <c r="F254" s="9"/>
      <c r="G254" s="9"/>
      <c r="H254" s="9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3:28" hidden="1" x14ac:dyDescent="0.15">
      <c r="C255" s="628" t="str">
        <f t="shared" si="293"/>
        <v>Investor</v>
      </c>
      <c r="D255" s="591"/>
      <c r="E255" s="591"/>
      <c r="F255" s="9">
        <f>-F248+F252</f>
        <v>242827.82506701667</v>
      </c>
      <c r="G255" s="9">
        <f t="shared" ref="G255:H255" si="294">-G248+G252</f>
        <v>331136.63586701662</v>
      </c>
      <c r="H255" s="9">
        <f t="shared" si="294"/>
        <v>4692529.9537326684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3:28" hidden="1" x14ac:dyDescent="0.15">
      <c r="C256" s="628" t="str">
        <f t="shared" si="293"/>
        <v>BVG</v>
      </c>
      <c r="D256" s="591"/>
      <c r="E256" s="591"/>
      <c r="F256" s="9">
        <f>+F253</f>
        <v>0</v>
      </c>
      <c r="G256" s="9">
        <f t="shared" ref="G256:H256" si="295">+G253</f>
        <v>0</v>
      </c>
      <c r="H256" s="9">
        <f t="shared" si="295"/>
        <v>645137.31822692207</v>
      </c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3:28" ht="14" hidden="1" x14ac:dyDescent="0.15">
      <c r="C257" s="124" t="str">
        <f t="shared" si="293"/>
        <v>Total Project Cash Flow</v>
      </c>
      <c r="D257" s="591"/>
      <c r="E257" s="629">
        <f>E240</f>
        <v>-4019999.580000001</v>
      </c>
      <c r="F257" s="9">
        <f>+F255</f>
        <v>242827.82506701667</v>
      </c>
      <c r="G257" s="9">
        <f t="shared" ref="G257:H257" si="296">+G255</f>
        <v>331136.63586701662</v>
      </c>
      <c r="H257" s="9">
        <f t="shared" si="296"/>
        <v>4692529.9537326684</v>
      </c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3:28" hidden="1" x14ac:dyDescent="0.15">
      <c r="C258" s="269"/>
      <c r="D258" s="591"/>
      <c r="E258" s="59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3:28" hidden="1" x14ac:dyDescent="0.15">
      <c r="C259" s="7" t="s">
        <v>253</v>
      </c>
      <c r="D259" s="591"/>
      <c r="E259" s="630">
        <f>IRR(E257:H257)</f>
        <v>9.9998723743233375E-2</v>
      </c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3:28" hidden="1" x14ac:dyDescent="0.15">
      <c r="C260" s="591" t="s">
        <v>254</v>
      </c>
      <c r="D260" s="591"/>
      <c r="E260" s="640">
        <f>SUM(F257:H257)/-E257</f>
        <v>1.3100733743526165</v>
      </c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3:28" hidden="1" x14ac:dyDescent="0.15">
      <c r="C261" s="591" t="s">
        <v>255</v>
      </c>
      <c r="D261" s="591"/>
      <c r="E261" s="622">
        <f>SUM(F257:H257)</f>
        <v>5266494.414666702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3:28" hidden="1" x14ac:dyDescent="0.15">
      <c r="C262" s="591"/>
      <c r="D262" s="591"/>
      <c r="E262" s="59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3:28" hidden="1" x14ac:dyDescent="0.15">
      <c r="C263" s="591"/>
      <c r="D263" s="591"/>
      <c r="E263" s="59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3:28" hidden="1" x14ac:dyDescent="0.15">
      <c r="C264" s="591"/>
      <c r="E264" s="591"/>
      <c r="F264" s="591"/>
      <c r="G264" s="591"/>
      <c r="H264" s="591"/>
      <c r="I264" s="591"/>
      <c r="J264" s="591"/>
      <c r="K264" s="591"/>
      <c r="L264" s="591"/>
      <c r="M264" s="591"/>
      <c r="N264" s="591"/>
      <c r="O264" s="591"/>
      <c r="P264" s="591"/>
      <c r="Q264" s="591"/>
      <c r="R264" s="591"/>
      <c r="S264" s="591"/>
      <c r="T264" s="591"/>
      <c r="U264" s="591"/>
      <c r="V264" s="591"/>
      <c r="W264" s="591"/>
      <c r="X264" s="591"/>
      <c r="Y264" s="591"/>
      <c r="Z264" s="591"/>
      <c r="AA264" s="591"/>
      <c r="AB264" s="591"/>
    </row>
    <row r="265" spans="3:28" ht="15" hidden="1" x14ac:dyDescent="0.2">
      <c r="C265" s="792" t="s">
        <v>256</v>
      </c>
      <c r="D265" s="792"/>
      <c r="E265" s="792"/>
      <c r="F265" s="792"/>
      <c r="G265" s="792"/>
      <c r="H265" s="792"/>
      <c r="I265" s="792"/>
      <c r="J265" s="792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591"/>
      <c r="W265" s="591"/>
      <c r="X265" s="591"/>
      <c r="Y265" s="591"/>
      <c r="Z265" s="591"/>
      <c r="AA265" s="591"/>
      <c r="AB265" s="591"/>
    </row>
    <row r="266" spans="3:28" ht="15" hidden="1" x14ac:dyDescent="0.2">
      <c r="C266" s="291"/>
      <c r="D266" s="291"/>
      <c r="E266" s="291"/>
      <c r="F266" s="11" t="s">
        <v>28</v>
      </c>
      <c r="G266" s="11" t="s">
        <v>29</v>
      </c>
      <c r="H266" s="11" t="s">
        <v>30</v>
      </c>
      <c r="I266" s="11" t="s">
        <v>31</v>
      </c>
      <c r="J266" s="11" t="s">
        <v>45</v>
      </c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591"/>
      <c r="W266" s="591"/>
      <c r="X266" s="591"/>
      <c r="Y266" s="591"/>
      <c r="Z266" s="591"/>
      <c r="AA266" s="591"/>
      <c r="AB266" s="591"/>
    </row>
    <row r="267" spans="3:28" hidden="1" x14ac:dyDescent="0.15">
      <c r="C267" s="591" t="s">
        <v>125</v>
      </c>
      <c r="D267" s="591"/>
      <c r="E267" s="591"/>
      <c r="F267" s="11">
        <f>+F85</f>
        <v>364027.24</v>
      </c>
      <c r="G267" s="11">
        <f>+G85</f>
        <v>452336.05079999997</v>
      </c>
      <c r="H267" s="11">
        <f>+H85</f>
        <v>543106.17981600005</v>
      </c>
      <c r="I267" s="11">
        <f>+I85</f>
        <v>630353.87141231995</v>
      </c>
      <c r="J267" s="11">
        <f>+J85</f>
        <v>667674.46884056623</v>
      </c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591"/>
      <c r="W267" s="591"/>
      <c r="X267" s="591"/>
      <c r="Y267" s="591"/>
      <c r="Z267" s="591"/>
      <c r="AA267" s="591"/>
      <c r="AB267" s="591"/>
    </row>
    <row r="268" spans="3:28" hidden="1" x14ac:dyDescent="0.15">
      <c r="C268" s="591"/>
      <c r="D268" s="591"/>
      <c r="E268" s="59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591"/>
      <c r="W268" s="591"/>
      <c r="X268" s="591"/>
      <c r="Y268" s="591"/>
      <c r="Z268" s="591"/>
      <c r="AA268" s="591"/>
      <c r="AB268" s="591"/>
    </row>
    <row r="269" spans="3:28" hidden="1" x14ac:dyDescent="0.15">
      <c r="C269" s="7" t="str">
        <f>+C220</f>
        <v>Debt service</v>
      </c>
      <c r="D269" s="591"/>
      <c r="E269" s="59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591"/>
      <c r="W269" s="591"/>
      <c r="X269" s="591"/>
      <c r="Y269" s="591"/>
      <c r="Z269" s="591"/>
      <c r="AA269" s="591"/>
      <c r="AB269" s="591"/>
    </row>
    <row r="270" spans="3:28" hidden="1" x14ac:dyDescent="0.15">
      <c r="C270" s="28" t="str">
        <f t="shared" ref="C270:C289" si="297">+C221</f>
        <v>Additional debt/Refinance</v>
      </c>
      <c r="D270" s="591"/>
      <c r="E270" s="591"/>
      <c r="F270" s="629">
        <f t="shared" ref="F270:F275" si="298">F92</f>
        <v>5118772.72</v>
      </c>
      <c r="G270" s="629">
        <f t="shared" ref="G270:J270" si="299">G92</f>
        <v>5118772.72</v>
      </c>
      <c r="H270" s="629">
        <f t="shared" si="299"/>
        <v>5118772.72</v>
      </c>
      <c r="I270" s="629">
        <f t="shared" si="299"/>
        <v>5118772.72</v>
      </c>
      <c r="J270" s="629">
        <f t="shared" si="299"/>
        <v>5041236.8489340935</v>
      </c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591"/>
      <c r="W270" s="591"/>
      <c r="X270" s="591"/>
      <c r="Y270" s="591"/>
      <c r="Z270" s="591"/>
      <c r="AA270" s="591"/>
      <c r="AB270" s="591"/>
    </row>
    <row r="271" spans="3:28" hidden="1" x14ac:dyDescent="0.15">
      <c r="C271" s="594" t="str">
        <f t="shared" si="297"/>
        <v>Additional debt/Refinance</v>
      </c>
      <c r="D271" s="591"/>
      <c r="E271" s="591"/>
      <c r="F271" s="629">
        <f t="shared" si="298"/>
        <v>0</v>
      </c>
      <c r="G271" s="629">
        <f t="shared" ref="G271:J275" si="300">G93</f>
        <v>0</v>
      </c>
      <c r="H271" s="629">
        <f t="shared" si="300"/>
        <v>0</v>
      </c>
      <c r="I271" s="629">
        <f t="shared" si="300"/>
        <v>0</v>
      </c>
      <c r="J271" s="629">
        <f t="shared" si="300"/>
        <v>0</v>
      </c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591"/>
      <c r="W271" s="591"/>
      <c r="X271" s="591"/>
      <c r="Y271" s="591"/>
      <c r="Z271" s="591"/>
      <c r="AA271" s="591"/>
      <c r="AB271" s="591"/>
    </row>
    <row r="272" spans="3:28" hidden="1" x14ac:dyDescent="0.15">
      <c r="C272" s="28" t="str">
        <f t="shared" si="297"/>
        <v>Payment</v>
      </c>
      <c r="D272" s="591"/>
      <c r="E272" s="591"/>
      <c r="F272" s="629">
        <f t="shared" si="298"/>
        <v>240455.41493298332</v>
      </c>
      <c r="G272" s="629">
        <f t="shared" si="300"/>
        <v>240455.41493298332</v>
      </c>
      <c r="H272" s="629">
        <f t="shared" si="300"/>
        <v>240455.41493298332</v>
      </c>
      <c r="I272" s="629">
        <f t="shared" si="300"/>
        <v>317991.28599888994</v>
      </c>
      <c r="J272" s="629">
        <f t="shared" si="300"/>
        <v>317991.28599888994</v>
      </c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591"/>
      <c r="W272" s="591"/>
      <c r="X272" s="591"/>
      <c r="Y272" s="591"/>
      <c r="Z272" s="591"/>
      <c r="AA272" s="591"/>
      <c r="AB272" s="591"/>
    </row>
    <row r="273" spans="3:21" hidden="1" x14ac:dyDescent="0.15">
      <c r="C273" s="28" t="str">
        <f t="shared" si="297"/>
        <v>Principal</v>
      </c>
      <c r="D273" s="591"/>
      <c r="E273" s="591"/>
      <c r="F273" s="629">
        <f t="shared" si="298"/>
        <v>0</v>
      </c>
      <c r="G273" s="629">
        <f t="shared" si="300"/>
        <v>0</v>
      </c>
      <c r="H273" s="629">
        <f t="shared" si="300"/>
        <v>0</v>
      </c>
      <c r="I273" s="629">
        <f t="shared" si="300"/>
        <v>77535.871065906627</v>
      </c>
      <c r="J273" s="629">
        <f t="shared" si="300"/>
        <v>81178.134762534057</v>
      </c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</row>
    <row r="274" spans="3:21" hidden="1" x14ac:dyDescent="0.15">
      <c r="C274" s="28" t="str">
        <f t="shared" si="297"/>
        <v>Interest</v>
      </c>
      <c r="D274" s="591"/>
      <c r="E274" s="591"/>
      <c r="F274" s="629">
        <f t="shared" si="298"/>
        <v>240455.41493298332</v>
      </c>
      <c r="G274" s="629">
        <f t="shared" si="300"/>
        <v>240455.41493298332</v>
      </c>
      <c r="H274" s="629">
        <f t="shared" si="300"/>
        <v>240455.41493298332</v>
      </c>
      <c r="I274" s="629">
        <f t="shared" si="300"/>
        <v>240455.41493298332</v>
      </c>
      <c r="J274" s="629">
        <f t="shared" si="300"/>
        <v>236813.15123635589</v>
      </c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</row>
    <row r="275" spans="3:21" hidden="1" x14ac:dyDescent="0.15">
      <c r="C275" s="28" t="str">
        <f t="shared" si="297"/>
        <v>Ending balance</v>
      </c>
      <c r="D275" s="591"/>
      <c r="E275" s="591"/>
      <c r="F275" s="629">
        <f t="shared" si="298"/>
        <v>5118772.72</v>
      </c>
      <c r="G275" s="629">
        <f t="shared" si="300"/>
        <v>5118772.72</v>
      </c>
      <c r="H275" s="629">
        <f t="shared" si="300"/>
        <v>5118772.72</v>
      </c>
      <c r="I275" s="629">
        <f t="shared" si="300"/>
        <v>5041236.8489340935</v>
      </c>
      <c r="J275" s="629">
        <f t="shared" si="300"/>
        <v>4960058.7141715595</v>
      </c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</row>
    <row r="276" spans="3:21" hidden="1" x14ac:dyDescent="0.15">
      <c r="C276" s="591"/>
      <c r="D276" s="591"/>
      <c r="E276" s="591"/>
      <c r="F276" s="629"/>
      <c r="G276" s="629"/>
      <c r="H276" s="629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</row>
    <row r="277" spans="3:21" hidden="1" x14ac:dyDescent="0.15">
      <c r="C277" s="260">
        <f t="shared" si="297"/>
        <v>0</v>
      </c>
      <c r="D277" s="591"/>
      <c r="E277" s="591"/>
      <c r="F277" s="629"/>
      <c r="G277" s="629"/>
      <c r="H277" s="629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</row>
    <row r="278" spans="3:21" hidden="1" x14ac:dyDescent="0.15">
      <c r="C278" s="591"/>
      <c r="D278" s="591"/>
      <c r="E278" s="591"/>
      <c r="F278" s="629"/>
      <c r="G278" s="629"/>
      <c r="H278" s="629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</row>
    <row r="279" spans="3:21" hidden="1" x14ac:dyDescent="0.15">
      <c r="C279" s="32" t="str">
        <f t="shared" si="297"/>
        <v>Refinance Valuation</v>
      </c>
      <c r="D279" s="591"/>
      <c r="E279" s="591"/>
      <c r="F279" s="629">
        <f>F102</f>
        <v>6933852.1904761903</v>
      </c>
      <c r="G279" s="629">
        <f t="shared" ref="G279:J279" si="301">G102</f>
        <v>8615924.7771428563</v>
      </c>
      <c r="H279" s="629">
        <f t="shared" si="301"/>
        <v>10344879.615542859</v>
      </c>
      <c r="I279" s="629">
        <f t="shared" si="301"/>
        <v>12006740.407853713</v>
      </c>
      <c r="J279" s="629">
        <f t="shared" si="301"/>
        <v>12717608.930296499</v>
      </c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</row>
    <row r="280" spans="3:21" hidden="1" x14ac:dyDescent="0.15">
      <c r="C280" s="31"/>
      <c r="D280" s="591"/>
      <c r="E280" s="591"/>
      <c r="F280" s="629"/>
      <c r="G280" s="629"/>
      <c r="H280" s="629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</row>
    <row r="281" spans="3:21" hidden="1" x14ac:dyDescent="0.15">
      <c r="C281" s="594" t="str">
        <f t="shared" si="297"/>
        <v>Net Cash Flow after Debt Service</v>
      </c>
      <c r="D281" s="591"/>
      <c r="E281" s="591"/>
      <c r="F281" s="629">
        <f>F104</f>
        <v>123571.82506701667</v>
      </c>
      <c r="G281" s="629">
        <f t="shared" ref="G281:J281" si="302">G104</f>
        <v>211880.63586701665</v>
      </c>
      <c r="H281" s="629">
        <f t="shared" si="302"/>
        <v>302650.7648830167</v>
      </c>
      <c r="I281" s="629">
        <f t="shared" si="302"/>
        <v>312362.58541343</v>
      </c>
      <c r="J281" s="629">
        <f t="shared" si="302"/>
        <v>349683.18284167629</v>
      </c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</row>
    <row r="282" spans="3:21" hidden="1" x14ac:dyDescent="0.15">
      <c r="C282" s="594" t="str">
        <f t="shared" si="297"/>
        <v>Cash from Sale of POH</v>
      </c>
      <c r="D282" s="591"/>
      <c r="E282" s="591"/>
      <c r="F282" s="629">
        <f>F105</f>
        <v>0</v>
      </c>
      <c r="G282" s="629">
        <f t="shared" ref="G282:J285" si="303">G105</f>
        <v>0</v>
      </c>
      <c r="H282" s="629">
        <f t="shared" si="303"/>
        <v>0</v>
      </c>
      <c r="I282" s="629">
        <f t="shared" si="303"/>
        <v>0</v>
      </c>
      <c r="J282" s="629">
        <f t="shared" si="303"/>
        <v>0</v>
      </c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</row>
    <row r="283" spans="3:21" hidden="1" x14ac:dyDescent="0.15">
      <c r="C283" s="594" t="str">
        <f t="shared" si="297"/>
        <v>Rental Income from POH</v>
      </c>
      <c r="D283" s="591"/>
      <c r="E283" s="591"/>
      <c r="F283" s="629">
        <f>F106</f>
        <v>119256</v>
      </c>
      <c r="G283" s="629">
        <f t="shared" si="303"/>
        <v>119256</v>
      </c>
      <c r="H283" s="629">
        <f t="shared" si="303"/>
        <v>119256</v>
      </c>
      <c r="I283" s="629">
        <f t="shared" si="303"/>
        <v>119256</v>
      </c>
      <c r="J283" s="629">
        <f t="shared" si="303"/>
        <v>119256</v>
      </c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</row>
    <row r="284" spans="3:21" hidden="1" x14ac:dyDescent="0.15">
      <c r="C284" s="594" t="str">
        <f t="shared" si="297"/>
        <v>New income from POH</v>
      </c>
      <c r="D284" s="591"/>
      <c r="E284" s="591"/>
      <c r="F284" s="629">
        <f>F107</f>
        <v>0</v>
      </c>
      <c r="G284" s="629">
        <f t="shared" si="303"/>
        <v>0</v>
      </c>
      <c r="H284" s="629">
        <f t="shared" si="303"/>
        <v>0</v>
      </c>
      <c r="I284" s="629">
        <f t="shared" si="303"/>
        <v>0</v>
      </c>
      <c r="J284" s="629">
        <f t="shared" si="303"/>
        <v>0</v>
      </c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</row>
    <row r="285" spans="3:21" hidden="1" x14ac:dyDescent="0.15">
      <c r="C285" s="594" t="str">
        <f t="shared" si="297"/>
        <v>POH Seller Carry Note</v>
      </c>
      <c r="D285" s="591"/>
      <c r="E285" s="591"/>
      <c r="F285" s="629">
        <f>F108</f>
        <v>0</v>
      </c>
      <c r="G285" s="629">
        <f t="shared" si="303"/>
        <v>0</v>
      </c>
      <c r="H285" s="629">
        <f t="shared" si="303"/>
        <v>0</v>
      </c>
      <c r="I285" s="629">
        <f t="shared" si="303"/>
        <v>0</v>
      </c>
      <c r="J285" s="629">
        <f t="shared" si="303"/>
        <v>0</v>
      </c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</row>
    <row r="286" spans="3:21" hidden="1" x14ac:dyDescent="0.15">
      <c r="C286" s="594" t="str">
        <f t="shared" si="297"/>
        <v>Return of Capital (other)</v>
      </c>
      <c r="D286" s="591"/>
      <c r="E286" s="591"/>
      <c r="F286" s="629">
        <f t="shared" ref="F286:F287" si="304">F113</f>
        <v>0</v>
      </c>
      <c r="G286" s="629">
        <f t="shared" ref="G286:I287" si="305">G113</f>
        <v>0</v>
      </c>
      <c r="H286" s="629">
        <f t="shared" si="305"/>
        <v>0</v>
      </c>
      <c r="I286" s="629">
        <f t="shared" si="305"/>
        <v>0</v>
      </c>
      <c r="J286" s="629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</row>
    <row r="287" spans="3:21" hidden="1" x14ac:dyDescent="0.15">
      <c r="C287" s="594" t="str">
        <f t="shared" si="297"/>
        <v>Sale Proceeds at Exit</v>
      </c>
      <c r="D287" s="591"/>
      <c r="E287" s="591"/>
      <c r="F287" s="629">
        <f t="shared" si="304"/>
        <v>0</v>
      </c>
      <c r="G287" s="629">
        <f t="shared" si="305"/>
        <v>0</v>
      </c>
      <c r="H287" s="629">
        <f t="shared" si="305"/>
        <v>0</v>
      </c>
      <c r="I287" s="629">
        <f t="shared" si="305"/>
        <v>0</v>
      </c>
      <c r="J287" s="629">
        <f>+(J267/RefiCap)*(1-Cost_of_Sale)</f>
        <v>12336080.662387604</v>
      </c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</row>
    <row r="288" spans="3:21" hidden="1" x14ac:dyDescent="0.15">
      <c r="C288" s="594" t="str">
        <f t="shared" si="297"/>
        <v>Repay Outstanding Loan</v>
      </c>
      <c r="D288" s="591"/>
      <c r="E288" s="591"/>
      <c r="F288" s="629"/>
      <c r="G288" s="629"/>
      <c r="H288" s="629"/>
      <c r="I288" s="629"/>
      <c r="J288" s="629">
        <f>-J275</f>
        <v>-4960058.7141715595</v>
      </c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</row>
    <row r="289" spans="3:28" ht="14" hidden="1" thickBot="1" x14ac:dyDescent="0.2">
      <c r="C289" s="677" t="str">
        <f t="shared" si="297"/>
        <v>Pretax Income Available for Distribution</v>
      </c>
      <c r="D289" s="591"/>
      <c r="E289" s="629">
        <f>E240</f>
        <v>-4019999.580000001</v>
      </c>
      <c r="F289" s="629">
        <f>SUM(F281:F288)</f>
        <v>242827.82506701667</v>
      </c>
      <c r="G289" s="629">
        <f t="shared" ref="G289:J289" si="306">SUM(G281:G288)</f>
        <v>331136.63586701662</v>
      </c>
      <c r="H289" s="629">
        <f t="shared" si="306"/>
        <v>421906.7648830167</v>
      </c>
      <c r="I289" s="629">
        <f t="shared" si="306"/>
        <v>431618.58541343</v>
      </c>
      <c r="J289" s="629">
        <f t="shared" si="306"/>
        <v>7844961.1310577197</v>
      </c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591"/>
      <c r="W289" s="591"/>
      <c r="X289" s="591"/>
      <c r="Y289" s="591"/>
      <c r="Z289" s="591"/>
      <c r="AA289" s="591"/>
      <c r="AB289" s="591"/>
    </row>
    <row r="290" spans="3:28" ht="14" hidden="1" thickTop="1" x14ac:dyDescent="0.15">
      <c r="C290" s="591"/>
      <c r="D290" s="591"/>
      <c r="E290" s="59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3:28" hidden="1" x14ac:dyDescent="0.15">
      <c r="C291" s="7" t="s">
        <v>257</v>
      </c>
      <c r="D291" s="591"/>
      <c r="E291" s="630">
        <f>IRR(E289:J289)</f>
        <v>0.20115948277237883</v>
      </c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3:28" hidden="1" x14ac:dyDescent="0.15">
      <c r="C292" s="594"/>
      <c r="D292" s="591"/>
      <c r="E292" s="59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3:28" hidden="1" x14ac:dyDescent="0.15">
      <c r="C293" s="7" t="str">
        <f t="shared" ref="C293:C306" si="307">+C244</f>
        <v>Distributions</v>
      </c>
      <c r="D293" s="591"/>
      <c r="E293" s="591"/>
      <c r="F293" s="9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3:28" hidden="1" x14ac:dyDescent="0.15">
      <c r="C294" s="594" t="str">
        <f t="shared" si="307"/>
        <v>Investor Preferred Return</v>
      </c>
      <c r="D294" s="591"/>
      <c r="E294" s="591"/>
      <c r="F294" s="9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3:28" hidden="1" x14ac:dyDescent="0.15">
      <c r="C295" s="19" t="str">
        <f t="shared" si="307"/>
        <v>Beginning balance</v>
      </c>
      <c r="D295" s="591"/>
      <c r="E295" s="591"/>
      <c r="F295" s="9">
        <f>-E289</f>
        <v>4019999.580000001</v>
      </c>
      <c r="G295" s="9">
        <f>+F298</f>
        <v>3978171.7339329845</v>
      </c>
      <c r="H295" s="9">
        <f t="shared" ref="H295:J295" si="308">+G298</f>
        <v>3845943.6847626176</v>
      </c>
      <c r="I295" s="9">
        <f t="shared" si="308"/>
        <v>3616334.1041177316</v>
      </c>
      <c r="J295" s="9">
        <f t="shared" si="308"/>
        <v>3365532.2239101883</v>
      </c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3:28" hidden="1" x14ac:dyDescent="0.15">
      <c r="C296" s="19" t="str">
        <f t="shared" si="307"/>
        <v>Preferred return</v>
      </c>
      <c r="D296" s="591"/>
      <c r="E296" s="591"/>
      <c r="F296" s="9">
        <f>+F295*InvestorPref</f>
        <v>200999.97900000005</v>
      </c>
      <c r="G296" s="9">
        <f>+G295*InvestorPref</f>
        <v>198908.58669664923</v>
      </c>
      <c r="H296" s="9">
        <f>+H295*InvestorPref</f>
        <v>192297.1842381309</v>
      </c>
      <c r="I296" s="9">
        <f>+I295*InvestorPref</f>
        <v>180816.7052058866</v>
      </c>
      <c r="J296" s="9">
        <f>+J295*InvestorPref</f>
        <v>168276.61119550944</v>
      </c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3:28" hidden="1" x14ac:dyDescent="0.15">
      <c r="C297" s="19" t="str">
        <f t="shared" si="307"/>
        <v>Payment</v>
      </c>
      <c r="D297" s="591"/>
      <c r="E297" s="591"/>
      <c r="F297" s="9">
        <f>MAX(-F295-F296,-F289)</f>
        <v>-242827.82506701667</v>
      </c>
      <c r="G297" s="9">
        <f t="shared" ref="G297:J297" si="309">MAX(-G295-G296,-G289)</f>
        <v>-331136.63586701662</v>
      </c>
      <c r="H297" s="9">
        <f t="shared" si="309"/>
        <v>-421906.7648830167</v>
      </c>
      <c r="I297" s="9">
        <f t="shared" si="309"/>
        <v>-431618.58541343</v>
      </c>
      <c r="J297" s="9">
        <f t="shared" si="309"/>
        <v>-3533808.8351056976</v>
      </c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3:28" hidden="1" x14ac:dyDescent="0.15">
      <c r="C298" s="19" t="str">
        <f t="shared" si="307"/>
        <v>Ending balance</v>
      </c>
      <c r="D298" s="591"/>
      <c r="E298" s="591"/>
      <c r="F298" s="737">
        <f>SUM(F295:F297)</f>
        <v>3978171.7339329845</v>
      </c>
      <c r="G298" s="737">
        <f t="shared" ref="G298:J298" si="310">SUM(G295:G297)</f>
        <v>3845943.6847626176</v>
      </c>
      <c r="H298" s="737">
        <f t="shared" si="310"/>
        <v>3616334.1041177316</v>
      </c>
      <c r="I298" s="737">
        <f t="shared" si="310"/>
        <v>3365532.2239101883</v>
      </c>
      <c r="J298" s="737">
        <f t="shared" si="310"/>
        <v>0</v>
      </c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3:28" hidden="1" x14ac:dyDescent="0.15">
      <c r="C299" s="594" t="str">
        <f t="shared" si="307"/>
        <v>Available After Pref / Return Of Capital</v>
      </c>
      <c r="D299" s="591"/>
      <c r="E299" s="591"/>
      <c r="F299" s="9">
        <f>+F289+F297</f>
        <v>0</v>
      </c>
      <c r="G299" s="9">
        <f t="shared" ref="G299:J299" si="311">+G289+G297</f>
        <v>0</v>
      </c>
      <c r="H299" s="9">
        <f t="shared" si="311"/>
        <v>0</v>
      </c>
      <c r="I299" s="9">
        <f t="shared" si="311"/>
        <v>0</v>
      </c>
      <c r="J299" s="9">
        <f t="shared" si="311"/>
        <v>4311152.2959520221</v>
      </c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3:28" hidden="1" x14ac:dyDescent="0.15">
      <c r="C300" s="37" t="str">
        <f t="shared" si="307"/>
        <v>Split</v>
      </c>
      <c r="D300" s="591"/>
      <c r="E300" s="591"/>
      <c r="F300" s="9"/>
      <c r="G300" s="9"/>
      <c r="H300" s="9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3:28" hidden="1" x14ac:dyDescent="0.15">
      <c r="C301" s="628" t="str">
        <f t="shared" si="307"/>
        <v>Investor</v>
      </c>
      <c r="D301" s="591"/>
      <c r="E301" s="591"/>
      <c r="F301" s="9">
        <f>+F299*InvestorPromote</f>
        <v>0</v>
      </c>
      <c r="G301" s="9">
        <f>+G299*InvestorPromote</f>
        <v>0</v>
      </c>
      <c r="H301" s="9">
        <f>+H299*InvestorPromote</f>
        <v>0</v>
      </c>
      <c r="I301" s="9">
        <f>+I299*InvestorPromote</f>
        <v>0</v>
      </c>
      <c r="J301" s="9">
        <f>+J299*InvestorPromote</f>
        <v>2155576.147976011</v>
      </c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3:28" hidden="1" x14ac:dyDescent="0.15">
      <c r="C302" s="628" t="str">
        <f t="shared" si="307"/>
        <v>BVG</v>
      </c>
      <c r="D302" s="591"/>
      <c r="E302" s="591"/>
      <c r="F302" s="9">
        <f>+F299*BVGPromote</f>
        <v>0</v>
      </c>
      <c r="G302" s="9">
        <f>+G299*BVGPromote</f>
        <v>0</v>
      </c>
      <c r="H302" s="9">
        <f>+H299*BVGPromote</f>
        <v>0</v>
      </c>
      <c r="I302" s="9">
        <f>+I299*BVGPromote</f>
        <v>0</v>
      </c>
      <c r="J302" s="9">
        <f>+J299*BVGPromote</f>
        <v>2155576.147976011</v>
      </c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3:28" hidden="1" x14ac:dyDescent="0.15">
      <c r="C303" s="37" t="str">
        <f t="shared" si="307"/>
        <v>Total</v>
      </c>
      <c r="D303" s="591"/>
      <c r="E303" s="591"/>
      <c r="F303" s="9"/>
      <c r="G303" s="9"/>
      <c r="H303" s="9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3:28" hidden="1" x14ac:dyDescent="0.15">
      <c r="C304" s="628" t="str">
        <f t="shared" si="307"/>
        <v>Investor</v>
      </c>
      <c r="D304" s="591"/>
      <c r="E304" s="591"/>
      <c r="F304" s="9">
        <f>-F297+F301</f>
        <v>242827.82506701667</v>
      </c>
      <c r="G304" s="9">
        <f t="shared" ref="G304:H304" si="312">-G297+G301</f>
        <v>331136.63586701662</v>
      </c>
      <c r="H304" s="9">
        <f t="shared" si="312"/>
        <v>421906.7648830167</v>
      </c>
      <c r="I304" s="9">
        <f t="shared" ref="I304:J304" si="313">-I297+I301</f>
        <v>431618.58541343</v>
      </c>
      <c r="J304" s="9">
        <f t="shared" si="313"/>
        <v>5689384.9830817087</v>
      </c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3:28" hidden="1" x14ac:dyDescent="0.15">
      <c r="C305" s="628" t="str">
        <f t="shared" si="307"/>
        <v>BVG</v>
      </c>
      <c r="D305" s="591"/>
      <c r="E305" s="591"/>
      <c r="F305" s="9">
        <f>+F302</f>
        <v>0</v>
      </c>
      <c r="G305" s="9">
        <f t="shared" ref="G305:H305" si="314">+G302</f>
        <v>0</v>
      </c>
      <c r="H305" s="9">
        <f t="shared" si="314"/>
        <v>0</v>
      </c>
      <c r="I305" s="9">
        <f t="shared" ref="I305:J305" si="315">+I302</f>
        <v>0</v>
      </c>
      <c r="J305" s="9">
        <f t="shared" si="315"/>
        <v>2155576.147976011</v>
      </c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3:28" ht="14" hidden="1" x14ac:dyDescent="0.15">
      <c r="C306" s="124" t="str">
        <f t="shared" si="307"/>
        <v>Total Project Cash Flow</v>
      </c>
      <c r="D306" s="591"/>
      <c r="E306" s="629">
        <f>E289</f>
        <v>-4019999.580000001</v>
      </c>
      <c r="F306" s="9">
        <f>+F304</f>
        <v>242827.82506701667</v>
      </c>
      <c r="G306" s="9">
        <f t="shared" ref="G306:H306" si="316">+G304</f>
        <v>331136.63586701662</v>
      </c>
      <c r="H306" s="9">
        <f t="shared" si="316"/>
        <v>421906.7648830167</v>
      </c>
      <c r="I306" s="9">
        <f t="shared" ref="I306:J306" si="317">+I304</f>
        <v>431618.58541343</v>
      </c>
      <c r="J306" s="9">
        <f t="shared" si="317"/>
        <v>5689384.9830817087</v>
      </c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3:28" hidden="1" x14ac:dyDescent="0.15">
      <c r="C307" s="591"/>
      <c r="D307" s="591"/>
      <c r="E307" s="59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3:28" hidden="1" x14ac:dyDescent="0.15">
      <c r="C308" s="591" t="s">
        <v>258</v>
      </c>
      <c r="D308" s="591"/>
      <c r="E308" s="630">
        <f>IRR(E306:J306)</f>
        <v>0.13629589635225003</v>
      </c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3:28" hidden="1" x14ac:dyDescent="0.15">
      <c r="C309" s="591" t="str">
        <f>+C260</f>
        <v>Investor Multiple</v>
      </c>
      <c r="D309" s="591"/>
      <c r="E309" s="640">
        <f>SUM(F306:J306)/-E306</f>
        <v>1.7703670492204844</v>
      </c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3:28" hidden="1" x14ac:dyDescent="0.15">
      <c r="C310" s="591" t="str">
        <f>+C261</f>
        <v>investor cash</v>
      </c>
      <c r="D310" s="591"/>
      <c r="E310" s="622">
        <f>SUM(F306:J306)</f>
        <v>7116874.7943121884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3:28" hidden="1" x14ac:dyDescent="0.15">
      <c r="C311" s="591" t="s">
        <v>259</v>
      </c>
      <c r="E311" s="622">
        <f>SUM(F305:J305)</f>
        <v>2155576.147976011</v>
      </c>
      <c r="F311" s="591"/>
      <c r="G311" s="591"/>
      <c r="H311" s="591"/>
      <c r="I311" s="591"/>
      <c r="J311" s="591"/>
      <c r="K311" s="591"/>
      <c r="L311" s="591"/>
      <c r="M311" s="591"/>
      <c r="N311" s="591"/>
      <c r="O311" s="591"/>
      <c r="P311" s="591"/>
      <c r="Q311" s="591"/>
      <c r="R311" s="591"/>
      <c r="S311" s="591"/>
      <c r="T311" s="591"/>
      <c r="U311" s="591"/>
      <c r="V311" s="591"/>
      <c r="W311" s="591"/>
      <c r="X311" s="591"/>
      <c r="Y311" s="591"/>
      <c r="Z311" s="591"/>
      <c r="AA311" s="591"/>
      <c r="AB311" s="591"/>
    </row>
    <row r="312" spans="3:28" hidden="1" x14ac:dyDescent="0.15">
      <c r="C312" s="591"/>
      <c r="E312" s="591"/>
      <c r="F312" s="591"/>
      <c r="G312" s="591"/>
      <c r="H312" s="591"/>
      <c r="I312" s="591"/>
      <c r="J312" s="591"/>
      <c r="K312" s="591"/>
      <c r="L312" s="591"/>
      <c r="M312" s="591"/>
      <c r="N312" s="591"/>
      <c r="O312" s="591"/>
      <c r="P312" s="591"/>
      <c r="Q312" s="591"/>
      <c r="R312" s="591"/>
      <c r="S312" s="591"/>
      <c r="T312" s="591"/>
      <c r="U312" s="591"/>
      <c r="V312" s="591"/>
      <c r="W312" s="591"/>
      <c r="X312" s="591"/>
      <c r="Y312" s="591"/>
      <c r="Z312" s="591"/>
      <c r="AA312" s="591"/>
      <c r="AB312" s="591"/>
    </row>
    <row r="313" spans="3:28" ht="12" hidden="1" customHeight="1" x14ac:dyDescent="0.15">
      <c r="C313" s="591"/>
      <c r="E313" s="591"/>
      <c r="F313" s="591"/>
      <c r="G313" s="591"/>
      <c r="H313" s="591"/>
      <c r="I313" s="591"/>
      <c r="J313" s="591"/>
      <c r="K313" s="591"/>
      <c r="L313" s="591"/>
      <c r="M313" s="591"/>
      <c r="N313" s="591"/>
      <c r="O313" s="591"/>
      <c r="P313" s="591"/>
      <c r="Q313" s="591"/>
      <c r="R313" s="591"/>
      <c r="S313" s="591"/>
      <c r="T313" s="591"/>
      <c r="U313" s="591"/>
      <c r="V313" s="591"/>
      <c r="W313" s="591"/>
      <c r="X313" s="591"/>
      <c r="Y313" s="591"/>
      <c r="Z313" s="591"/>
      <c r="AA313" s="591"/>
      <c r="AB313" s="591"/>
    </row>
    <row r="314" spans="3:28" ht="15" hidden="1" x14ac:dyDescent="0.2">
      <c r="C314" s="792" t="s">
        <v>260</v>
      </c>
      <c r="D314" s="792"/>
      <c r="E314" s="792"/>
      <c r="F314" s="792"/>
      <c r="G314" s="792"/>
      <c r="H314" s="792"/>
      <c r="I314" s="792"/>
      <c r="J314" s="792"/>
      <c r="K314" s="792"/>
      <c r="L314" s="792"/>
      <c r="M314" s="792"/>
      <c r="N314" s="792"/>
      <c r="O314" s="792"/>
      <c r="P314" s="11"/>
      <c r="Q314" s="11"/>
      <c r="R314" s="11"/>
      <c r="S314" s="11"/>
      <c r="T314" s="11"/>
      <c r="U314" s="11"/>
      <c r="V314" s="591"/>
      <c r="W314" s="591"/>
      <c r="X314" s="591"/>
      <c r="Y314" s="591"/>
      <c r="Z314" s="591"/>
      <c r="AA314" s="591"/>
      <c r="AB314" s="591"/>
    </row>
    <row r="315" spans="3:28" ht="15" hidden="1" x14ac:dyDescent="0.2">
      <c r="C315" s="291"/>
      <c r="D315" s="291"/>
      <c r="E315" s="291"/>
      <c r="F315" s="11" t="s">
        <v>28</v>
      </c>
      <c r="G315" s="11" t="s">
        <v>29</v>
      </c>
      <c r="H315" s="11" t="s">
        <v>30</v>
      </c>
      <c r="I315" s="11" t="s">
        <v>31</v>
      </c>
      <c r="J315" s="11" t="s">
        <v>45</v>
      </c>
      <c r="K315" s="11" t="s">
        <v>46</v>
      </c>
      <c r="L315" s="11" t="s">
        <v>261</v>
      </c>
      <c r="M315" s="11" t="s">
        <v>262</v>
      </c>
      <c r="N315" s="11" t="s">
        <v>263</v>
      </c>
      <c r="O315" s="11" t="s">
        <v>264</v>
      </c>
      <c r="P315" s="292"/>
      <c r="Q315" s="292"/>
      <c r="R315" s="292"/>
      <c r="S315" s="292"/>
      <c r="T315" s="292"/>
      <c r="U315" s="292"/>
      <c r="V315" s="591"/>
      <c r="W315" s="591"/>
      <c r="X315" s="591"/>
      <c r="Y315" s="591"/>
      <c r="Z315" s="591"/>
      <c r="AA315" s="591"/>
      <c r="AB315" s="591"/>
    </row>
    <row r="316" spans="3:28" hidden="1" x14ac:dyDescent="0.15">
      <c r="C316" s="591" t="s">
        <v>125</v>
      </c>
      <c r="D316" s="591"/>
      <c r="E316" s="591"/>
      <c r="F316" s="9">
        <f>+F85</f>
        <v>364027.24</v>
      </c>
      <c r="G316" s="9">
        <f t="shared" ref="G316:O316" si="318">+G85</f>
        <v>452336.05079999997</v>
      </c>
      <c r="H316" s="9">
        <f t="shared" si="318"/>
        <v>543106.17981600005</v>
      </c>
      <c r="I316" s="9">
        <f t="shared" si="318"/>
        <v>630353.87141231995</v>
      </c>
      <c r="J316" s="9">
        <f t="shared" si="318"/>
        <v>667674.46884056623</v>
      </c>
      <c r="K316" s="9">
        <f t="shared" si="318"/>
        <v>696774.04861737753</v>
      </c>
      <c r="L316" s="9">
        <f t="shared" si="318"/>
        <v>727721.14310972509</v>
      </c>
      <c r="M316" s="9">
        <f t="shared" si="318"/>
        <v>759967.64403272024</v>
      </c>
      <c r="N316" s="9">
        <f t="shared" si="318"/>
        <v>793566.758096606</v>
      </c>
      <c r="O316" s="9">
        <f t="shared" si="318"/>
        <v>828573.84488909959</v>
      </c>
      <c r="P316" s="11"/>
      <c r="Q316" s="11"/>
      <c r="R316" s="11"/>
      <c r="S316" s="11"/>
      <c r="T316" s="11"/>
      <c r="U316" s="11"/>
      <c r="V316" s="591"/>
      <c r="W316" s="591"/>
      <c r="X316" s="591"/>
      <c r="Y316" s="591"/>
      <c r="Z316" s="591"/>
      <c r="AA316" s="591"/>
      <c r="AB316" s="591"/>
    </row>
    <row r="317" spans="3:28" hidden="1" x14ac:dyDescent="0.15">
      <c r="C317" s="591"/>
      <c r="D317" s="591"/>
      <c r="E317" s="59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591"/>
      <c r="W317" s="591"/>
      <c r="X317" s="591"/>
      <c r="Y317" s="591"/>
      <c r="Z317" s="591"/>
      <c r="AA317" s="591"/>
      <c r="AB317" s="591"/>
    </row>
    <row r="318" spans="3:28" hidden="1" x14ac:dyDescent="0.15">
      <c r="C318" s="7" t="str">
        <f>+C269</f>
        <v>Debt service</v>
      </c>
      <c r="D318" s="591"/>
      <c r="E318" s="59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591"/>
      <c r="W318" s="591"/>
      <c r="X318" s="591"/>
      <c r="Y318" s="591"/>
      <c r="Z318" s="591"/>
      <c r="AA318" s="591"/>
      <c r="AB318" s="591"/>
    </row>
    <row r="319" spans="3:28" hidden="1" x14ac:dyDescent="0.15">
      <c r="C319" s="28" t="str">
        <f t="shared" ref="C319:C338" si="319">+C270</f>
        <v>Additional debt/Refinance</v>
      </c>
      <c r="D319" s="591"/>
      <c r="E319" s="591"/>
      <c r="F319" s="629">
        <f t="shared" ref="F319:F324" si="320">F92</f>
        <v>5118772.72</v>
      </c>
      <c r="G319" s="629">
        <f t="shared" ref="G319:O319" si="321">G92</f>
        <v>5118772.72</v>
      </c>
      <c r="H319" s="629">
        <f t="shared" si="321"/>
        <v>5118772.72</v>
      </c>
      <c r="I319" s="629">
        <f t="shared" si="321"/>
        <v>5118772.72</v>
      </c>
      <c r="J319" s="629">
        <f t="shared" si="321"/>
        <v>5041236.8489340935</v>
      </c>
      <c r="K319" s="629">
        <f t="shared" si="321"/>
        <v>4960058.7141715595</v>
      </c>
      <c r="L319" s="629">
        <f t="shared" si="321"/>
        <v>8159496.9553891197</v>
      </c>
      <c r="M319" s="629">
        <f t="shared" si="321"/>
        <v>8046580.1374842711</v>
      </c>
      <c r="N319" s="629">
        <f t="shared" si="321"/>
        <v>7927362.3258969607</v>
      </c>
      <c r="O319" s="629">
        <f t="shared" si="321"/>
        <v>7801491.9120526379</v>
      </c>
      <c r="P319" s="11"/>
      <c r="Q319" s="11"/>
      <c r="R319" s="11"/>
      <c r="S319" s="11"/>
      <c r="T319" s="11"/>
      <c r="U319" s="11"/>
      <c r="V319" s="591"/>
      <c r="W319" s="591"/>
      <c r="X319" s="591"/>
      <c r="Y319" s="591"/>
      <c r="Z319" s="591"/>
      <c r="AA319" s="591"/>
      <c r="AB319" s="591"/>
    </row>
    <row r="320" spans="3:28" hidden="1" x14ac:dyDescent="0.15">
      <c r="C320" s="594" t="str">
        <f t="shared" si="319"/>
        <v>Additional debt/Refinance</v>
      </c>
      <c r="D320" s="591"/>
      <c r="E320" s="591"/>
      <c r="F320" s="629">
        <f t="shared" si="320"/>
        <v>0</v>
      </c>
      <c r="G320" s="629">
        <f t="shared" ref="G320:O320" si="322">G93</f>
        <v>0</v>
      </c>
      <c r="H320" s="629">
        <f t="shared" si="322"/>
        <v>0</v>
      </c>
      <c r="I320" s="629">
        <f t="shared" si="322"/>
        <v>0</v>
      </c>
      <c r="J320" s="629">
        <f t="shared" si="322"/>
        <v>0</v>
      </c>
      <c r="K320" s="629">
        <f t="shared" si="322"/>
        <v>3306387.0905211652</v>
      </c>
      <c r="L320" s="629">
        <f t="shared" si="322"/>
        <v>0</v>
      </c>
      <c r="M320" s="629">
        <f t="shared" si="322"/>
        <v>0</v>
      </c>
      <c r="N320" s="629">
        <f t="shared" si="322"/>
        <v>0</v>
      </c>
      <c r="O320" s="629">
        <f t="shared" si="322"/>
        <v>0</v>
      </c>
      <c r="P320" s="11"/>
      <c r="Q320" s="11"/>
      <c r="R320" s="11"/>
      <c r="S320" s="11"/>
      <c r="T320" s="11"/>
      <c r="U320" s="11"/>
      <c r="V320" s="591"/>
      <c r="W320" s="591"/>
      <c r="X320" s="591"/>
      <c r="Y320" s="591"/>
      <c r="Z320" s="591"/>
      <c r="AA320" s="591"/>
      <c r="AB320" s="591"/>
    </row>
    <row r="321" spans="3:21" hidden="1" x14ac:dyDescent="0.15">
      <c r="C321" s="28" t="str">
        <f t="shared" si="319"/>
        <v>Payment</v>
      </c>
      <c r="D321" s="591"/>
      <c r="E321" s="591"/>
      <c r="F321" s="629">
        <f t="shared" si="320"/>
        <v>240455.41493298332</v>
      </c>
      <c r="G321" s="629">
        <f t="shared" ref="G321:O321" si="323">G94</f>
        <v>240455.41493298332</v>
      </c>
      <c r="H321" s="629">
        <f t="shared" si="323"/>
        <v>240455.41493298332</v>
      </c>
      <c r="I321" s="629">
        <f t="shared" si="323"/>
        <v>317991.28599888994</v>
      </c>
      <c r="J321" s="629">
        <f t="shared" si="323"/>
        <v>317991.28599888994</v>
      </c>
      <c r="K321" s="629">
        <f t="shared" si="323"/>
        <v>568233.74696755211</v>
      </c>
      <c r="L321" s="629">
        <f t="shared" si="323"/>
        <v>568233.74696755211</v>
      </c>
      <c r="M321" s="629">
        <f t="shared" si="323"/>
        <v>568233.74696755211</v>
      </c>
      <c r="N321" s="629">
        <f t="shared" si="323"/>
        <v>568233.74696755211</v>
      </c>
      <c r="O321" s="629">
        <f t="shared" si="323"/>
        <v>568233.74696755211</v>
      </c>
      <c r="P321" s="11"/>
      <c r="Q321" s="11"/>
      <c r="R321" s="11"/>
      <c r="S321" s="11"/>
      <c r="T321" s="11"/>
      <c r="U321" s="11"/>
    </row>
    <row r="322" spans="3:21" hidden="1" x14ac:dyDescent="0.15">
      <c r="C322" s="28" t="str">
        <f t="shared" si="319"/>
        <v>Principal</v>
      </c>
      <c r="D322" s="591"/>
      <c r="E322" s="591"/>
      <c r="F322" s="629">
        <f t="shared" si="320"/>
        <v>0</v>
      </c>
      <c r="G322" s="629">
        <f t="shared" ref="G322:O322" si="324">G95</f>
        <v>0</v>
      </c>
      <c r="H322" s="629">
        <f t="shared" si="324"/>
        <v>0</v>
      </c>
      <c r="I322" s="629">
        <f t="shared" si="324"/>
        <v>77535.871065906627</v>
      </c>
      <c r="J322" s="629">
        <f t="shared" si="324"/>
        <v>81178.134762534057</v>
      </c>
      <c r="K322" s="629">
        <f t="shared" si="324"/>
        <v>106948.84930360492</v>
      </c>
      <c r="L322" s="629">
        <f t="shared" si="324"/>
        <v>112916.81790484884</v>
      </c>
      <c r="M322" s="629">
        <f t="shared" si="324"/>
        <v>119217.81158730999</v>
      </c>
      <c r="N322" s="629">
        <f t="shared" si="324"/>
        <v>125870.41384432273</v>
      </c>
      <c r="O322" s="629">
        <f t="shared" si="324"/>
        <v>132894.24516686477</v>
      </c>
      <c r="P322" s="11"/>
      <c r="Q322" s="11"/>
      <c r="R322" s="11"/>
      <c r="S322" s="11"/>
      <c r="T322" s="11"/>
      <c r="U322" s="11"/>
    </row>
    <row r="323" spans="3:21" hidden="1" x14ac:dyDescent="0.15">
      <c r="C323" s="28" t="str">
        <f t="shared" si="319"/>
        <v>Interest</v>
      </c>
      <c r="D323" s="591"/>
      <c r="E323" s="591"/>
      <c r="F323" s="629">
        <f t="shared" si="320"/>
        <v>240455.41493298332</v>
      </c>
      <c r="G323" s="629">
        <f t="shared" ref="G323:O323" si="325">G96</f>
        <v>240455.41493298332</v>
      </c>
      <c r="H323" s="629">
        <f t="shared" si="325"/>
        <v>240455.41493298332</v>
      </c>
      <c r="I323" s="629">
        <f t="shared" si="325"/>
        <v>240455.41493298332</v>
      </c>
      <c r="J323" s="629">
        <f t="shared" si="325"/>
        <v>236813.15123635589</v>
      </c>
      <c r="K323" s="629">
        <f t="shared" si="325"/>
        <v>461284.89766394719</v>
      </c>
      <c r="L323" s="629">
        <f t="shared" si="325"/>
        <v>455316.92906270328</v>
      </c>
      <c r="M323" s="629">
        <f t="shared" si="325"/>
        <v>449015.93538024212</v>
      </c>
      <c r="N323" s="629">
        <f t="shared" si="325"/>
        <v>442363.33312322939</v>
      </c>
      <c r="O323" s="629">
        <f t="shared" si="325"/>
        <v>435339.50180068734</v>
      </c>
      <c r="P323" s="11"/>
      <c r="Q323" s="11"/>
      <c r="R323" s="11"/>
      <c r="S323" s="11"/>
      <c r="T323" s="11"/>
      <c r="U323" s="11"/>
    </row>
    <row r="324" spans="3:21" hidden="1" x14ac:dyDescent="0.15">
      <c r="C324" s="28" t="str">
        <f t="shared" si="319"/>
        <v>Ending balance</v>
      </c>
      <c r="D324" s="591"/>
      <c r="E324" s="591"/>
      <c r="F324" s="738">
        <f t="shared" si="320"/>
        <v>5118772.72</v>
      </c>
      <c r="G324" s="738">
        <f t="shared" ref="G324:O324" si="326">G97</f>
        <v>5118772.72</v>
      </c>
      <c r="H324" s="738">
        <f t="shared" si="326"/>
        <v>5118772.72</v>
      </c>
      <c r="I324" s="738">
        <f t="shared" si="326"/>
        <v>5041236.8489340935</v>
      </c>
      <c r="J324" s="738">
        <f t="shared" si="326"/>
        <v>4960058.7141715595</v>
      </c>
      <c r="K324" s="738">
        <f t="shared" si="326"/>
        <v>8159496.9553891197</v>
      </c>
      <c r="L324" s="738">
        <f t="shared" si="326"/>
        <v>8046580.1374842711</v>
      </c>
      <c r="M324" s="738">
        <f t="shared" si="326"/>
        <v>7927362.3258969607</v>
      </c>
      <c r="N324" s="738">
        <f t="shared" si="326"/>
        <v>7801491.9120526379</v>
      </c>
      <c r="O324" s="738">
        <f t="shared" si="326"/>
        <v>7668597.6668857727</v>
      </c>
      <c r="P324" s="11"/>
      <c r="Q324" s="11"/>
      <c r="R324" s="11"/>
      <c r="S324" s="11"/>
      <c r="T324" s="11"/>
      <c r="U324" s="11"/>
    </row>
    <row r="325" spans="3:21" hidden="1" x14ac:dyDescent="0.15">
      <c r="C325" s="591"/>
      <c r="D325" s="591"/>
      <c r="E325" s="591"/>
      <c r="F325" s="629"/>
      <c r="G325" s="629"/>
      <c r="H325" s="629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 spans="3:21" hidden="1" x14ac:dyDescent="0.15">
      <c r="C326" s="260">
        <f t="shared" si="319"/>
        <v>0</v>
      </c>
      <c r="D326" s="591"/>
      <c r="E326" s="591"/>
      <c r="F326" s="629"/>
      <c r="G326" s="629"/>
      <c r="H326" s="629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 spans="3:21" hidden="1" x14ac:dyDescent="0.15">
      <c r="C327" s="591"/>
      <c r="D327" s="591"/>
      <c r="E327" s="591"/>
      <c r="F327" s="629"/>
      <c r="G327" s="629"/>
      <c r="H327" s="629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</row>
    <row r="328" spans="3:21" hidden="1" x14ac:dyDescent="0.15">
      <c r="C328" s="32" t="str">
        <f t="shared" si="319"/>
        <v>Refinance Valuation</v>
      </c>
      <c r="D328" s="591"/>
      <c r="E328" s="591"/>
      <c r="F328" s="629">
        <f>F102</f>
        <v>6933852.1904761903</v>
      </c>
      <c r="G328" s="629">
        <f t="shared" ref="G328:O328" si="327">G102</f>
        <v>8615924.7771428563</v>
      </c>
      <c r="H328" s="629">
        <f t="shared" si="327"/>
        <v>10344879.615542859</v>
      </c>
      <c r="I328" s="629">
        <f t="shared" si="327"/>
        <v>12006740.407853713</v>
      </c>
      <c r="J328" s="629">
        <f t="shared" si="327"/>
        <v>12717608.930296499</v>
      </c>
      <c r="K328" s="629">
        <f t="shared" si="327"/>
        <v>13271886.640331002</v>
      </c>
      <c r="L328" s="629">
        <f t="shared" si="327"/>
        <v>13861355.106851907</v>
      </c>
      <c r="M328" s="629">
        <f t="shared" si="327"/>
        <v>14475574.172051815</v>
      </c>
      <c r="N328" s="629">
        <f t="shared" si="327"/>
        <v>15115557.297078211</v>
      </c>
      <c r="O328" s="629">
        <f t="shared" si="327"/>
        <v>15782358.950268565</v>
      </c>
      <c r="P328" s="11"/>
      <c r="Q328" s="11"/>
      <c r="R328" s="11"/>
      <c r="S328" s="11"/>
      <c r="T328" s="11"/>
      <c r="U328" s="11"/>
    </row>
    <row r="329" spans="3:21" hidden="1" x14ac:dyDescent="0.15">
      <c r="C329" s="31"/>
      <c r="D329" s="591"/>
      <c r="E329" s="591"/>
      <c r="F329" s="629"/>
      <c r="G329" s="629"/>
      <c r="H329" s="629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 spans="3:21" hidden="1" x14ac:dyDescent="0.15">
      <c r="C330" s="594" t="str">
        <f t="shared" si="319"/>
        <v>Net Cash Flow after Debt Service</v>
      </c>
      <c r="D330" s="591"/>
      <c r="E330" s="591"/>
      <c r="F330" s="629">
        <f>F104</f>
        <v>123571.82506701667</v>
      </c>
      <c r="G330" s="629">
        <f t="shared" ref="G330:O330" si="328">G104</f>
        <v>211880.63586701665</v>
      </c>
      <c r="H330" s="629">
        <f t="shared" si="328"/>
        <v>302650.7648830167</v>
      </c>
      <c r="I330" s="629">
        <f t="shared" si="328"/>
        <v>312362.58541343</v>
      </c>
      <c r="J330" s="629">
        <f t="shared" si="328"/>
        <v>349683.18284167629</v>
      </c>
      <c r="K330" s="629">
        <f t="shared" si="328"/>
        <v>128540.30164982541</v>
      </c>
      <c r="L330" s="629">
        <f t="shared" si="328"/>
        <v>159487.39614217298</v>
      </c>
      <c r="M330" s="629">
        <f t="shared" si="328"/>
        <v>191733.89706516813</v>
      </c>
      <c r="N330" s="629">
        <f t="shared" si="328"/>
        <v>225333.01112905389</v>
      </c>
      <c r="O330" s="629">
        <f t="shared" si="328"/>
        <v>260340.09792154748</v>
      </c>
      <c r="P330" s="11"/>
      <c r="Q330" s="11"/>
      <c r="R330" s="11"/>
      <c r="S330" s="11"/>
      <c r="T330" s="11"/>
      <c r="U330" s="11"/>
    </row>
    <row r="331" spans="3:21" hidden="1" x14ac:dyDescent="0.15">
      <c r="C331" s="594" t="str">
        <f t="shared" si="319"/>
        <v>Cash from Sale of POH</v>
      </c>
      <c r="D331" s="591"/>
      <c r="E331" s="591"/>
      <c r="F331" s="629">
        <f>F105</f>
        <v>0</v>
      </c>
      <c r="G331" s="629">
        <f t="shared" ref="G331:O331" si="329">G105</f>
        <v>0</v>
      </c>
      <c r="H331" s="629">
        <f t="shared" si="329"/>
        <v>0</v>
      </c>
      <c r="I331" s="629">
        <f t="shared" si="329"/>
        <v>0</v>
      </c>
      <c r="J331" s="629">
        <f t="shared" si="329"/>
        <v>0</v>
      </c>
      <c r="K331" s="629">
        <f t="shared" si="329"/>
        <v>0</v>
      </c>
      <c r="L331" s="629">
        <f t="shared" si="329"/>
        <v>0</v>
      </c>
      <c r="M331" s="629">
        <f t="shared" si="329"/>
        <v>0</v>
      </c>
      <c r="N331" s="629">
        <f t="shared" si="329"/>
        <v>0</v>
      </c>
      <c r="O331" s="629">
        <f t="shared" si="329"/>
        <v>0</v>
      </c>
      <c r="P331" s="11"/>
      <c r="Q331" s="11"/>
      <c r="R331" s="11"/>
      <c r="S331" s="11"/>
      <c r="T331" s="11"/>
      <c r="U331" s="11"/>
    </row>
    <row r="332" spans="3:21" hidden="1" x14ac:dyDescent="0.15">
      <c r="C332" s="594" t="str">
        <f t="shared" si="319"/>
        <v>Rental Income from POH</v>
      </c>
      <c r="D332" s="591"/>
      <c r="E332" s="591"/>
      <c r="F332" s="629">
        <f>F106</f>
        <v>119256</v>
      </c>
      <c r="G332" s="629">
        <f t="shared" ref="G332:O332" si="330">G106</f>
        <v>119256</v>
      </c>
      <c r="H332" s="629">
        <f t="shared" si="330"/>
        <v>119256</v>
      </c>
      <c r="I332" s="629">
        <f t="shared" si="330"/>
        <v>119256</v>
      </c>
      <c r="J332" s="629">
        <f t="shared" si="330"/>
        <v>119256</v>
      </c>
      <c r="K332" s="629">
        <f t="shared" si="330"/>
        <v>119256</v>
      </c>
      <c r="L332" s="629">
        <f t="shared" si="330"/>
        <v>119256</v>
      </c>
      <c r="M332" s="629">
        <f t="shared" si="330"/>
        <v>119256</v>
      </c>
      <c r="N332" s="629">
        <f t="shared" si="330"/>
        <v>119256</v>
      </c>
      <c r="O332" s="629">
        <f t="shared" si="330"/>
        <v>119256</v>
      </c>
      <c r="P332" s="11"/>
      <c r="Q332" s="11"/>
      <c r="R332" s="11"/>
      <c r="S332" s="11"/>
      <c r="T332" s="11"/>
      <c r="U332" s="11"/>
    </row>
    <row r="333" spans="3:21" hidden="1" x14ac:dyDescent="0.15">
      <c r="C333" s="594" t="str">
        <f t="shared" si="319"/>
        <v>New income from POH</v>
      </c>
      <c r="D333" s="591"/>
      <c r="E333" s="591"/>
      <c r="F333" s="629">
        <f>F107</f>
        <v>0</v>
      </c>
      <c r="G333" s="629">
        <f t="shared" ref="G333:O333" si="331">G107</f>
        <v>0</v>
      </c>
      <c r="H333" s="629">
        <f t="shared" si="331"/>
        <v>0</v>
      </c>
      <c r="I333" s="629">
        <f t="shared" si="331"/>
        <v>0</v>
      </c>
      <c r="J333" s="629">
        <f t="shared" si="331"/>
        <v>0</v>
      </c>
      <c r="K333" s="629">
        <f t="shared" si="331"/>
        <v>0</v>
      </c>
      <c r="L333" s="629">
        <f t="shared" si="331"/>
        <v>0</v>
      </c>
      <c r="M333" s="629">
        <f t="shared" si="331"/>
        <v>0</v>
      </c>
      <c r="N333" s="629">
        <f t="shared" si="331"/>
        <v>0</v>
      </c>
      <c r="O333" s="629">
        <f t="shared" si="331"/>
        <v>0</v>
      </c>
      <c r="P333" s="11"/>
      <c r="Q333" s="11"/>
      <c r="R333" s="11"/>
      <c r="S333" s="11"/>
      <c r="T333" s="11"/>
      <c r="U333" s="11"/>
    </row>
    <row r="334" spans="3:21" hidden="1" x14ac:dyDescent="0.15">
      <c r="C334" s="594" t="str">
        <f t="shared" si="319"/>
        <v>POH Seller Carry Note</v>
      </c>
      <c r="D334" s="591"/>
      <c r="E334" s="591"/>
      <c r="F334" s="629">
        <f>F108</f>
        <v>0</v>
      </c>
      <c r="G334" s="629">
        <f t="shared" ref="G334:O334" si="332">G108</f>
        <v>0</v>
      </c>
      <c r="H334" s="629">
        <f t="shared" si="332"/>
        <v>0</v>
      </c>
      <c r="I334" s="629">
        <f t="shared" si="332"/>
        <v>0</v>
      </c>
      <c r="J334" s="629">
        <f t="shared" si="332"/>
        <v>0</v>
      </c>
      <c r="K334" s="629">
        <f t="shared" si="332"/>
        <v>0</v>
      </c>
      <c r="L334" s="629">
        <f t="shared" si="332"/>
        <v>0</v>
      </c>
      <c r="M334" s="629">
        <f t="shared" si="332"/>
        <v>0</v>
      </c>
      <c r="N334" s="629">
        <f t="shared" si="332"/>
        <v>0</v>
      </c>
      <c r="O334" s="629">
        <f t="shared" si="332"/>
        <v>0</v>
      </c>
      <c r="P334" s="11"/>
      <c r="Q334" s="11"/>
      <c r="R334" s="11"/>
      <c r="S334" s="11"/>
      <c r="T334" s="11"/>
      <c r="U334" s="11"/>
    </row>
    <row r="335" spans="3:21" hidden="1" x14ac:dyDescent="0.15">
      <c r="C335" s="594" t="str">
        <f t="shared" si="319"/>
        <v>Return of Capital (other)</v>
      </c>
      <c r="D335" s="591"/>
      <c r="E335" s="591"/>
      <c r="F335" s="629">
        <f t="shared" ref="F335:F336" si="333">F113</f>
        <v>0</v>
      </c>
      <c r="G335" s="629">
        <f t="shared" ref="G335:O335" si="334">G113</f>
        <v>0</v>
      </c>
      <c r="H335" s="629">
        <f t="shared" si="334"/>
        <v>0</v>
      </c>
      <c r="I335" s="629">
        <f t="shared" si="334"/>
        <v>0</v>
      </c>
      <c r="J335" s="629">
        <f t="shared" si="334"/>
        <v>3306387.0905211652</v>
      </c>
      <c r="K335" s="629">
        <f t="shared" si="334"/>
        <v>0</v>
      </c>
      <c r="L335" s="629">
        <f t="shared" si="334"/>
        <v>0</v>
      </c>
      <c r="M335" s="629">
        <f t="shared" si="334"/>
        <v>0</v>
      </c>
      <c r="N335" s="629">
        <f t="shared" si="334"/>
        <v>0</v>
      </c>
      <c r="O335" s="629">
        <f t="shared" si="334"/>
        <v>0</v>
      </c>
      <c r="P335" s="11"/>
      <c r="Q335" s="11"/>
      <c r="R335" s="11"/>
      <c r="S335" s="11"/>
      <c r="T335" s="11"/>
      <c r="U335" s="11"/>
    </row>
    <row r="336" spans="3:21" hidden="1" x14ac:dyDescent="0.15">
      <c r="C336" s="594" t="str">
        <f t="shared" si="319"/>
        <v>Sale Proceeds at Exit</v>
      </c>
      <c r="D336" s="591"/>
      <c r="E336" s="591"/>
      <c r="F336" s="629">
        <f t="shared" si="333"/>
        <v>0</v>
      </c>
      <c r="G336" s="629">
        <f t="shared" ref="G336:N336" si="335">G114</f>
        <v>0</v>
      </c>
      <c r="H336" s="629">
        <f t="shared" si="335"/>
        <v>0</v>
      </c>
      <c r="I336" s="629">
        <f t="shared" si="335"/>
        <v>0</v>
      </c>
      <c r="J336" s="629">
        <f t="shared" si="335"/>
        <v>0</v>
      </c>
      <c r="K336" s="629">
        <f t="shared" si="335"/>
        <v>0</v>
      </c>
      <c r="L336" s="629">
        <f t="shared" si="335"/>
        <v>0</v>
      </c>
      <c r="M336" s="629">
        <f t="shared" si="335"/>
        <v>0</v>
      </c>
      <c r="N336" s="629">
        <f t="shared" si="335"/>
        <v>0</v>
      </c>
      <c r="O336" s="629">
        <f>+(O316/RefiCap)*(1-Cost_of_Sale)</f>
        <v>15308888.181760507</v>
      </c>
      <c r="P336" s="11"/>
      <c r="Q336" s="11"/>
      <c r="R336" s="11"/>
      <c r="S336" s="11"/>
      <c r="T336" s="11"/>
      <c r="U336" s="11"/>
    </row>
    <row r="337" spans="3:28" hidden="1" x14ac:dyDescent="0.15">
      <c r="C337" s="594" t="str">
        <f t="shared" si="319"/>
        <v>Repay Outstanding Loan</v>
      </c>
      <c r="D337" s="591"/>
      <c r="E337" s="591"/>
      <c r="F337" s="629"/>
      <c r="G337" s="629"/>
      <c r="H337" s="629"/>
      <c r="I337" s="629"/>
      <c r="J337" s="629"/>
      <c r="K337" s="629"/>
      <c r="L337" s="629"/>
      <c r="M337" s="629"/>
      <c r="N337" s="629"/>
      <c r="O337" s="629">
        <f>-O324</f>
        <v>-7668597.6668857727</v>
      </c>
      <c r="P337" s="11"/>
      <c r="Q337" s="11"/>
      <c r="R337" s="11"/>
      <c r="S337" s="11"/>
      <c r="T337" s="11"/>
      <c r="U337" s="11"/>
      <c r="V337" s="591"/>
      <c r="W337" s="591"/>
      <c r="X337" s="591"/>
      <c r="Y337" s="591"/>
      <c r="Z337" s="591"/>
      <c r="AA337" s="591"/>
      <c r="AB337" s="591"/>
    </row>
    <row r="338" spans="3:28" ht="14" hidden="1" thickBot="1" x14ac:dyDescent="0.2">
      <c r="C338" s="677" t="str">
        <f t="shared" si="319"/>
        <v>Pretax Income Available for Distribution</v>
      </c>
      <c r="D338" s="591"/>
      <c r="E338" s="629">
        <f>E289</f>
        <v>-4019999.580000001</v>
      </c>
      <c r="F338" s="629">
        <f>SUM(F330:F337)</f>
        <v>242827.82506701667</v>
      </c>
      <c r="G338" s="629">
        <f t="shared" ref="G338:O338" si="336">SUM(G330:G337)</f>
        <v>331136.63586701662</v>
      </c>
      <c r="H338" s="629">
        <f t="shared" si="336"/>
        <v>421906.7648830167</v>
      </c>
      <c r="I338" s="629">
        <f t="shared" si="336"/>
        <v>431618.58541343</v>
      </c>
      <c r="J338" s="629">
        <f t="shared" si="336"/>
        <v>3775326.2733628415</v>
      </c>
      <c r="K338" s="629">
        <f t="shared" si="336"/>
        <v>247796.30164982541</v>
      </c>
      <c r="L338" s="629">
        <f t="shared" si="336"/>
        <v>278743.39614217298</v>
      </c>
      <c r="M338" s="629">
        <f t="shared" si="336"/>
        <v>310989.89706516813</v>
      </c>
      <c r="N338" s="629">
        <f t="shared" si="336"/>
        <v>344589.01112905389</v>
      </c>
      <c r="O338" s="629">
        <f t="shared" si="336"/>
        <v>8019886.6127962824</v>
      </c>
      <c r="P338" s="11"/>
      <c r="Q338" s="11"/>
      <c r="R338" s="11"/>
      <c r="S338" s="11"/>
      <c r="T338" s="11"/>
      <c r="U338" s="11"/>
      <c r="V338" s="591"/>
      <c r="W338" s="591"/>
      <c r="X338" s="591"/>
      <c r="Y338" s="591"/>
      <c r="Z338" s="591"/>
      <c r="AA338" s="591"/>
      <c r="AB338" s="591"/>
    </row>
    <row r="339" spans="3:28" ht="14" hidden="1" thickTop="1" x14ac:dyDescent="0.15">
      <c r="C339" s="591"/>
      <c r="D339" s="591"/>
      <c r="E339" s="59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3:28" hidden="1" x14ac:dyDescent="0.15">
      <c r="C340" s="7" t="s">
        <v>265</v>
      </c>
      <c r="D340" s="591"/>
      <c r="E340" s="630">
        <f>IRR(E338:O338)</f>
        <v>0.19889915064877361</v>
      </c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3:28" hidden="1" x14ac:dyDescent="0.15">
      <c r="C341" s="594"/>
      <c r="D341" s="591"/>
      <c r="E341" s="59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3:28" hidden="1" x14ac:dyDescent="0.15">
      <c r="C342" s="7" t="str">
        <f t="shared" ref="C342:C355" si="337">+C293</f>
        <v>Distributions</v>
      </c>
      <c r="D342" s="591"/>
      <c r="E342" s="591"/>
      <c r="F342" s="9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3:28" hidden="1" x14ac:dyDescent="0.15">
      <c r="C343" s="594" t="str">
        <f t="shared" si="337"/>
        <v>Investor Preferred Return</v>
      </c>
      <c r="D343" s="591"/>
      <c r="E343" s="591"/>
      <c r="F343" s="9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3:28" hidden="1" x14ac:dyDescent="0.15">
      <c r="C344" s="19" t="str">
        <f t="shared" si="337"/>
        <v>Beginning balance</v>
      </c>
      <c r="D344" s="591"/>
      <c r="E344" s="591"/>
      <c r="F344" s="9">
        <f>-E338</f>
        <v>4019999.580000001</v>
      </c>
      <c r="G344" s="9">
        <f>+F347</f>
        <v>3978171.7339329845</v>
      </c>
      <c r="H344" s="9">
        <f t="shared" ref="H344:O344" si="338">+G347</f>
        <v>3845943.6847626176</v>
      </c>
      <c r="I344" s="9">
        <f t="shared" si="338"/>
        <v>3616334.1041177316</v>
      </c>
      <c r="J344" s="9">
        <f t="shared" si="338"/>
        <v>3365532.2239101883</v>
      </c>
      <c r="K344" s="9">
        <f t="shared" si="338"/>
        <v>0</v>
      </c>
      <c r="L344" s="9">
        <f t="shared" si="338"/>
        <v>0</v>
      </c>
      <c r="M344" s="9">
        <f t="shared" si="338"/>
        <v>0</v>
      </c>
      <c r="N344" s="9">
        <f t="shared" si="338"/>
        <v>0</v>
      </c>
      <c r="O344" s="9">
        <f t="shared" si="338"/>
        <v>0</v>
      </c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3:28" hidden="1" x14ac:dyDescent="0.15">
      <c r="C345" s="19" t="str">
        <f t="shared" si="337"/>
        <v>Preferred return</v>
      </c>
      <c r="D345" s="591"/>
      <c r="E345" s="591"/>
      <c r="F345" s="9">
        <f t="shared" ref="F345:O345" si="339">+F344*InvestorPref</f>
        <v>200999.97900000005</v>
      </c>
      <c r="G345" s="9">
        <f t="shared" si="339"/>
        <v>198908.58669664923</v>
      </c>
      <c r="H345" s="9">
        <f t="shared" si="339"/>
        <v>192297.1842381309</v>
      </c>
      <c r="I345" s="9">
        <f t="shared" si="339"/>
        <v>180816.7052058866</v>
      </c>
      <c r="J345" s="9">
        <f t="shared" si="339"/>
        <v>168276.61119550944</v>
      </c>
      <c r="K345" s="9">
        <f t="shared" si="339"/>
        <v>0</v>
      </c>
      <c r="L345" s="9">
        <f t="shared" si="339"/>
        <v>0</v>
      </c>
      <c r="M345" s="9">
        <f t="shared" si="339"/>
        <v>0</v>
      </c>
      <c r="N345" s="9">
        <f t="shared" si="339"/>
        <v>0</v>
      </c>
      <c r="O345" s="9">
        <f t="shared" si="339"/>
        <v>0</v>
      </c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3:28" hidden="1" x14ac:dyDescent="0.15">
      <c r="C346" s="19" t="str">
        <f t="shared" si="337"/>
        <v>Payment</v>
      </c>
      <c r="D346" s="591"/>
      <c r="E346" s="591"/>
      <c r="F346" s="9">
        <f>MAX(-F344-F345,-F338)</f>
        <v>-242827.82506701667</v>
      </c>
      <c r="G346" s="9">
        <f t="shared" ref="G346:O346" si="340">MAX(-G344-G345,-G338)</f>
        <v>-331136.63586701662</v>
      </c>
      <c r="H346" s="9">
        <f t="shared" si="340"/>
        <v>-421906.7648830167</v>
      </c>
      <c r="I346" s="9">
        <f t="shared" si="340"/>
        <v>-431618.58541343</v>
      </c>
      <c r="J346" s="9">
        <f t="shared" si="340"/>
        <v>-3533808.8351056976</v>
      </c>
      <c r="K346" s="9">
        <f t="shared" si="340"/>
        <v>0</v>
      </c>
      <c r="L346" s="9">
        <f t="shared" si="340"/>
        <v>0</v>
      </c>
      <c r="M346" s="9">
        <f t="shared" si="340"/>
        <v>0</v>
      </c>
      <c r="N346" s="9">
        <f t="shared" si="340"/>
        <v>0</v>
      </c>
      <c r="O346" s="9">
        <f t="shared" si="340"/>
        <v>0</v>
      </c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3:28" hidden="1" x14ac:dyDescent="0.15">
      <c r="C347" s="19" t="str">
        <f t="shared" si="337"/>
        <v>Ending balance</v>
      </c>
      <c r="D347" s="591"/>
      <c r="E347" s="591"/>
      <c r="F347" s="737">
        <f>SUM(F344:F346)</f>
        <v>3978171.7339329845</v>
      </c>
      <c r="G347" s="737">
        <f t="shared" ref="G347:O347" si="341">SUM(G344:G346)</f>
        <v>3845943.6847626176</v>
      </c>
      <c r="H347" s="737">
        <f t="shared" si="341"/>
        <v>3616334.1041177316</v>
      </c>
      <c r="I347" s="737">
        <f t="shared" si="341"/>
        <v>3365532.2239101883</v>
      </c>
      <c r="J347" s="737">
        <f t="shared" si="341"/>
        <v>0</v>
      </c>
      <c r="K347" s="737">
        <f t="shared" si="341"/>
        <v>0</v>
      </c>
      <c r="L347" s="737">
        <f t="shared" si="341"/>
        <v>0</v>
      </c>
      <c r="M347" s="737">
        <f t="shared" si="341"/>
        <v>0</v>
      </c>
      <c r="N347" s="737">
        <f t="shared" si="341"/>
        <v>0</v>
      </c>
      <c r="O347" s="737">
        <f t="shared" si="341"/>
        <v>0</v>
      </c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3:28" hidden="1" x14ac:dyDescent="0.15">
      <c r="C348" s="594" t="str">
        <f t="shared" si="337"/>
        <v>Available After Pref / Return Of Capital</v>
      </c>
      <c r="D348" s="591"/>
      <c r="E348" s="591"/>
      <c r="F348" s="9">
        <f>+F338+F346</f>
        <v>0</v>
      </c>
      <c r="G348" s="9">
        <f t="shared" ref="G348:O348" si="342">+G338+G346</f>
        <v>0</v>
      </c>
      <c r="H348" s="9">
        <f t="shared" si="342"/>
        <v>0</v>
      </c>
      <c r="I348" s="9">
        <f t="shared" si="342"/>
        <v>0</v>
      </c>
      <c r="J348" s="9">
        <f t="shared" si="342"/>
        <v>241517.43825714383</v>
      </c>
      <c r="K348" s="9">
        <f t="shared" si="342"/>
        <v>247796.30164982541</v>
      </c>
      <c r="L348" s="9">
        <f t="shared" si="342"/>
        <v>278743.39614217298</v>
      </c>
      <c r="M348" s="9">
        <f t="shared" si="342"/>
        <v>310989.89706516813</v>
      </c>
      <c r="N348" s="9">
        <f t="shared" si="342"/>
        <v>344589.01112905389</v>
      </c>
      <c r="O348" s="9">
        <f t="shared" si="342"/>
        <v>8019886.6127962824</v>
      </c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3:28" hidden="1" x14ac:dyDescent="0.15">
      <c r="C349" s="37" t="str">
        <f t="shared" si="337"/>
        <v>Split</v>
      </c>
      <c r="D349" s="591"/>
      <c r="E349" s="591"/>
      <c r="F349" s="9"/>
      <c r="G349" s="9"/>
      <c r="H349" s="9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3:28" hidden="1" x14ac:dyDescent="0.15">
      <c r="C350" s="628" t="str">
        <f t="shared" si="337"/>
        <v>Investor</v>
      </c>
      <c r="D350" s="591"/>
      <c r="E350" s="591"/>
      <c r="F350" s="9">
        <f t="shared" ref="F350:O350" si="343">+F348*InvestorPromote</f>
        <v>0</v>
      </c>
      <c r="G350" s="9">
        <f t="shared" si="343"/>
        <v>0</v>
      </c>
      <c r="H350" s="9">
        <f t="shared" si="343"/>
        <v>0</v>
      </c>
      <c r="I350" s="9">
        <f t="shared" si="343"/>
        <v>0</v>
      </c>
      <c r="J350" s="9">
        <f t="shared" si="343"/>
        <v>120758.71912857192</v>
      </c>
      <c r="K350" s="9">
        <f t="shared" si="343"/>
        <v>123898.15082491271</v>
      </c>
      <c r="L350" s="9">
        <f t="shared" si="343"/>
        <v>139371.69807108649</v>
      </c>
      <c r="M350" s="9">
        <f t="shared" si="343"/>
        <v>155494.94853258407</v>
      </c>
      <c r="N350" s="9">
        <f t="shared" si="343"/>
        <v>172294.50556452695</v>
      </c>
      <c r="O350" s="9">
        <f t="shared" si="343"/>
        <v>4009943.3063981412</v>
      </c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3:28" hidden="1" x14ac:dyDescent="0.15">
      <c r="C351" s="628" t="str">
        <f t="shared" si="337"/>
        <v>BVG</v>
      </c>
      <c r="D351" s="591"/>
      <c r="E351" s="591"/>
      <c r="F351" s="9">
        <f t="shared" ref="F351:O351" si="344">+F348*BVGPromote</f>
        <v>0</v>
      </c>
      <c r="G351" s="9">
        <f t="shared" si="344"/>
        <v>0</v>
      </c>
      <c r="H351" s="9">
        <f t="shared" si="344"/>
        <v>0</v>
      </c>
      <c r="I351" s="9">
        <f t="shared" si="344"/>
        <v>0</v>
      </c>
      <c r="J351" s="9">
        <f t="shared" si="344"/>
        <v>120758.71912857192</v>
      </c>
      <c r="K351" s="9">
        <f t="shared" si="344"/>
        <v>123898.15082491271</v>
      </c>
      <c r="L351" s="9">
        <f t="shared" si="344"/>
        <v>139371.69807108649</v>
      </c>
      <c r="M351" s="9">
        <f t="shared" si="344"/>
        <v>155494.94853258407</v>
      </c>
      <c r="N351" s="9">
        <f t="shared" si="344"/>
        <v>172294.50556452695</v>
      </c>
      <c r="O351" s="9">
        <f t="shared" si="344"/>
        <v>4009943.3063981412</v>
      </c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3:28" hidden="1" x14ac:dyDescent="0.15">
      <c r="C352" s="37" t="str">
        <f t="shared" si="337"/>
        <v>Total</v>
      </c>
      <c r="D352" s="591"/>
      <c r="E352" s="591"/>
      <c r="F352" s="9"/>
      <c r="G352" s="9"/>
      <c r="H352" s="9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3:28" hidden="1" x14ac:dyDescent="0.15">
      <c r="C353" s="628" t="str">
        <f t="shared" si="337"/>
        <v>Investor</v>
      </c>
      <c r="D353" s="591"/>
      <c r="E353" s="591"/>
      <c r="F353" s="9">
        <f>-F346+F350</f>
        <v>242827.82506701667</v>
      </c>
      <c r="G353" s="9">
        <f t="shared" ref="G353:J353" si="345">-G346+G350</f>
        <v>331136.63586701662</v>
      </c>
      <c r="H353" s="9">
        <f t="shared" si="345"/>
        <v>421906.7648830167</v>
      </c>
      <c r="I353" s="9">
        <f t="shared" si="345"/>
        <v>431618.58541343</v>
      </c>
      <c r="J353" s="9">
        <f t="shared" si="345"/>
        <v>3654567.5542342695</v>
      </c>
      <c r="K353" s="9">
        <f t="shared" ref="K353:O353" si="346">-K346+K350</f>
        <v>123898.15082491271</v>
      </c>
      <c r="L353" s="9">
        <f t="shared" si="346"/>
        <v>139371.69807108649</v>
      </c>
      <c r="M353" s="9">
        <f t="shared" si="346"/>
        <v>155494.94853258407</v>
      </c>
      <c r="N353" s="9">
        <f t="shared" si="346"/>
        <v>172294.50556452695</v>
      </c>
      <c r="O353" s="9">
        <f t="shared" si="346"/>
        <v>4009943.3063981412</v>
      </c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3:28" hidden="1" x14ac:dyDescent="0.15">
      <c r="C354" s="628" t="str">
        <f t="shared" si="337"/>
        <v>BVG</v>
      </c>
      <c r="D354" s="591"/>
      <c r="E354" s="591"/>
      <c r="F354" s="9">
        <f>+F351</f>
        <v>0</v>
      </c>
      <c r="G354" s="9">
        <f t="shared" ref="G354:J354" si="347">+G351</f>
        <v>0</v>
      </c>
      <c r="H354" s="9">
        <f t="shared" si="347"/>
        <v>0</v>
      </c>
      <c r="I354" s="9">
        <f t="shared" si="347"/>
        <v>0</v>
      </c>
      <c r="J354" s="9">
        <f t="shared" si="347"/>
        <v>120758.71912857192</v>
      </c>
      <c r="K354" s="9">
        <f t="shared" ref="K354:O354" si="348">+K351</f>
        <v>123898.15082491271</v>
      </c>
      <c r="L354" s="9">
        <f t="shared" si="348"/>
        <v>139371.69807108649</v>
      </c>
      <c r="M354" s="9">
        <f t="shared" si="348"/>
        <v>155494.94853258407</v>
      </c>
      <c r="N354" s="9">
        <f t="shared" si="348"/>
        <v>172294.50556452695</v>
      </c>
      <c r="O354" s="9">
        <f t="shared" si="348"/>
        <v>4009943.3063981412</v>
      </c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3:28" ht="14" hidden="1" x14ac:dyDescent="0.15">
      <c r="C355" s="124" t="str">
        <f t="shared" si="337"/>
        <v>Total Project Cash Flow</v>
      </c>
      <c r="D355" s="591"/>
      <c r="E355" s="629">
        <f>E338</f>
        <v>-4019999.580000001</v>
      </c>
      <c r="F355" s="9">
        <f>+F353</f>
        <v>242827.82506701667</v>
      </c>
      <c r="G355" s="9">
        <f t="shared" ref="G355:J355" si="349">+G353</f>
        <v>331136.63586701662</v>
      </c>
      <c r="H355" s="9">
        <f t="shared" si="349"/>
        <v>421906.7648830167</v>
      </c>
      <c r="I355" s="9">
        <f t="shared" si="349"/>
        <v>431618.58541343</v>
      </c>
      <c r="J355" s="9">
        <f t="shared" si="349"/>
        <v>3654567.5542342695</v>
      </c>
      <c r="K355" s="9">
        <f t="shared" ref="K355:O355" si="350">+K353</f>
        <v>123898.15082491271</v>
      </c>
      <c r="L355" s="9">
        <f t="shared" si="350"/>
        <v>139371.69807108649</v>
      </c>
      <c r="M355" s="9">
        <f t="shared" si="350"/>
        <v>155494.94853258407</v>
      </c>
      <c r="N355" s="9">
        <f t="shared" si="350"/>
        <v>172294.50556452695</v>
      </c>
      <c r="O355" s="9">
        <f t="shared" si="350"/>
        <v>4009943.3063981412</v>
      </c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3:28" hidden="1" x14ac:dyDescent="0.15">
      <c r="C356" s="591"/>
      <c r="D356" s="591"/>
      <c r="E356" s="59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3:28" hidden="1" x14ac:dyDescent="0.15">
      <c r="C357" s="591" t="s">
        <v>266</v>
      </c>
      <c r="D357" s="591"/>
      <c r="E357" s="630">
        <f>IRR(E355:O355)</f>
        <v>0.14898953767875489</v>
      </c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3:28" hidden="1" x14ac:dyDescent="0.15">
      <c r="C358" s="591" t="str">
        <f>+C309</f>
        <v>Investor Multiple</v>
      </c>
      <c r="D358" s="591"/>
      <c r="E358" s="640">
        <f>SUM(F355:O355)/-E355</f>
        <v>2.4087216384375836</v>
      </c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3:28" hidden="1" x14ac:dyDescent="0.15">
      <c r="C359" s="591" t="str">
        <f>+C310</f>
        <v>investor cash</v>
      </c>
      <c r="D359" s="591"/>
      <c r="E359" s="622">
        <f>SUM(F355:O355)</f>
        <v>9683059.9748560004</v>
      </c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3:28" hidden="1" x14ac:dyDescent="0.15">
      <c r="C360" s="591" t="s">
        <v>259</v>
      </c>
      <c r="E360" s="622">
        <f>SUM(F354:O354)</f>
        <v>4721761.328519823</v>
      </c>
      <c r="F360" s="591"/>
      <c r="G360" s="591"/>
      <c r="H360" s="591"/>
      <c r="I360" s="591"/>
      <c r="J360" s="591"/>
      <c r="K360" s="591"/>
      <c r="L360" s="591"/>
      <c r="M360" s="591"/>
      <c r="N360" s="591"/>
      <c r="O360" s="591"/>
      <c r="P360" s="591"/>
      <c r="Q360" s="591"/>
      <c r="R360" s="591"/>
      <c r="S360" s="591"/>
      <c r="T360" s="591"/>
      <c r="U360" s="591"/>
      <c r="V360" s="591"/>
      <c r="W360" s="591"/>
      <c r="X360" s="591"/>
      <c r="Y360" s="591"/>
      <c r="Z360" s="591"/>
      <c r="AA360" s="591"/>
      <c r="AB360" s="591"/>
    </row>
    <row r="361" spans="3:28" hidden="1" x14ac:dyDescent="0.15">
      <c r="C361" s="591"/>
      <c r="E361" s="591"/>
      <c r="F361" s="591"/>
      <c r="G361" s="591"/>
      <c r="H361" s="591"/>
      <c r="I361" s="591"/>
      <c r="J361" s="591"/>
      <c r="K361" s="591"/>
      <c r="L361" s="591"/>
      <c r="M361" s="591"/>
      <c r="N361" s="591"/>
      <c r="O361" s="591"/>
      <c r="P361" s="591"/>
      <c r="Q361" s="591"/>
      <c r="R361" s="591"/>
      <c r="S361" s="591"/>
      <c r="T361" s="591"/>
      <c r="U361" s="591"/>
      <c r="V361" s="591"/>
      <c r="W361" s="591"/>
      <c r="X361" s="591"/>
      <c r="Y361" s="591"/>
      <c r="Z361" s="591"/>
      <c r="AA361" s="591"/>
      <c r="AB361" s="591"/>
    </row>
    <row r="362" spans="3:28" hidden="1" x14ac:dyDescent="0.15">
      <c r="C362" s="591"/>
      <c r="E362" s="591"/>
      <c r="F362" s="591"/>
      <c r="G362" s="591"/>
      <c r="H362" s="591"/>
      <c r="I362" s="591"/>
      <c r="J362" s="591"/>
      <c r="K362" s="591"/>
      <c r="L362" s="591"/>
      <c r="M362" s="591"/>
      <c r="N362" s="591"/>
      <c r="O362" s="591"/>
      <c r="P362" s="591"/>
      <c r="Q362" s="591"/>
      <c r="R362" s="591"/>
      <c r="S362" s="591"/>
      <c r="T362" s="591"/>
      <c r="U362" s="591"/>
      <c r="V362" s="591"/>
      <c r="W362" s="591"/>
      <c r="X362" s="591"/>
      <c r="Y362" s="591"/>
      <c r="Z362" s="591"/>
      <c r="AA362" s="591"/>
      <c r="AB362" s="591"/>
    </row>
    <row r="363" spans="3:28" hidden="1" x14ac:dyDescent="0.15">
      <c r="C363" s="591"/>
      <c r="E363" s="591"/>
      <c r="F363" s="591"/>
      <c r="G363" s="591"/>
      <c r="H363" s="591"/>
      <c r="I363" s="591"/>
      <c r="J363" s="591"/>
      <c r="K363" s="591"/>
      <c r="L363" s="591"/>
      <c r="M363" s="591"/>
      <c r="N363" s="591"/>
      <c r="O363" s="591"/>
      <c r="P363" s="591"/>
      <c r="Q363" s="591"/>
      <c r="R363" s="591"/>
      <c r="S363" s="591"/>
      <c r="T363" s="591"/>
      <c r="U363" s="591"/>
      <c r="V363" s="591"/>
      <c r="W363" s="591"/>
      <c r="X363" s="591"/>
      <c r="Y363" s="591"/>
      <c r="Z363" s="591"/>
      <c r="AA363" s="591"/>
      <c r="AB363" s="591"/>
    </row>
    <row r="364" spans="3:28" hidden="1" x14ac:dyDescent="0.15">
      <c r="C364" s="591"/>
      <c r="E364" s="591"/>
      <c r="F364" s="591"/>
      <c r="G364" s="591"/>
      <c r="H364" s="591"/>
      <c r="I364" s="591"/>
      <c r="J364" s="591"/>
      <c r="K364" s="591"/>
      <c r="L364" s="591"/>
      <c r="M364" s="591"/>
      <c r="N364" s="591"/>
      <c r="O364" s="591"/>
      <c r="P364" s="591"/>
      <c r="Q364" s="591"/>
      <c r="R364" s="591"/>
      <c r="S364" s="591"/>
      <c r="T364" s="591"/>
      <c r="U364" s="591"/>
      <c r="V364" s="591"/>
      <c r="W364" s="591"/>
      <c r="X364" s="591"/>
      <c r="Y364" s="591"/>
      <c r="Z364" s="591"/>
      <c r="AA364" s="591"/>
      <c r="AB364" s="591"/>
    </row>
    <row r="365" spans="3:28" hidden="1" x14ac:dyDescent="0.15">
      <c r="C365" s="591"/>
      <c r="E365" s="591"/>
      <c r="F365" s="591"/>
      <c r="G365" s="591"/>
      <c r="H365" s="591"/>
      <c r="I365" s="591"/>
      <c r="J365" s="591"/>
      <c r="K365" s="591"/>
      <c r="L365" s="591"/>
      <c r="M365" s="591"/>
      <c r="N365" s="591"/>
      <c r="O365" s="591"/>
      <c r="P365" s="591"/>
      <c r="Q365" s="591"/>
      <c r="R365" s="591"/>
      <c r="S365" s="591"/>
      <c r="T365" s="591"/>
      <c r="U365" s="591"/>
      <c r="V365" s="591"/>
      <c r="W365" s="591"/>
      <c r="X365" s="591"/>
      <c r="Y365" s="591"/>
      <c r="Z365" s="591"/>
      <c r="AA365" s="591"/>
      <c r="AB365" s="591"/>
    </row>
    <row r="366" spans="3:28" hidden="1" x14ac:dyDescent="0.15">
      <c r="C366" s="591"/>
      <c r="E366" s="591"/>
      <c r="F366" s="591"/>
      <c r="G366" s="591"/>
      <c r="H366" s="591"/>
      <c r="I366" s="591"/>
      <c r="J366" s="591"/>
      <c r="K366" s="591"/>
      <c r="L366" s="591"/>
      <c r="M366" s="591"/>
      <c r="N366" s="591"/>
      <c r="O366" s="591"/>
      <c r="P366" s="591"/>
      <c r="Q366" s="591"/>
      <c r="R366" s="591"/>
      <c r="S366" s="591"/>
      <c r="T366" s="591"/>
      <c r="U366" s="591"/>
      <c r="V366" s="591"/>
      <c r="W366" s="591"/>
      <c r="X366" s="591"/>
      <c r="Y366" s="591"/>
      <c r="Z366" s="591"/>
      <c r="AA366" s="591"/>
      <c r="AB366" s="591"/>
    </row>
    <row r="367" spans="3:28" hidden="1" x14ac:dyDescent="0.15">
      <c r="C367" s="591"/>
      <c r="E367" s="591"/>
      <c r="F367" s="591"/>
      <c r="G367" s="591"/>
      <c r="H367" s="591"/>
      <c r="I367" s="591"/>
      <c r="J367" s="591"/>
      <c r="K367" s="591"/>
      <c r="L367" s="591"/>
      <c r="M367" s="591"/>
      <c r="N367" s="591"/>
      <c r="O367" s="591"/>
      <c r="P367" s="591"/>
      <c r="Q367" s="591"/>
      <c r="R367" s="591"/>
      <c r="S367" s="591"/>
      <c r="T367" s="591"/>
      <c r="U367" s="591"/>
      <c r="V367" s="591"/>
      <c r="W367" s="591"/>
      <c r="X367" s="591"/>
      <c r="Y367" s="591"/>
      <c r="Z367" s="591"/>
      <c r="AA367" s="591"/>
      <c r="AB367" s="591"/>
    </row>
    <row r="368" spans="3:28" hidden="1" x14ac:dyDescent="0.15">
      <c r="C368" s="591"/>
      <c r="E368" s="591"/>
      <c r="F368" s="591"/>
      <c r="G368" s="591"/>
      <c r="H368" s="591"/>
      <c r="I368" s="591"/>
      <c r="J368" s="591"/>
      <c r="K368" s="591"/>
      <c r="L368" s="591"/>
      <c r="M368" s="591"/>
      <c r="N368" s="591"/>
      <c r="O368" s="591"/>
      <c r="P368" s="591"/>
      <c r="Q368" s="591"/>
      <c r="R368" s="591"/>
      <c r="S368" s="591"/>
      <c r="T368" s="591"/>
      <c r="U368" s="591"/>
      <c r="V368" s="591"/>
      <c r="W368" s="591"/>
      <c r="X368" s="591"/>
      <c r="Y368" s="591"/>
      <c r="Z368" s="591"/>
      <c r="AA368" s="591"/>
      <c r="AB368" s="591"/>
    </row>
    <row r="369" spans="2:4" hidden="1" x14ac:dyDescent="0.15">
      <c r="C369" s="591"/>
    </row>
    <row r="370" spans="2:4" hidden="1" x14ac:dyDescent="0.15">
      <c r="C370" s="591"/>
    </row>
    <row r="371" spans="2:4" hidden="1" x14ac:dyDescent="0.15">
      <c r="C371" s="591"/>
    </row>
    <row r="372" spans="2:4" hidden="1" x14ac:dyDescent="0.15">
      <c r="C372" s="591"/>
    </row>
    <row r="373" spans="2:4" hidden="1" x14ac:dyDescent="0.15">
      <c r="C373" s="591"/>
    </row>
    <row r="374" spans="2:4" hidden="1" x14ac:dyDescent="0.15">
      <c r="C374" s="591"/>
    </row>
    <row r="375" spans="2:4" hidden="1" x14ac:dyDescent="0.15">
      <c r="C375" s="591"/>
    </row>
    <row r="376" spans="2:4" hidden="1" x14ac:dyDescent="0.15">
      <c r="C376" s="591"/>
    </row>
    <row r="377" spans="2:4" hidden="1" x14ac:dyDescent="0.15">
      <c r="C377" s="591"/>
    </row>
    <row r="378" spans="2:4" hidden="1" x14ac:dyDescent="0.15">
      <c r="C378" s="591"/>
    </row>
    <row r="379" spans="2:4" hidden="1" x14ac:dyDescent="0.15">
      <c r="C379" s="591"/>
    </row>
    <row r="380" spans="2:4" hidden="1" x14ac:dyDescent="0.15">
      <c r="C380" s="591"/>
    </row>
    <row r="381" spans="2:4" hidden="1" x14ac:dyDescent="0.15">
      <c r="C381" s="591"/>
    </row>
    <row r="382" spans="2:4" hidden="1" x14ac:dyDescent="0.15">
      <c r="C382" s="591"/>
    </row>
    <row r="383" spans="2:4" hidden="1" x14ac:dyDescent="0.15">
      <c r="C383" s="591"/>
    </row>
    <row r="384" spans="2:4" s="296" customFormat="1" hidden="1" x14ac:dyDescent="0.15">
      <c r="B384" s="460"/>
      <c r="C384" s="297" t="s">
        <v>267</v>
      </c>
      <c r="D384" s="295"/>
    </row>
  </sheetData>
  <sheetProtection algorithmName="SHA-512" hashValue="IlUQk3aIGNfFcCzX+w/rCo+z1EEWeVJcMAww2b64bgkTOwDlG4OzSCRHPt8wW/nPcXp7HVK0RSXY4Vr2QJTocw==" saltValue="cZ7yUJBCoZvBWZBEXJs7hg==" spinCount="100000" sheet="1" objects="1" scenarios="1"/>
  <mergeCells count="9">
    <mergeCell ref="C265:J265"/>
    <mergeCell ref="C190:O190"/>
    <mergeCell ref="C314:O314"/>
    <mergeCell ref="D1:E1"/>
    <mergeCell ref="C216:H216"/>
    <mergeCell ref="A155:O155"/>
    <mergeCell ref="C176:D176"/>
    <mergeCell ref="C167:F167"/>
    <mergeCell ref="C157:E157"/>
  </mergeCells>
  <phoneticPr fontId="0" type="noConversion"/>
  <conditionalFormatting sqref="D100">
    <cfRule type="cellIs" priority="1" operator="greaterThanOrEqual">
      <formula>$D$97</formula>
    </cfRule>
    <cfRule type="cellIs" dxfId="24" priority="3" operator="greaterThan">
      <formula>$D$97</formula>
    </cfRule>
  </conditionalFormatting>
  <conditionalFormatting sqref="D56:AJ79">
    <cfRule type="expression" dxfId="23" priority="14">
      <formula>IF(_xlfn.ISFORMULA(D56),FALSE,TRUE)</formula>
    </cfRule>
  </conditionalFormatting>
  <conditionalFormatting sqref="F87:M88">
    <cfRule type="expression" dxfId="22" priority="4">
      <formula>IF(_xlfn.ISFORMULA(F87),FALSE,TRUE)</formula>
    </cfRule>
  </conditionalFormatting>
  <conditionalFormatting sqref="F28:AJ31 F34:AJ40 F44:AJ49 F51:AJ51">
    <cfRule type="expression" dxfId="21" priority="27">
      <formula>IF(_xlfn.ISFORMULA(F28),FALSE,TRUE)</formula>
    </cfRule>
  </conditionalFormatting>
  <conditionalFormatting sqref="F91:AJ91">
    <cfRule type="notContainsBlanks" dxfId="20" priority="12">
      <formula>LEN(TRIM(F91))&gt;0</formula>
    </cfRule>
  </conditionalFormatting>
  <dataValidations count="1">
    <dataValidation type="list" allowBlank="1" showInputMessage="1" showErrorMessage="1" sqref="N5" xr:uid="{2193E996-7C81-4AAD-8533-F2C743F15953}">
      <formula1>"Yes, No"</formula1>
    </dataValidation>
  </dataValidations>
  <pageMargins left="0.25" right="0.25" top="0.75" bottom="0.75" header="0.3" footer="0.3"/>
  <pageSetup scale="27" fitToHeight="0" orientation="landscape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57B535-2106-4A67-820C-683114398DF3}">
          <x14:formula1>
            <xm:f>'IE Data Entry'!$P$2:$P$5</xm:f>
          </x14:formula1>
          <xm:sqref>N4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2060"/>
  </sheetPr>
  <dimension ref="A1:M163"/>
  <sheetViews>
    <sheetView topLeftCell="A9" zoomScale="115" zoomScaleNormal="115" workbookViewId="0">
      <selection activeCell="C24" sqref="C24"/>
    </sheetView>
  </sheetViews>
  <sheetFormatPr baseColWidth="10" defaultColWidth="8.83203125" defaultRowHeight="13" x14ac:dyDescent="0.15"/>
  <cols>
    <col min="1" max="1" width="28.5" customWidth="1"/>
    <col min="2" max="2" width="15.33203125" customWidth="1"/>
    <col min="3" max="3" width="15.6640625" bestFit="1" customWidth="1"/>
    <col min="4" max="4" width="15.1640625" customWidth="1"/>
    <col min="5" max="5" width="11.5" customWidth="1"/>
    <col min="6" max="6" width="19.5" customWidth="1"/>
    <col min="7" max="7" width="9.5" customWidth="1"/>
    <col min="8" max="8" width="11.5" customWidth="1"/>
    <col min="9" max="9" width="9.5" bestFit="1" customWidth="1"/>
    <col min="10" max="10" width="16.83203125" customWidth="1"/>
    <col min="11" max="11" width="7.1640625" customWidth="1"/>
    <col min="12" max="12" width="12.33203125" customWidth="1"/>
    <col min="13" max="13" width="19.33203125" customWidth="1"/>
  </cols>
  <sheetData>
    <row r="1" spans="1:13" x14ac:dyDescent="0.15">
      <c r="A1" s="739" t="s">
        <v>268</v>
      </c>
      <c r="B1" s="740"/>
      <c r="C1" s="741"/>
      <c r="D1" s="284"/>
      <c r="F1" s="739" t="s">
        <v>269</v>
      </c>
      <c r="G1" s="739"/>
      <c r="H1" s="739"/>
      <c r="I1" s="739"/>
      <c r="J1" s="739"/>
      <c r="K1" s="739"/>
      <c r="L1" s="739"/>
      <c r="M1" s="739"/>
    </row>
    <row r="2" spans="1:13" ht="12.75" customHeight="1" x14ac:dyDescent="0.2">
      <c r="A2" s="742" t="s">
        <v>270</v>
      </c>
      <c r="B2" s="743"/>
      <c r="C2" s="744"/>
      <c r="D2" s="284"/>
      <c r="E2" s="641"/>
      <c r="F2" s="591"/>
      <c r="G2" s="591"/>
      <c r="H2" s="591"/>
      <c r="I2" s="591"/>
      <c r="J2" s="591"/>
      <c r="K2" s="591"/>
      <c r="L2" s="591"/>
      <c r="M2" s="591"/>
    </row>
    <row r="3" spans="1:13" ht="12.75" customHeight="1" x14ac:dyDescent="0.2">
      <c r="A3" s="745" t="s">
        <v>271</v>
      </c>
      <c r="B3" s="746"/>
      <c r="C3" s="747"/>
      <c r="D3" s="642"/>
      <c r="E3" s="641"/>
      <c r="F3" s="572"/>
      <c r="G3" s="569"/>
      <c r="H3" s="570"/>
      <c r="I3" s="591"/>
      <c r="J3" s="572"/>
      <c r="K3" s="569"/>
      <c r="L3" s="570"/>
      <c r="M3" s="591"/>
    </row>
    <row r="4" spans="1:13" ht="12.75" customHeight="1" x14ac:dyDescent="0.2">
      <c r="A4" s="599" t="s">
        <v>272</v>
      </c>
      <c r="B4" s="591"/>
      <c r="C4" s="643"/>
      <c r="D4" s="642"/>
      <c r="E4" s="641"/>
      <c r="F4" s="571"/>
      <c r="G4" s="569"/>
      <c r="H4" s="566"/>
      <c r="I4" s="591"/>
      <c r="J4" s="571"/>
      <c r="K4" s="569"/>
      <c r="L4" s="566"/>
      <c r="M4" s="591"/>
    </row>
    <row r="5" spans="1:13" ht="12.75" customHeight="1" x14ac:dyDescent="0.2">
      <c r="A5" s="130" t="s">
        <v>273</v>
      </c>
      <c r="C5" s="254"/>
      <c r="D5" s="642"/>
      <c r="E5" s="641"/>
      <c r="F5" s="571"/>
      <c r="G5" s="569"/>
      <c r="H5" s="566"/>
      <c r="I5" s="591"/>
      <c r="J5" s="571"/>
      <c r="K5" s="569"/>
      <c r="L5" s="566"/>
      <c r="M5" s="591"/>
    </row>
    <row r="6" spans="1:13" ht="12.75" customHeight="1" x14ac:dyDescent="0.2">
      <c r="A6" s="599" t="s">
        <v>274</v>
      </c>
      <c r="C6" s="253">
        <v>2500</v>
      </c>
      <c r="D6" s="642"/>
      <c r="E6" s="641"/>
      <c r="F6" s="571"/>
      <c r="G6" s="569"/>
      <c r="H6" s="566"/>
      <c r="I6" s="591"/>
      <c r="J6" s="571"/>
      <c r="K6" s="569"/>
      <c r="L6" s="566"/>
      <c r="M6" s="591"/>
    </row>
    <row r="7" spans="1:13" ht="15" x14ac:dyDescent="0.2">
      <c r="A7" s="599" t="s">
        <v>275</v>
      </c>
      <c r="C7" s="285">
        <v>29216.74</v>
      </c>
      <c r="D7" s="642"/>
      <c r="E7" s="641"/>
      <c r="F7" s="571"/>
      <c r="G7" s="569"/>
      <c r="H7" s="567"/>
      <c r="I7" s="591"/>
      <c r="J7" s="571"/>
      <c r="K7" s="569"/>
      <c r="L7" s="567"/>
      <c r="M7" s="591"/>
    </row>
    <row r="8" spans="1:13" ht="15" x14ac:dyDescent="0.2">
      <c r="A8" s="130" t="s">
        <v>276</v>
      </c>
      <c r="C8" s="285"/>
      <c r="D8" s="642"/>
      <c r="F8" s="571"/>
      <c r="G8" s="569"/>
      <c r="H8" s="568"/>
      <c r="I8" s="591"/>
      <c r="J8" s="571"/>
      <c r="K8" s="569"/>
      <c r="L8" s="568"/>
      <c r="M8" s="591"/>
    </row>
    <row r="9" spans="1:13" ht="15" x14ac:dyDescent="0.2">
      <c r="A9" s="130" t="s">
        <v>277</v>
      </c>
      <c r="C9" s="285">
        <f>121880.56+4795-2954</f>
        <v>123721.56</v>
      </c>
      <c r="D9" s="591"/>
      <c r="F9" s="571"/>
      <c r="G9" s="569"/>
      <c r="H9" s="570"/>
      <c r="I9" s="591"/>
      <c r="J9" s="571"/>
      <c r="K9" s="569"/>
      <c r="L9" s="570"/>
      <c r="M9" s="591"/>
    </row>
    <row r="10" spans="1:13" ht="15" x14ac:dyDescent="0.2">
      <c r="A10" s="748" t="s">
        <v>278</v>
      </c>
      <c r="B10" s="748"/>
      <c r="C10" s="749">
        <f>SUM(C3:C9)</f>
        <v>155438.29999999999</v>
      </c>
      <c r="F10" s="572"/>
      <c r="G10" s="569"/>
      <c r="H10" s="570"/>
      <c r="I10" s="591"/>
      <c r="J10" s="572"/>
      <c r="K10" s="569"/>
      <c r="L10" s="570"/>
      <c r="M10" s="591"/>
    </row>
    <row r="11" spans="1:13" ht="15" x14ac:dyDescent="0.2">
      <c r="A11" s="127"/>
      <c r="C11" s="286"/>
      <c r="F11" s="571"/>
      <c r="G11" s="569"/>
      <c r="H11" s="566"/>
      <c r="I11" s="591"/>
      <c r="J11" s="571"/>
      <c r="K11" s="569"/>
      <c r="L11" s="566"/>
      <c r="M11" s="591"/>
    </row>
    <row r="12" spans="1:13" ht="15" x14ac:dyDescent="0.2">
      <c r="A12" s="288" t="s">
        <v>279</v>
      </c>
      <c r="B12" s="287"/>
      <c r="C12" s="289"/>
      <c r="F12" s="571"/>
      <c r="G12" s="569"/>
      <c r="H12" s="566"/>
      <c r="I12" s="591"/>
      <c r="J12" s="571"/>
      <c r="K12" s="569"/>
      <c r="L12" s="566"/>
      <c r="M12" s="591"/>
    </row>
    <row r="13" spans="1:13" ht="15" x14ac:dyDescent="0.2">
      <c r="A13" s="644" t="s">
        <v>280</v>
      </c>
      <c r="C13" s="285">
        <v>0</v>
      </c>
      <c r="E13" s="622"/>
      <c r="F13" s="571"/>
      <c r="G13" s="569"/>
      <c r="H13" s="566"/>
      <c r="I13" s="591"/>
      <c r="J13" s="571"/>
      <c r="K13" s="569"/>
      <c r="L13" s="566"/>
      <c r="M13" s="591"/>
    </row>
    <row r="14" spans="1:13" ht="15" x14ac:dyDescent="0.2">
      <c r="A14" s="644" t="s">
        <v>281</v>
      </c>
      <c r="C14" s="285">
        <v>0</v>
      </c>
      <c r="E14" s="622"/>
      <c r="F14" s="571"/>
      <c r="G14" s="569"/>
      <c r="H14" s="566"/>
      <c r="I14" s="591"/>
      <c r="J14" s="571"/>
      <c r="K14" s="569"/>
      <c r="L14" s="566"/>
      <c r="M14" s="591"/>
    </row>
    <row r="15" spans="1:13" ht="15" x14ac:dyDescent="0.2">
      <c r="A15" s="644" t="s">
        <v>282</v>
      </c>
      <c r="C15" s="285">
        <v>0</v>
      </c>
      <c r="E15" s="236"/>
      <c r="F15" s="571"/>
      <c r="G15" s="569"/>
      <c r="H15" s="567"/>
      <c r="I15" s="591"/>
      <c r="J15" s="571"/>
      <c r="K15" s="569"/>
      <c r="L15" s="567"/>
      <c r="M15" s="591"/>
    </row>
    <row r="16" spans="1:13" ht="15" x14ac:dyDescent="0.2">
      <c r="A16" s="644" t="s">
        <v>283</v>
      </c>
      <c r="C16" s="285">
        <v>50000</v>
      </c>
      <c r="F16" s="571"/>
      <c r="G16" s="569"/>
      <c r="H16" s="568"/>
      <c r="I16" s="591"/>
      <c r="J16" s="571"/>
      <c r="K16" s="569"/>
      <c r="L16" s="568"/>
      <c r="M16" s="591"/>
    </row>
    <row r="17" spans="1:13" x14ac:dyDescent="0.15">
      <c r="A17" s="644" t="s">
        <v>284</v>
      </c>
      <c r="C17" s="285">
        <v>15000</v>
      </c>
      <c r="F17" s="591"/>
      <c r="G17" s="591"/>
      <c r="H17" s="591"/>
      <c r="I17" s="591"/>
      <c r="J17" s="591"/>
      <c r="K17" s="591"/>
      <c r="L17" s="591"/>
      <c r="M17" s="591"/>
    </row>
    <row r="18" spans="1:13" x14ac:dyDescent="0.15">
      <c r="A18" s="599" t="s">
        <v>285</v>
      </c>
      <c r="C18" s="285">
        <v>0</v>
      </c>
      <c r="D18" s="622"/>
      <c r="F18" s="591"/>
      <c r="G18" s="591"/>
      <c r="H18" s="591"/>
      <c r="I18" s="591"/>
      <c r="J18" s="591"/>
      <c r="K18" s="591"/>
      <c r="L18" s="591"/>
      <c r="M18" s="591"/>
    </row>
    <row r="19" spans="1:13" x14ac:dyDescent="0.15">
      <c r="A19" s="599" t="s">
        <v>286</v>
      </c>
      <c r="C19" s="285">
        <v>0</v>
      </c>
      <c r="D19" s="622"/>
      <c r="F19" s="591"/>
      <c r="G19" s="591"/>
      <c r="H19" s="591"/>
      <c r="I19" s="591"/>
      <c r="J19" s="591"/>
      <c r="K19" s="591"/>
      <c r="L19" s="591"/>
      <c r="M19" s="591"/>
    </row>
    <row r="20" spans="1:13" x14ac:dyDescent="0.15">
      <c r="A20" s="599" t="s">
        <v>287</v>
      </c>
      <c r="C20" s="285">
        <v>0</v>
      </c>
      <c r="D20" s="236"/>
      <c r="F20" s="591"/>
      <c r="G20" s="591"/>
      <c r="H20" s="591"/>
      <c r="I20" s="591"/>
      <c r="J20" s="591"/>
      <c r="K20" s="591"/>
      <c r="L20" s="591"/>
      <c r="M20" s="591"/>
    </row>
    <row r="21" spans="1:13" x14ac:dyDescent="0.15">
      <c r="A21" s="599" t="s">
        <v>288</v>
      </c>
      <c r="C21" s="285">
        <v>0</v>
      </c>
      <c r="F21" s="591"/>
      <c r="G21" s="591"/>
      <c r="H21" s="591"/>
      <c r="I21" s="591"/>
      <c r="J21" s="591"/>
      <c r="K21" s="591"/>
      <c r="L21" s="591"/>
      <c r="M21" s="591"/>
    </row>
    <row r="22" spans="1:13" x14ac:dyDescent="0.15">
      <c r="A22" s="599" t="s">
        <v>289</v>
      </c>
      <c r="C22" s="285">
        <v>115000</v>
      </c>
      <c r="F22" s="591"/>
      <c r="G22" s="591"/>
      <c r="H22" s="591"/>
      <c r="I22" s="591"/>
      <c r="J22" s="591"/>
      <c r="K22" s="591"/>
      <c r="L22" s="591"/>
      <c r="M22" s="591"/>
    </row>
    <row r="23" spans="1:13" x14ac:dyDescent="0.15">
      <c r="A23" s="599" t="s">
        <v>290</v>
      </c>
      <c r="C23" s="285">
        <v>460000</v>
      </c>
      <c r="F23" s="591"/>
      <c r="G23" s="591"/>
      <c r="H23" s="591"/>
      <c r="I23" s="591"/>
      <c r="J23" s="591"/>
      <c r="K23" s="591"/>
      <c r="L23" s="591"/>
      <c r="M23" s="591"/>
    </row>
    <row r="24" spans="1:13" x14ac:dyDescent="0.15">
      <c r="A24" s="599" t="s">
        <v>291</v>
      </c>
      <c r="C24" s="285">
        <v>50000</v>
      </c>
      <c r="F24" s="591"/>
      <c r="G24" s="591"/>
      <c r="H24" s="591"/>
      <c r="I24" s="591"/>
      <c r="J24" s="591"/>
      <c r="K24" s="591"/>
      <c r="L24" s="591"/>
      <c r="M24" s="591"/>
    </row>
    <row r="25" spans="1:13" x14ac:dyDescent="0.15">
      <c r="A25" s="599" t="s">
        <v>292</v>
      </c>
      <c r="C25" s="285">
        <v>0</v>
      </c>
      <c r="F25" s="591"/>
      <c r="G25" s="591"/>
      <c r="H25" s="591"/>
      <c r="I25" s="591"/>
      <c r="J25" s="591"/>
      <c r="K25" s="591"/>
      <c r="L25" s="591"/>
      <c r="M25" s="591"/>
    </row>
    <row r="26" spans="1:13" x14ac:dyDescent="0.15">
      <c r="A26" s="599" t="s">
        <v>293</v>
      </c>
      <c r="C26" s="285">
        <v>0</v>
      </c>
      <c r="F26" s="591"/>
      <c r="G26" s="591"/>
      <c r="H26" s="591"/>
      <c r="I26" s="591"/>
      <c r="J26" s="591"/>
      <c r="K26" s="591"/>
      <c r="L26" s="591"/>
      <c r="M26" s="591"/>
    </row>
    <row r="27" spans="1:13" x14ac:dyDescent="0.15">
      <c r="A27" s="599" t="s">
        <v>294</v>
      </c>
      <c r="C27" s="285">
        <v>50000</v>
      </c>
      <c r="F27" s="591"/>
      <c r="G27" s="591"/>
      <c r="H27" s="591"/>
      <c r="I27" s="591"/>
      <c r="J27" s="591"/>
      <c r="K27" s="591"/>
      <c r="L27" s="591"/>
      <c r="M27" s="591"/>
    </row>
    <row r="28" spans="1:13" x14ac:dyDescent="0.15">
      <c r="A28" s="750" t="s">
        <v>295</v>
      </c>
      <c r="B28" s="748"/>
      <c r="C28" s="749">
        <f>SUM(C13:C27)</f>
        <v>740000</v>
      </c>
    </row>
    <row r="29" spans="1:13" x14ac:dyDescent="0.15">
      <c r="A29" s="131"/>
      <c r="B29" s="75"/>
      <c r="C29" s="255"/>
    </row>
    <row r="30" spans="1:13" x14ac:dyDescent="0.15">
      <c r="A30" s="131"/>
      <c r="B30" s="240" t="s">
        <v>296</v>
      </c>
      <c r="C30" s="290">
        <f>+C28+C10</f>
        <v>895438.3</v>
      </c>
    </row>
    <row r="32" spans="1:13" x14ac:dyDescent="0.15">
      <c r="E32" s="237"/>
    </row>
    <row r="33" spans="1:5" x14ac:dyDescent="0.15">
      <c r="C33" s="132"/>
    </row>
    <row r="34" spans="1:5" x14ac:dyDescent="0.15">
      <c r="A34" s="739" t="s">
        <v>297</v>
      </c>
      <c r="B34" s="740"/>
      <c r="C34" s="751" t="s">
        <v>43</v>
      </c>
      <c r="D34" s="752">
        <f>Proforma!D4</f>
        <v>8243334</v>
      </c>
      <c r="E34" s="229"/>
    </row>
    <row r="35" spans="1:5" x14ac:dyDescent="0.15">
      <c r="A35" s="753"/>
      <c r="B35" s="754"/>
      <c r="C35" s="755"/>
      <c r="D35" s="756"/>
      <c r="E35" s="229"/>
    </row>
    <row r="36" spans="1:5" x14ac:dyDescent="0.15">
      <c r="A36" s="757" t="s">
        <v>298</v>
      </c>
      <c r="B36" s="758" t="s">
        <v>299</v>
      </c>
      <c r="C36" s="758"/>
      <c r="D36" s="759" t="s">
        <v>300</v>
      </c>
      <c r="E36" s="229"/>
    </row>
    <row r="37" spans="1:5" x14ac:dyDescent="0.15">
      <c r="A37" s="745"/>
      <c r="B37" s="746"/>
      <c r="C37" s="746"/>
      <c r="D37" s="760"/>
      <c r="E37" s="236"/>
    </row>
    <row r="38" spans="1:5" x14ac:dyDescent="0.15">
      <c r="A38" s="126" t="s">
        <v>301</v>
      </c>
      <c r="B38" s="612"/>
      <c r="D38" s="230">
        <v>180000</v>
      </c>
    </row>
    <row r="39" spans="1:5" x14ac:dyDescent="0.15">
      <c r="A39" s="128"/>
      <c r="B39" s="231"/>
      <c r="C39" s="75"/>
      <c r="D39" s="232"/>
      <c r="E39" s="8"/>
    </row>
    <row r="40" spans="1:5" x14ac:dyDescent="0.15">
      <c r="A40" s="761" t="s">
        <v>302</v>
      </c>
      <c r="B40" s="762" t="s">
        <v>303</v>
      </c>
      <c r="C40" s="746"/>
      <c r="D40" s="760"/>
      <c r="E40" s="8"/>
    </row>
    <row r="41" spans="1:5" x14ac:dyDescent="0.15">
      <c r="A41" s="233" t="s">
        <v>304</v>
      </c>
      <c r="D41" s="251">
        <v>20000</v>
      </c>
      <c r="E41" s="8"/>
    </row>
    <row r="42" spans="1:5" x14ac:dyDescent="0.15">
      <c r="A42" s="233" t="s">
        <v>305</v>
      </c>
      <c r="C42" s="592"/>
      <c r="D42" s="251">
        <v>0</v>
      </c>
      <c r="E42" s="229"/>
    </row>
    <row r="43" spans="1:5" x14ac:dyDescent="0.15">
      <c r="A43" s="233" t="s">
        <v>306</v>
      </c>
      <c r="C43" s="592"/>
      <c r="D43" s="251">
        <v>0</v>
      </c>
      <c r="E43" s="229"/>
    </row>
    <row r="44" spans="1:5" x14ac:dyDescent="0.15">
      <c r="A44" s="128"/>
      <c r="B44" s="75"/>
      <c r="C44" s="646" t="s">
        <v>307</v>
      </c>
      <c r="D44" s="135">
        <f>SUM(D41:D43)</f>
        <v>20000</v>
      </c>
      <c r="E44" s="236"/>
    </row>
    <row r="45" spans="1:5" x14ac:dyDescent="0.15">
      <c r="A45" s="761" t="s">
        <v>308</v>
      </c>
      <c r="B45" s="762" t="s">
        <v>309</v>
      </c>
      <c r="C45" s="762" t="s">
        <v>310</v>
      </c>
      <c r="D45" s="760"/>
    </row>
    <row r="46" spans="1:5" x14ac:dyDescent="0.15">
      <c r="A46" s="233" t="s">
        <v>311</v>
      </c>
      <c r="B46" s="317">
        <v>52</v>
      </c>
      <c r="C46" s="245">
        <v>5000</v>
      </c>
      <c r="D46" s="234">
        <f>B46*C46</f>
        <v>260000</v>
      </c>
    </row>
    <row r="47" spans="1:5" x14ac:dyDescent="0.15">
      <c r="A47" s="233"/>
      <c r="B47" s="76"/>
      <c r="D47" s="234">
        <f>B47*C47</f>
        <v>0</v>
      </c>
      <c r="E47" s="236"/>
    </row>
    <row r="48" spans="1:5" x14ac:dyDescent="0.15">
      <c r="A48" s="233"/>
      <c r="B48" s="76"/>
      <c r="D48" s="234">
        <f>B48*C48</f>
        <v>0</v>
      </c>
      <c r="E48" s="229"/>
    </row>
    <row r="49" spans="1:5" x14ac:dyDescent="0.15">
      <c r="A49" s="130"/>
      <c r="C49" s="592"/>
      <c r="D49" s="134"/>
      <c r="E49" s="239"/>
    </row>
    <row r="50" spans="1:5" x14ac:dyDescent="0.15">
      <c r="A50" s="131"/>
      <c r="B50" s="75"/>
      <c r="C50" s="592" t="s">
        <v>312</v>
      </c>
      <c r="D50" s="134">
        <f>SUM(D46:D48)</f>
        <v>260000</v>
      </c>
      <c r="E50" s="591"/>
    </row>
    <row r="51" spans="1:5" x14ac:dyDescent="0.15">
      <c r="A51" s="761" t="s">
        <v>313</v>
      </c>
      <c r="B51" s="762" t="s">
        <v>314</v>
      </c>
      <c r="C51" s="746"/>
      <c r="D51" s="763">
        <f>D34-D38-D44-D50</f>
        <v>7783334</v>
      </c>
      <c r="E51" s="229"/>
    </row>
    <row r="52" spans="1:5" x14ac:dyDescent="0.15">
      <c r="A52" s="131"/>
      <c r="B52" s="75"/>
      <c r="C52" s="75"/>
      <c r="D52" s="232"/>
    </row>
    <row r="53" spans="1:5" x14ac:dyDescent="0.15">
      <c r="A53" s="130"/>
    </row>
    <row r="54" spans="1:5" x14ac:dyDescent="0.15">
      <c r="A54" s="761" t="s">
        <v>315</v>
      </c>
      <c r="B54" s="746"/>
      <c r="C54" s="764"/>
      <c r="D54" s="765">
        <f>D51</f>
        <v>7783334</v>
      </c>
    </row>
    <row r="55" spans="1:5" x14ac:dyDescent="0.15">
      <c r="A55" s="238" t="s">
        <v>316</v>
      </c>
      <c r="B55" s="7"/>
      <c r="D55" s="133">
        <f>Proforma!F85</f>
        <v>364027.24</v>
      </c>
    </row>
    <row r="56" spans="1:5" x14ac:dyDescent="0.15">
      <c r="A56" s="240" t="s">
        <v>317</v>
      </c>
      <c r="B56" s="129"/>
      <c r="C56" s="75"/>
      <c r="D56" s="235">
        <f>D55-D54</f>
        <v>-7419306.7599999998</v>
      </c>
    </row>
    <row r="57" spans="1:5" x14ac:dyDescent="0.15">
      <c r="D57" s="591"/>
    </row>
    <row r="58" spans="1:5" x14ac:dyDescent="0.15">
      <c r="C58" s="592"/>
      <c r="D58" s="252"/>
    </row>
    <row r="163" ht="12.75" customHeight="1" x14ac:dyDescent="0.15"/>
  </sheetData>
  <sheetProtection algorithmName="SHA-512" hashValue="gUK1Qfe1UNnPQlbNvdLxkV87PcHuqagnAHqK3PDxbX/yKAXn2bsqBHtzn8HseQgsw4MLmEcvvSsF3ZshIjCRJQ==" saltValue="JVfbZyE6QEsRMqCkBkqgAw==" spinCount="100000" sheet="1" objects="1" scenarios="1"/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9"/>
  </sheetPr>
  <dimension ref="A1:N15"/>
  <sheetViews>
    <sheetView workbookViewId="0">
      <selection sqref="A1:N1"/>
    </sheetView>
  </sheetViews>
  <sheetFormatPr baseColWidth="10" defaultColWidth="8.83203125" defaultRowHeight="13" x14ac:dyDescent="0.15"/>
  <cols>
    <col min="1" max="1" width="25" customWidth="1"/>
    <col min="2" max="2" width="9" bestFit="1" customWidth="1"/>
    <col min="3" max="3" width="16" customWidth="1"/>
    <col min="4" max="4" width="7.33203125" bestFit="1" customWidth="1"/>
    <col min="5" max="5" width="4.33203125" bestFit="1" customWidth="1"/>
    <col min="6" max="6" width="14.1640625" bestFit="1" customWidth="1"/>
    <col min="7" max="7" width="5.33203125" bestFit="1" customWidth="1"/>
    <col min="8" max="8" width="10.83203125" bestFit="1" customWidth="1"/>
    <col min="9" max="9" width="11.5" customWidth="1"/>
    <col min="10" max="10" width="2.83203125" customWidth="1"/>
    <col min="11" max="11" width="10" customWidth="1"/>
    <col min="12" max="12" width="14.5" bestFit="1" customWidth="1"/>
    <col min="13" max="13" width="37.5" bestFit="1" customWidth="1"/>
  </cols>
  <sheetData>
    <row r="1" spans="1:14" ht="15" x14ac:dyDescent="0.2">
      <c r="A1" s="797" t="s">
        <v>318</v>
      </c>
      <c r="B1" s="797"/>
      <c r="C1" s="797"/>
      <c r="D1" s="797"/>
      <c r="E1" s="797"/>
      <c r="G1" s="797" t="s">
        <v>319</v>
      </c>
      <c r="H1" s="797"/>
      <c r="I1" s="797"/>
      <c r="J1" s="797"/>
      <c r="K1" s="506"/>
      <c r="L1" s="797" t="s">
        <v>320</v>
      </c>
      <c r="M1" s="797"/>
      <c r="N1" s="797"/>
    </row>
    <row r="2" spans="1:14" x14ac:dyDescent="0.15">
      <c r="A2" s="591" t="s">
        <v>321</v>
      </c>
      <c r="B2" s="611">
        <v>228284</v>
      </c>
      <c r="C2" s="591"/>
    </row>
    <row r="3" spans="1:14" ht="15" x14ac:dyDescent="0.2">
      <c r="A3" s="591" t="s">
        <v>322</v>
      </c>
      <c r="B3" s="507" t="s">
        <v>323</v>
      </c>
      <c r="C3" s="508" t="s">
        <v>324</v>
      </c>
      <c r="D3" s="509" t="s">
        <v>325</v>
      </c>
    </row>
    <row r="4" spans="1:14" ht="14" x14ac:dyDescent="0.2">
      <c r="A4" s="594" t="s">
        <v>326</v>
      </c>
      <c r="B4" s="647"/>
      <c r="C4" s="647"/>
      <c r="D4" s="647"/>
      <c r="E4" s="60"/>
    </row>
    <row r="5" spans="1:14" ht="14" x14ac:dyDescent="0.2">
      <c r="A5" s="591" t="s">
        <v>327</v>
      </c>
      <c r="B5" s="648">
        <v>189800</v>
      </c>
      <c r="C5" s="647"/>
      <c r="D5" s="597"/>
      <c r="E5" s="60"/>
    </row>
    <row r="6" spans="1:14" ht="14" x14ac:dyDescent="0.2">
      <c r="A6" s="591" t="s">
        <v>328</v>
      </c>
      <c r="B6" s="649">
        <v>1030</v>
      </c>
      <c r="C6" s="650"/>
      <c r="D6" s="597"/>
      <c r="E6" s="60"/>
    </row>
    <row r="7" spans="1:14" ht="14" x14ac:dyDescent="0.2">
      <c r="A7" s="591" t="s">
        <v>329</v>
      </c>
      <c r="B7" s="648">
        <v>47143</v>
      </c>
      <c r="C7" s="647"/>
      <c r="D7" s="597"/>
      <c r="E7" s="60"/>
    </row>
    <row r="8" spans="1:14" ht="14" x14ac:dyDescent="0.2">
      <c r="A8" s="591" t="s">
        <v>330</v>
      </c>
      <c r="B8" s="641"/>
      <c r="C8" s="641"/>
      <c r="D8" s="597"/>
      <c r="E8" s="60"/>
    </row>
    <row r="9" spans="1:14" ht="14" x14ac:dyDescent="0.2">
      <c r="A9" s="591"/>
      <c r="B9" s="648"/>
      <c r="C9" s="641"/>
      <c r="D9" s="597"/>
      <c r="E9" s="60"/>
      <c r="F9" s="60"/>
      <c r="G9" s="60"/>
    </row>
    <row r="10" spans="1:14" ht="14" x14ac:dyDescent="0.2">
      <c r="A10" s="591"/>
      <c r="B10" s="641"/>
      <c r="C10" s="641"/>
      <c r="D10" s="597"/>
      <c r="E10" s="60"/>
      <c r="F10" s="60"/>
      <c r="G10" s="60"/>
    </row>
    <row r="11" spans="1:14" ht="15" x14ac:dyDescent="0.2">
      <c r="A11" s="797" t="s">
        <v>331</v>
      </c>
      <c r="B11" s="797"/>
      <c r="C11" s="797"/>
      <c r="D11" s="797"/>
      <c r="E11" s="797"/>
      <c r="F11" s="60"/>
      <c r="G11" s="60"/>
    </row>
    <row r="12" spans="1:14" x14ac:dyDescent="0.15">
      <c r="A12" t="s">
        <v>145</v>
      </c>
      <c r="B12" s="598"/>
      <c r="C12" s="598"/>
      <c r="D12" s="598"/>
    </row>
    <row r="13" spans="1:14" ht="14" x14ac:dyDescent="0.2">
      <c r="A13" t="s">
        <v>144</v>
      </c>
      <c r="B13" s="60"/>
      <c r="C13" s="60"/>
    </row>
    <row r="14" spans="1:14" x14ac:dyDescent="0.15">
      <c r="A14" t="s">
        <v>332</v>
      </c>
    </row>
    <row r="15" spans="1:14" x14ac:dyDescent="0.15">
      <c r="A15" s="591"/>
    </row>
  </sheetData>
  <mergeCells count="4">
    <mergeCell ref="A1:E1"/>
    <mergeCell ref="G1:J1"/>
    <mergeCell ref="L1:N1"/>
    <mergeCell ref="A11:E1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9"/>
  </sheetPr>
  <dimension ref="A1:I109"/>
  <sheetViews>
    <sheetView topLeftCell="A91" workbookViewId="0">
      <selection sqref="A1:N1"/>
    </sheetView>
  </sheetViews>
  <sheetFormatPr baseColWidth="10" defaultColWidth="8.83203125" defaultRowHeight="14" x14ac:dyDescent="0.15"/>
  <cols>
    <col min="1" max="1" width="33.33203125" style="63" customWidth="1"/>
    <col min="2" max="2" width="11.33203125" style="62" bestFit="1" customWidth="1"/>
    <col min="3" max="3" width="25.83203125" style="62" customWidth="1"/>
    <col min="4" max="4" width="20.33203125" style="62" customWidth="1"/>
    <col min="5" max="7" width="11" style="62" customWidth="1"/>
    <col min="8" max="8" width="12.33203125" style="62" bestFit="1" customWidth="1"/>
    <col min="9" max="10" width="7.33203125" style="61" customWidth="1"/>
    <col min="11" max="16384" width="8.83203125" style="61"/>
  </cols>
  <sheetData>
    <row r="1" spans="1:9" x14ac:dyDescent="0.15">
      <c r="A1" s="798" t="s">
        <v>333</v>
      </c>
      <c r="B1" s="798"/>
      <c r="C1" s="798"/>
      <c r="D1" s="798"/>
      <c r="E1" s="798"/>
      <c r="F1" s="798"/>
      <c r="G1" s="798"/>
      <c r="H1" s="798"/>
      <c r="I1" s="798"/>
    </row>
    <row r="2" spans="1:9" x14ac:dyDescent="0.15">
      <c r="A2" s="66"/>
      <c r="B2" s="67"/>
      <c r="C2" s="65"/>
      <c r="D2" s="65"/>
      <c r="E2" s="65"/>
      <c r="F2" s="65"/>
      <c r="G2" s="65"/>
      <c r="H2" s="67"/>
    </row>
    <row r="3" spans="1:9" x14ac:dyDescent="0.15">
      <c r="A3" s="66"/>
      <c r="B3" s="67"/>
      <c r="C3" s="65"/>
      <c r="D3" s="65"/>
      <c r="E3" s="65"/>
      <c r="F3" s="65"/>
      <c r="G3" s="65"/>
      <c r="H3" s="67"/>
    </row>
    <row r="4" spans="1:9" x14ac:dyDescent="0.15">
      <c r="A4" s="66"/>
      <c r="B4" s="67"/>
      <c r="C4" s="65"/>
      <c r="D4" s="65"/>
      <c r="E4" s="65"/>
      <c r="F4" s="65"/>
      <c r="G4" s="65"/>
      <c r="H4" s="67"/>
    </row>
    <row r="5" spans="1:9" x14ac:dyDescent="0.15">
      <c r="A5" s="66"/>
      <c r="B5" s="67"/>
      <c r="C5" s="65"/>
      <c r="D5" s="65"/>
      <c r="E5" s="65"/>
      <c r="F5" s="65"/>
      <c r="G5" s="65"/>
      <c r="H5" s="67"/>
    </row>
    <row r="6" spans="1:9" x14ac:dyDescent="0.15">
      <c r="A6" s="66"/>
      <c r="B6" s="67"/>
      <c r="C6" s="65"/>
      <c r="D6" s="65"/>
      <c r="E6" s="65"/>
      <c r="F6" s="65"/>
      <c r="G6" s="65"/>
      <c r="H6" s="67"/>
    </row>
    <row r="7" spans="1:9" x14ac:dyDescent="0.15">
      <c r="A7" s="66"/>
      <c r="B7" s="67"/>
      <c r="C7" s="65"/>
      <c r="D7" s="65"/>
      <c r="E7" s="65"/>
      <c r="F7" s="65"/>
      <c r="G7" s="65"/>
      <c r="H7" s="67"/>
    </row>
    <row r="8" spans="1:9" x14ac:dyDescent="0.15">
      <c r="A8" s="66"/>
      <c r="B8" s="67"/>
      <c r="C8" s="65"/>
      <c r="D8" s="65"/>
      <c r="E8" s="65"/>
      <c r="F8" s="65"/>
      <c r="G8" s="65"/>
      <c r="H8" s="67"/>
    </row>
    <row r="9" spans="1:9" x14ac:dyDescent="0.15">
      <c r="A9" s="66"/>
      <c r="B9" s="67"/>
      <c r="C9" s="65"/>
      <c r="D9" s="65"/>
      <c r="E9" s="65"/>
      <c r="F9" s="65"/>
      <c r="G9" s="65"/>
      <c r="H9" s="67"/>
    </row>
    <row r="10" spans="1:9" x14ac:dyDescent="0.15">
      <c r="A10" s="66"/>
      <c r="B10" s="67"/>
      <c r="C10" s="65"/>
      <c r="D10" s="65"/>
      <c r="E10" s="65"/>
      <c r="F10" s="65"/>
      <c r="G10" s="65"/>
      <c r="H10" s="67"/>
    </row>
    <row r="11" spans="1:9" x14ac:dyDescent="0.15">
      <c r="A11" s="66"/>
      <c r="B11" s="67"/>
      <c r="C11" s="65"/>
      <c r="D11" s="65"/>
      <c r="E11" s="65"/>
      <c r="F11" s="65"/>
      <c r="G11" s="65"/>
      <c r="H11" s="67"/>
    </row>
    <row r="12" spans="1:9" x14ac:dyDescent="0.15">
      <c r="A12" s="66"/>
      <c r="B12" s="67"/>
      <c r="C12" s="65"/>
      <c r="D12" s="65"/>
      <c r="E12" s="65"/>
      <c r="F12" s="65"/>
      <c r="G12" s="65"/>
      <c r="H12" s="67"/>
    </row>
    <row r="13" spans="1:9" x14ac:dyDescent="0.15">
      <c r="A13" s="66"/>
      <c r="B13" s="67"/>
      <c r="C13" s="65"/>
      <c r="D13" s="65"/>
      <c r="E13" s="65"/>
      <c r="F13" s="65"/>
      <c r="G13" s="65"/>
      <c r="H13" s="67"/>
    </row>
    <row r="14" spans="1:9" x14ac:dyDescent="0.15">
      <c r="A14" s="66"/>
      <c r="B14" s="67"/>
      <c r="C14" s="65"/>
      <c r="D14" s="65"/>
      <c r="E14" s="65"/>
      <c r="F14" s="65"/>
      <c r="G14" s="65"/>
      <c r="H14" s="67"/>
    </row>
    <row r="15" spans="1:9" x14ac:dyDescent="0.15">
      <c r="A15" s="66"/>
      <c r="B15" s="67"/>
      <c r="C15" s="65"/>
      <c r="D15" s="65"/>
      <c r="E15" s="65"/>
      <c r="F15" s="65"/>
      <c r="G15" s="65"/>
      <c r="H15" s="67"/>
    </row>
    <row r="16" spans="1:9" x14ac:dyDescent="0.15">
      <c r="A16" s="66"/>
      <c r="B16" s="67"/>
      <c r="C16" s="67"/>
      <c r="D16" s="67"/>
      <c r="E16" s="67"/>
      <c r="F16" s="67"/>
      <c r="G16" s="67"/>
      <c r="H16" s="67"/>
    </row>
    <row r="17" spans="1:8" x14ac:dyDescent="0.15">
      <c r="A17" s="70"/>
      <c r="B17" s="68"/>
      <c r="C17" s="67"/>
      <c r="D17" s="67"/>
      <c r="E17" s="67"/>
      <c r="F17" s="67"/>
      <c r="G17" s="67"/>
      <c r="H17" s="67"/>
    </row>
    <row r="18" spans="1:8" x14ac:dyDescent="0.15">
      <c r="A18" s="66"/>
      <c r="B18" s="67"/>
      <c r="C18" s="67"/>
      <c r="D18" s="67"/>
      <c r="E18" s="67"/>
      <c r="F18" s="67"/>
      <c r="G18" s="67"/>
      <c r="H18" s="67"/>
    </row>
    <row r="19" spans="1:8" x14ac:dyDescent="0.15">
      <c r="A19" s="66"/>
      <c r="B19" s="67"/>
      <c r="C19" s="67"/>
      <c r="D19" s="67"/>
      <c r="E19" s="67"/>
      <c r="F19" s="67"/>
      <c r="G19" s="67"/>
      <c r="H19" s="67"/>
    </row>
    <row r="20" spans="1:8" x14ac:dyDescent="0.15">
      <c r="A20" s="66"/>
      <c r="B20" s="67"/>
      <c r="C20" s="67"/>
      <c r="D20" s="67"/>
      <c r="E20" s="67"/>
      <c r="F20" s="67"/>
      <c r="G20" s="67"/>
      <c r="H20" s="67"/>
    </row>
    <row r="21" spans="1:8" ht="14" customHeight="1" x14ac:dyDescent="0.15">
      <c r="A21" s="66"/>
      <c r="B21" s="67"/>
      <c r="C21" s="67"/>
      <c r="D21" s="67"/>
      <c r="E21" s="67"/>
      <c r="F21" s="67"/>
      <c r="G21" s="67"/>
      <c r="H21" s="67"/>
    </row>
    <row r="22" spans="1:8" x14ac:dyDescent="0.15">
      <c r="A22" s="66"/>
      <c r="B22" s="67"/>
      <c r="C22" s="67"/>
      <c r="D22" s="67"/>
      <c r="E22" s="67"/>
      <c r="F22" s="67"/>
      <c r="G22" s="67"/>
      <c r="H22" s="67"/>
    </row>
    <row r="23" spans="1:8" x14ac:dyDescent="0.15">
      <c r="A23" s="66"/>
      <c r="B23" s="67"/>
      <c r="C23" s="67"/>
      <c r="D23" s="67"/>
      <c r="E23" s="67"/>
      <c r="F23" s="67"/>
      <c r="G23" s="67"/>
      <c r="H23" s="67"/>
    </row>
    <row r="24" spans="1:8" x14ac:dyDescent="0.15">
      <c r="A24" s="66"/>
      <c r="B24" s="67"/>
      <c r="C24" s="67"/>
      <c r="D24" s="67"/>
      <c r="E24" s="67"/>
      <c r="F24" s="67"/>
      <c r="G24" s="67"/>
      <c r="H24" s="67"/>
    </row>
    <row r="25" spans="1:8" x14ac:dyDescent="0.15">
      <c r="A25" s="66"/>
      <c r="B25" s="67"/>
      <c r="C25" s="67"/>
      <c r="D25" s="67"/>
      <c r="E25" s="67"/>
      <c r="F25" s="67"/>
      <c r="G25" s="67"/>
      <c r="H25" s="67"/>
    </row>
    <row r="26" spans="1:8" x14ac:dyDescent="0.15">
      <c r="A26" s="66"/>
      <c r="B26" s="67"/>
      <c r="C26" s="67"/>
      <c r="D26" s="67"/>
      <c r="E26" s="67"/>
      <c r="F26" s="67"/>
      <c r="G26" s="67"/>
      <c r="H26" s="67"/>
    </row>
    <row r="27" spans="1:8" x14ac:dyDescent="0.15">
      <c r="A27" s="66"/>
      <c r="B27" s="67"/>
      <c r="C27" s="67"/>
      <c r="D27" s="67"/>
      <c r="E27" s="67"/>
      <c r="F27" s="67"/>
      <c r="G27" s="67"/>
      <c r="H27" s="67"/>
    </row>
    <row r="28" spans="1:8" x14ac:dyDescent="0.15">
      <c r="A28" s="66"/>
      <c r="B28" s="67"/>
      <c r="C28" s="67"/>
      <c r="D28" s="67"/>
      <c r="E28" s="67"/>
      <c r="F28" s="67"/>
      <c r="G28" s="67"/>
      <c r="H28" s="67"/>
    </row>
    <row r="29" spans="1:8" x14ac:dyDescent="0.15">
      <c r="A29" s="66"/>
      <c r="B29" s="67"/>
      <c r="C29" s="67"/>
      <c r="D29" s="67"/>
      <c r="E29" s="67"/>
      <c r="F29" s="67"/>
      <c r="G29" s="67"/>
      <c r="H29" s="67"/>
    </row>
    <row r="30" spans="1:8" x14ac:dyDescent="0.15">
      <c r="A30" s="66"/>
      <c r="B30" s="67"/>
      <c r="C30" s="67"/>
      <c r="D30" s="67"/>
      <c r="E30" s="67"/>
      <c r="F30" s="67"/>
      <c r="G30" s="67"/>
      <c r="H30" s="67"/>
    </row>
    <row r="31" spans="1:8" x14ac:dyDescent="0.15">
      <c r="A31" s="66"/>
      <c r="B31" s="67"/>
      <c r="C31" s="67"/>
      <c r="D31" s="67"/>
      <c r="E31" s="67"/>
      <c r="F31" s="67"/>
      <c r="G31" s="67"/>
      <c r="H31" s="67"/>
    </row>
    <row r="32" spans="1:8" x14ac:dyDescent="0.15">
      <c r="A32" s="66"/>
      <c r="B32" s="67"/>
      <c r="C32" s="67"/>
      <c r="D32" s="67"/>
      <c r="E32" s="67"/>
      <c r="F32" s="67"/>
      <c r="G32" s="67"/>
      <c r="H32" s="67"/>
    </row>
    <row r="33" spans="1:8" x14ac:dyDescent="0.15">
      <c r="A33" s="66"/>
      <c r="B33" s="67"/>
      <c r="C33" s="67"/>
      <c r="D33" s="67"/>
      <c r="E33" s="67"/>
      <c r="F33" s="67"/>
      <c r="G33" s="67"/>
      <c r="H33" s="67"/>
    </row>
    <row r="34" spans="1:8" x14ac:dyDescent="0.15">
      <c r="A34" s="66"/>
      <c r="B34" s="67"/>
      <c r="C34" s="67"/>
      <c r="D34" s="67"/>
      <c r="E34" s="67"/>
      <c r="F34" s="67"/>
      <c r="G34" s="67"/>
      <c r="H34" s="67"/>
    </row>
    <row r="35" spans="1:8" x14ac:dyDescent="0.15">
      <c r="A35" s="66"/>
      <c r="B35" s="67"/>
      <c r="C35" s="67"/>
      <c r="D35" s="67"/>
      <c r="E35" s="67"/>
      <c r="F35" s="67"/>
      <c r="G35" s="67"/>
      <c r="H35" s="67"/>
    </row>
    <row r="36" spans="1:8" x14ac:dyDescent="0.15">
      <c r="A36" s="66"/>
      <c r="B36" s="67"/>
      <c r="C36" s="67"/>
      <c r="D36" s="67"/>
      <c r="E36" s="67"/>
      <c r="F36" s="67"/>
      <c r="G36" s="67"/>
      <c r="H36" s="67"/>
    </row>
    <row r="37" spans="1:8" x14ac:dyDescent="0.15">
      <c r="A37" s="66"/>
      <c r="B37" s="67"/>
      <c r="C37" s="67"/>
      <c r="D37" s="67"/>
      <c r="E37" s="67"/>
      <c r="F37" s="67"/>
      <c r="G37" s="67"/>
      <c r="H37" s="67"/>
    </row>
    <row r="38" spans="1:8" x14ac:dyDescent="0.15">
      <c r="A38" s="66"/>
      <c r="B38" s="67"/>
      <c r="C38" s="67"/>
      <c r="D38" s="67"/>
      <c r="E38" s="67"/>
      <c r="F38" s="67"/>
      <c r="G38" s="67"/>
      <c r="H38" s="67"/>
    </row>
    <row r="39" spans="1:8" x14ac:dyDescent="0.15">
      <c r="A39" s="66"/>
      <c r="B39" s="67"/>
      <c r="C39" s="67"/>
      <c r="D39" s="67"/>
      <c r="E39" s="67"/>
      <c r="F39" s="67"/>
      <c r="G39" s="67"/>
      <c r="H39" s="67"/>
    </row>
    <row r="40" spans="1:8" x14ac:dyDescent="0.15">
      <c r="A40" s="66"/>
      <c r="B40" s="67"/>
      <c r="C40" s="67"/>
      <c r="D40" s="67"/>
      <c r="E40" s="67"/>
      <c r="F40" s="67"/>
      <c r="G40" s="67"/>
      <c r="H40" s="67"/>
    </row>
    <row r="41" spans="1:8" x14ac:dyDescent="0.15">
      <c r="A41" s="66"/>
      <c r="B41" s="67"/>
      <c r="C41" s="67"/>
      <c r="D41" s="67"/>
      <c r="E41" s="67"/>
      <c r="F41" s="67"/>
      <c r="G41" s="67"/>
      <c r="H41" s="67"/>
    </row>
    <row r="42" spans="1:8" x14ac:dyDescent="0.15">
      <c r="A42" s="66"/>
      <c r="B42" s="67"/>
      <c r="C42" s="67"/>
      <c r="D42" s="67"/>
      <c r="E42" s="67"/>
      <c r="F42" s="67"/>
      <c r="G42" s="67"/>
      <c r="H42" s="67"/>
    </row>
    <row r="43" spans="1:8" x14ac:dyDescent="0.15">
      <c r="A43" s="66"/>
      <c r="B43" s="67"/>
      <c r="C43" s="67"/>
      <c r="D43" s="67"/>
      <c r="E43" s="67"/>
      <c r="F43" s="67"/>
      <c r="G43" s="67"/>
      <c r="H43" s="67"/>
    </row>
    <row r="44" spans="1:8" x14ac:dyDescent="0.15">
      <c r="A44" s="66"/>
      <c r="B44" s="67"/>
      <c r="C44" s="67"/>
      <c r="D44" s="67"/>
      <c r="E44" s="67"/>
      <c r="F44" s="67"/>
      <c r="G44" s="67"/>
      <c r="H44" s="67"/>
    </row>
    <row r="45" spans="1:8" x14ac:dyDescent="0.15">
      <c r="A45" s="66"/>
      <c r="B45" s="67"/>
      <c r="C45" s="67"/>
      <c r="D45" s="67"/>
      <c r="E45" s="67"/>
      <c r="F45" s="67"/>
      <c r="G45" s="67"/>
      <c r="H45" s="67"/>
    </row>
    <row r="46" spans="1:8" x14ac:dyDescent="0.15">
      <c r="A46" s="66"/>
      <c r="B46" s="67"/>
      <c r="C46" s="67"/>
      <c r="D46" s="67"/>
      <c r="E46" s="67"/>
      <c r="F46" s="67"/>
      <c r="G46" s="67"/>
      <c r="H46" s="67"/>
    </row>
    <row r="47" spans="1:8" x14ac:dyDescent="0.15">
      <c r="A47" s="69"/>
      <c r="B47" s="67"/>
      <c r="C47" s="67"/>
      <c r="D47" s="67"/>
      <c r="E47" s="67"/>
      <c r="F47" s="67"/>
      <c r="G47" s="67"/>
      <c r="H47" s="67"/>
    </row>
    <row r="48" spans="1:8" x14ac:dyDescent="0.15">
      <c r="A48" s="69"/>
      <c r="B48" s="67"/>
      <c r="C48" s="67"/>
      <c r="D48" s="67"/>
      <c r="E48" s="67"/>
      <c r="F48" s="67"/>
      <c r="G48" s="67"/>
      <c r="H48" s="67"/>
    </row>
    <row r="49" spans="1:8" x14ac:dyDescent="0.15">
      <c r="A49" s="69"/>
      <c r="B49" s="67"/>
      <c r="C49" s="67"/>
      <c r="D49" s="67"/>
      <c r="E49" s="67"/>
      <c r="F49" s="67"/>
      <c r="G49" s="67"/>
      <c r="H49" s="67"/>
    </row>
    <row r="50" spans="1:8" x14ac:dyDescent="0.15">
      <c r="A50" s="69"/>
      <c r="B50" s="67"/>
      <c r="C50" s="67"/>
      <c r="D50" s="67"/>
      <c r="E50" s="67"/>
      <c r="F50" s="67"/>
      <c r="G50" s="67"/>
      <c r="H50" s="67"/>
    </row>
    <row r="51" spans="1:8" x14ac:dyDescent="0.15">
      <c r="A51" s="69"/>
      <c r="B51" s="67"/>
      <c r="C51" s="67"/>
      <c r="D51" s="67"/>
      <c r="E51" s="67"/>
      <c r="F51" s="67"/>
      <c r="G51" s="67"/>
      <c r="H51" s="67"/>
    </row>
    <row r="52" spans="1:8" x14ac:dyDescent="0.15">
      <c r="A52" s="66"/>
      <c r="B52" s="67"/>
      <c r="C52" s="67"/>
      <c r="D52" s="67"/>
      <c r="E52" s="67"/>
      <c r="F52" s="67"/>
      <c r="G52" s="67"/>
      <c r="H52" s="67"/>
    </row>
    <row r="53" spans="1:8" x14ac:dyDescent="0.15">
      <c r="A53" s="66"/>
      <c r="B53" s="67"/>
      <c r="C53" s="67"/>
      <c r="D53" s="67"/>
      <c r="E53" s="67"/>
      <c r="F53" s="67"/>
      <c r="G53" s="67"/>
      <c r="H53" s="67"/>
    </row>
    <row r="54" spans="1:8" x14ac:dyDescent="0.15">
      <c r="A54" s="66"/>
      <c r="B54" s="67"/>
      <c r="C54" s="67"/>
      <c r="D54" s="67"/>
      <c r="E54" s="67"/>
      <c r="F54" s="67"/>
      <c r="G54" s="67"/>
      <c r="H54" s="67"/>
    </row>
    <row r="55" spans="1:8" x14ac:dyDescent="0.15">
      <c r="A55" s="66"/>
      <c r="B55" s="67"/>
      <c r="C55" s="67"/>
      <c r="D55" s="67"/>
      <c r="E55" s="67"/>
      <c r="F55" s="67"/>
      <c r="G55" s="67"/>
      <c r="H55" s="67"/>
    </row>
    <row r="56" spans="1:8" x14ac:dyDescent="0.15">
      <c r="A56" s="66"/>
      <c r="B56" s="67"/>
      <c r="C56" s="67"/>
      <c r="D56" s="67"/>
      <c r="E56" s="67"/>
      <c r="F56" s="67"/>
      <c r="G56" s="67"/>
      <c r="H56" s="67"/>
    </row>
    <row r="57" spans="1:8" x14ac:dyDescent="0.15">
      <c r="A57" s="66"/>
      <c r="B57" s="67"/>
      <c r="C57" s="67"/>
      <c r="D57" s="67"/>
      <c r="E57" s="67"/>
      <c r="F57" s="67"/>
      <c r="G57" s="67"/>
      <c r="H57" s="67"/>
    </row>
    <row r="58" spans="1:8" x14ac:dyDescent="0.15">
      <c r="A58" s="66"/>
      <c r="B58" s="67"/>
      <c r="C58" s="67"/>
      <c r="D58" s="67"/>
      <c r="E58" s="67"/>
      <c r="F58" s="67"/>
      <c r="G58" s="67"/>
      <c r="H58" s="67"/>
    </row>
    <row r="59" spans="1:8" x14ac:dyDescent="0.15">
      <c r="A59" s="66"/>
      <c r="B59" s="67"/>
      <c r="C59" s="67"/>
      <c r="D59" s="67"/>
      <c r="E59" s="67"/>
      <c r="F59" s="67"/>
      <c r="G59" s="67"/>
      <c r="H59" s="67"/>
    </row>
    <row r="60" spans="1:8" x14ac:dyDescent="0.15">
      <c r="A60" s="66"/>
      <c r="B60" s="67"/>
      <c r="C60" s="67"/>
      <c r="D60" s="67"/>
      <c r="E60" s="67"/>
      <c r="F60" s="67"/>
      <c r="G60" s="67"/>
      <c r="H60" s="67"/>
    </row>
    <row r="61" spans="1:8" x14ac:dyDescent="0.15">
      <c r="A61" s="66"/>
      <c r="B61" s="67"/>
      <c r="C61" s="67"/>
      <c r="D61" s="67"/>
      <c r="E61" s="67"/>
      <c r="F61" s="67"/>
      <c r="G61" s="67"/>
      <c r="H61" s="67"/>
    </row>
    <row r="62" spans="1:8" x14ac:dyDescent="0.15">
      <c r="A62" s="66"/>
      <c r="B62" s="67"/>
      <c r="C62" s="67"/>
      <c r="D62" s="67"/>
      <c r="E62" s="67"/>
      <c r="F62" s="67"/>
      <c r="G62" s="67"/>
      <c r="H62" s="67"/>
    </row>
    <row r="63" spans="1:8" x14ac:dyDescent="0.15">
      <c r="A63" s="66"/>
      <c r="B63" s="67"/>
      <c r="C63" s="67"/>
      <c r="D63" s="67"/>
      <c r="E63" s="67"/>
      <c r="F63" s="67"/>
      <c r="G63" s="67"/>
      <c r="H63" s="67"/>
    </row>
    <row r="64" spans="1:8" x14ac:dyDescent="0.15">
      <c r="A64" s="66"/>
      <c r="B64" s="67"/>
      <c r="C64" s="67"/>
      <c r="D64" s="67"/>
      <c r="E64" s="67"/>
      <c r="F64" s="67"/>
      <c r="G64" s="67"/>
      <c r="H64" s="67"/>
    </row>
    <row r="65" spans="1:8" x14ac:dyDescent="0.15">
      <c r="A65" s="66"/>
      <c r="B65" s="67"/>
      <c r="C65" s="67"/>
      <c r="D65" s="67"/>
      <c r="E65" s="67"/>
      <c r="F65" s="67"/>
      <c r="G65" s="67"/>
      <c r="H65" s="67"/>
    </row>
    <row r="66" spans="1:8" x14ac:dyDescent="0.15">
      <c r="A66" s="66"/>
      <c r="B66" s="67"/>
      <c r="C66" s="67"/>
      <c r="D66" s="67"/>
      <c r="E66" s="67"/>
      <c r="F66" s="67"/>
      <c r="G66" s="67"/>
      <c r="H66" s="67"/>
    </row>
    <row r="67" spans="1:8" x14ac:dyDescent="0.15">
      <c r="A67" s="66"/>
      <c r="B67" s="67"/>
      <c r="C67" s="67"/>
      <c r="D67" s="67"/>
      <c r="E67" s="67"/>
      <c r="F67" s="67"/>
      <c r="G67" s="67"/>
      <c r="H67" s="67"/>
    </row>
    <row r="68" spans="1:8" x14ac:dyDescent="0.15">
      <c r="A68" s="66"/>
      <c r="B68" s="67"/>
      <c r="C68" s="67"/>
      <c r="D68" s="67"/>
      <c r="E68" s="67"/>
      <c r="F68" s="67"/>
      <c r="G68" s="67"/>
      <c r="H68" s="67"/>
    </row>
    <row r="69" spans="1:8" x14ac:dyDescent="0.15">
      <c r="A69" s="66"/>
      <c r="B69" s="67"/>
      <c r="C69" s="67"/>
      <c r="D69" s="67"/>
      <c r="E69" s="67"/>
      <c r="F69" s="67"/>
      <c r="G69" s="67"/>
      <c r="H69" s="67"/>
    </row>
    <row r="70" spans="1:8" x14ac:dyDescent="0.15">
      <c r="A70" s="66"/>
      <c r="B70" s="67"/>
      <c r="C70" s="67"/>
      <c r="D70" s="67"/>
      <c r="E70" s="67"/>
      <c r="F70" s="67"/>
      <c r="G70" s="67"/>
      <c r="H70" s="67"/>
    </row>
    <row r="71" spans="1:8" x14ac:dyDescent="0.15">
      <c r="A71" s="66"/>
      <c r="B71" s="67"/>
      <c r="C71" s="67"/>
      <c r="D71" s="67"/>
      <c r="E71" s="67"/>
      <c r="F71" s="67"/>
      <c r="G71" s="67"/>
      <c r="H71" s="67"/>
    </row>
    <row r="72" spans="1:8" x14ac:dyDescent="0.15">
      <c r="A72" s="66"/>
      <c r="B72" s="67"/>
      <c r="C72" s="67"/>
      <c r="D72" s="67"/>
      <c r="E72" s="67"/>
      <c r="F72" s="67"/>
      <c r="G72" s="67"/>
      <c r="H72" s="67"/>
    </row>
    <row r="73" spans="1:8" x14ac:dyDescent="0.15">
      <c r="A73" s="66"/>
      <c r="B73" s="67"/>
      <c r="C73" s="67"/>
      <c r="D73" s="67"/>
      <c r="E73" s="67"/>
      <c r="F73" s="67"/>
      <c r="G73" s="67"/>
      <c r="H73" s="67"/>
    </row>
    <row r="74" spans="1:8" x14ac:dyDescent="0.15">
      <c r="A74" s="66"/>
      <c r="B74" s="67"/>
      <c r="C74" s="67"/>
      <c r="D74" s="67"/>
      <c r="E74" s="67"/>
      <c r="F74" s="67"/>
      <c r="G74" s="67"/>
      <c r="H74" s="67"/>
    </row>
    <row r="75" spans="1:8" x14ac:dyDescent="0.15">
      <c r="A75" s="66"/>
      <c r="B75" s="67"/>
      <c r="C75" s="67"/>
      <c r="D75" s="67"/>
      <c r="E75" s="67"/>
      <c r="F75" s="67"/>
      <c r="G75" s="67"/>
      <c r="H75" s="67"/>
    </row>
    <row r="76" spans="1:8" x14ac:dyDescent="0.15">
      <c r="A76" s="66"/>
      <c r="B76" s="67"/>
      <c r="C76" s="67"/>
      <c r="D76" s="67"/>
      <c r="E76" s="67"/>
      <c r="F76" s="67"/>
      <c r="G76" s="67"/>
      <c r="H76" s="67"/>
    </row>
    <row r="77" spans="1:8" x14ac:dyDescent="0.15">
      <c r="A77" s="66"/>
      <c r="B77" s="67"/>
      <c r="C77" s="67"/>
      <c r="D77" s="67"/>
      <c r="E77" s="67"/>
      <c r="F77" s="67"/>
      <c r="G77" s="67"/>
      <c r="H77" s="67"/>
    </row>
    <row r="78" spans="1:8" x14ac:dyDescent="0.15">
      <c r="A78" s="66"/>
      <c r="B78" s="67"/>
      <c r="C78" s="67"/>
      <c r="D78" s="67"/>
      <c r="E78" s="67"/>
      <c r="F78" s="67"/>
      <c r="G78" s="67"/>
      <c r="H78" s="67"/>
    </row>
    <row r="79" spans="1:8" x14ac:dyDescent="0.15">
      <c r="A79" s="66"/>
      <c r="B79" s="67"/>
      <c r="C79" s="67"/>
      <c r="D79" s="67"/>
      <c r="E79" s="67"/>
      <c r="F79" s="67"/>
      <c r="G79" s="67"/>
      <c r="H79" s="67"/>
    </row>
    <row r="80" spans="1:8" x14ac:dyDescent="0.15">
      <c r="A80" s="66"/>
      <c r="B80" s="67"/>
      <c r="C80" s="67"/>
      <c r="D80" s="67"/>
      <c r="E80" s="67"/>
      <c r="F80" s="67"/>
      <c r="G80" s="67"/>
      <c r="H80" s="67"/>
    </row>
    <row r="81" spans="1:8" x14ac:dyDescent="0.15">
      <c r="A81" s="66"/>
      <c r="B81" s="67"/>
      <c r="C81" s="67"/>
      <c r="D81" s="67"/>
      <c r="E81" s="67"/>
      <c r="F81" s="67"/>
      <c r="G81" s="67"/>
      <c r="H81" s="67"/>
    </row>
    <row r="82" spans="1:8" ht="14" customHeight="1" x14ac:dyDescent="0.15">
      <c r="A82" s="66"/>
      <c r="B82" s="67"/>
      <c r="C82" s="67"/>
      <c r="D82" s="67"/>
      <c r="E82" s="67"/>
      <c r="F82" s="67"/>
      <c r="G82" s="67"/>
      <c r="H82" s="67"/>
    </row>
    <row r="83" spans="1:8" x14ac:dyDescent="0.15">
      <c r="A83" s="66"/>
      <c r="B83" s="67"/>
      <c r="C83" s="67"/>
      <c r="D83" s="67"/>
      <c r="E83" s="67"/>
      <c r="F83" s="67"/>
      <c r="G83" s="67"/>
      <c r="H83" s="67"/>
    </row>
    <row r="84" spans="1:8" x14ac:dyDescent="0.15">
      <c r="A84" s="66"/>
      <c r="B84" s="67"/>
      <c r="C84" s="67"/>
      <c r="D84" s="67"/>
      <c r="E84" s="67"/>
      <c r="F84" s="67"/>
      <c r="G84" s="67"/>
      <c r="H84" s="67"/>
    </row>
    <row r="85" spans="1:8" x14ac:dyDescent="0.15">
      <c r="A85" s="66"/>
      <c r="B85" s="67"/>
      <c r="C85" s="67"/>
      <c r="D85" s="67"/>
      <c r="E85" s="67"/>
      <c r="F85" s="67"/>
      <c r="G85" s="67"/>
      <c r="H85" s="67"/>
    </row>
    <row r="86" spans="1:8" ht="14" customHeight="1" x14ac:dyDescent="0.15">
      <c r="A86" s="66"/>
      <c r="B86" s="67"/>
      <c r="C86" s="67"/>
      <c r="D86" s="67"/>
      <c r="E86" s="67"/>
      <c r="F86" s="67"/>
      <c r="G86" s="67"/>
      <c r="H86" s="67"/>
    </row>
    <row r="87" spans="1:8" x14ac:dyDescent="0.15">
      <c r="A87" s="66"/>
      <c r="B87" s="67"/>
      <c r="C87" s="67"/>
      <c r="D87" s="67"/>
      <c r="E87" s="67"/>
      <c r="F87" s="67"/>
      <c r="G87" s="67"/>
      <c r="H87" s="67"/>
    </row>
    <row r="88" spans="1:8" x14ac:dyDescent="0.15">
      <c r="A88" s="66"/>
      <c r="B88" s="67"/>
      <c r="C88" s="67"/>
      <c r="D88" s="67"/>
      <c r="E88" s="67"/>
      <c r="F88" s="67"/>
      <c r="G88" s="67"/>
      <c r="H88" s="67"/>
    </row>
    <row r="89" spans="1:8" x14ac:dyDescent="0.15">
      <c r="A89" s="66"/>
      <c r="B89" s="67"/>
      <c r="C89" s="67"/>
      <c r="D89" s="67"/>
      <c r="E89" s="67"/>
      <c r="F89" s="67"/>
      <c r="G89" s="67"/>
      <c r="H89" s="67"/>
    </row>
    <row r="90" spans="1:8" ht="14" customHeight="1" x14ac:dyDescent="0.15">
      <c r="A90" s="66"/>
      <c r="B90" s="67"/>
      <c r="C90" s="67"/>
      <c r="D90" s="67"/>
      <c r="E90" s="67"/>
      <c r="F90" s="67"/>
      <c r="G90" s="67"/>
      <c r="H90" s="67"/>
    </row>
    <row r="91" spans="1:8" x14ac:dyDescent="0.15">
      <c r="A91" s="66"/>
      <c r="B91" s="67"/>
      <c r="C91" s="67"/>
      <c r="D91" s="67"/>
      <c r="E91" s="67"/>
      <c r="F91" s="67"/>
      <c r="G91" s="67"/>
      <c r="H91" s="67"/>
    </row>
    <row r="92" spans="1:8" x14ac:dyDescent="0.15">
      <c r="A92" s="66"/>
      <c r="B92" s="68"/>
      <c r="C92" s="67"/>
      <c r="D92" s="67"/>
      <c r="E92" s="67"/>
      <c r="F92" s="67"/>
      <c r="G92" s="67"/>
      <c r="H92" s="67"/>
    </row>
    <row r="93" spans="1:8" x14ac:dyDescent="0.15">
      <c r="A93" s="66"/>
      <c r="B93" s="67"/>
      <c r="C93" s="67"/>
      <c r="D93" s="67"/>
      <c r="E93" s="67"/>
      <c r="F93" s="67"/>
      <c r="G93" s="67"/>
      <c r="H93" s="67"/>
    </row>
    <row r="94" spans="1:8" x14ac:dyDescent="0.15">
      <c r="A94" s="66"/>
      <c r="B94" s="67"/>
      <c r="C94" s="67"/>
      <c r="D94" s="67"/>
      <c r="E94" s="67"/>
      <c r="F94" s="67"/>
      <c r="G94" s="67"/>
      <c r="H94" s="67"/>
    </row>
    <row r="95" spans="1:8" ht="14" customHeight="1" x14ac:dyDescent="0.15">
      <c r="A95" s="66"/>
      <c r="B95" s="65"/>
    </row>
    <row r="96" spans="1:8" ht="14" customHeight="1" x14ac:dyDescent="0.15">
      <c r="B96" s="65"/>
      <c r="C96" s="65"/>
      <c r="D96" s="65"/>
      <c r="E96" s="65"/>
      <c r="F96" s="65"/>
      <c r="G96" s="65"/>
      <c r="H96" s="65"/>
    </row>
    <row r="97" spans="1:8" ht="14" customHeight="1" x14ac:dyDescent="0.15">
      <c r="A97" s="66"/>
      <c r="B97" s="65"/>
    </row>
    <row r="98" spans="1:8" x14ac:dyDescent="0.15">
      <c r="A98" s="61"/>
      <c r="B98" s="61"/>
    </row>
    <row r="99" spans="1:8" x14ac:dyDescent="0.15">
      <c r="B99" s="61"/>
    </row>
    <row r="100" spans="1:8" x14ac:dyDescent="0.15">
      <c r="A100" s="64"/>
      <c r="C100" s="61"/>
      <c r="D100" s="61"/>
      <c r="E100" s="72"/>
      <c r="H100" s="73"/>
    </row>
    <row r="101" spans="1:8" x14ac:dyDescent="0.15">
      <c r="A101" s="71"/>
    </row>
    <row r="102" spans="1:8" x14ac:dyDescent="0.15">
      <c r="A102" s="71"/>
    </row>
    <row r="108" spans="1:8" x14ac:dyDescent="0.15">
      <c r="B108" s="73"/>
    </row>
    <row r="109" spans="1:8" x14ac:dyDescent="0.15">
      <c r="B109" s="73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55CC8-6EA8-4E72-AEEC-19DC1834DE32}">
  <sheetPr>
    <tabColor rgb="FF00B0F0"/>
  </sheetPr>
  <dimension ref="A1:H53"/>
  <sheetViews>
    <sheetView workbookViewId="0">
      <selection sqref="A1:N1"/>
    </sheetView>
  </sheetViews>
  <sheetFormatPr baseColWidth="10" defaultColWidth="9.1640625" defaultRowHeight="15" x14ac:dyDescent="0.2"/>
  <cols>
    <col min="1" max="1" width="46.83203125" style="480" customWidth="1"/>
    <col min="2" max="3" width="17.5" style="480" customWidth="1"/>
    <col min="4" max="5" width="9.1640625" style="480"/>
    <col min="6" max="6" width="33.33203125" style="480" customWidth="1"/>
    <col min="7" max="7" width="19.1640625" style="480" customWidth="1"/>
    <col min="8" max="8" width="15.33203125" style="480" customWidth="1"/>
    <col min="9" max="16384" width="9.1640625" style="480"/>
  </cols>
  <sheetData>
    <row r="1" spans="1:8" x14ac:dyDescent="0.2">
      <c r="A1" s="477" t="s">
        <v>334</v>
      </c>
      <c r="B1" s="478" t="str">
        <f>HYPERLINK("http://maps.google.com/maps?q="&amp;(RIGHT(A1,LEN(A1)-SEARCH("-",A1))),"Google Map")</f>
        <v>Google Map</v>
      </c>
      <c r="C1" s="479"/>
      <c r="F1" s="799" t="s">
        <v>335</v>
      </c>
      <c r="G1" s="799"/>
    </row>
    <row r="2" spans="1:8" x14ac:dyDescent="0.2">
      <c r="A2" s="481" t="s">
        <v>336</v>
      </c>
      <c r="B2" s="482">
        <v>0</v>
      </c>
      <c r="C2" s="483" t="e">
        <f>B13/B2</f>
        <v>#DIV/0!</v>
      </c>
      <c r="F2" s="480" t="s">
        <v>336</v>
      </c>
      <c r="G2" s="484">
        <v>0</v>
      </c>
    </row>
    <row r="3" spans="1:8" x14ac:dyDescent="0.2">
      <c r="A3" s="480" t="s">
        <v>337</v>
      </c>
      <c r="B3" s="485"/>
      <c r="C3" s="486" t="e">
        <f>B2/B3</f>
        <v>#DIV/0!</v>
      </c>
      <c r="F3" s="480" t="s">
        <v>338</v>
      </c>
      <c r="G3" s="485"/>
      <c r="H3" s="487" t="e">
        <f>G2/G3</f>
        <v>#DIV/0!</v>
      </c>
    </row>
    <row r="4" spans="1:8" x14ac:dyDescent="0.2">
      <c r="A4" s="480" t="s">
        <v>339</v>
      </c>
      <c r="B4" s="485"/>
      <c r="C4" s="488" t="e">
        <f>B2/B4</f>
        <v>#DIV/0!</v>
      </c>
      <c r="F4" s="480" t="s">
        <v>340</v>
      </c>
      <c r="G4" s="485"/>
      <c r="H4" s="488" t="e">
        <f>G2/G4</f>
        <v>#DIV/0!</v>
      </c>
    </row>
    <row r="5" spans="1:8" x14ac:dyDescent="0.2">
      <c r="A5" s="480" t="s">
        <v>341</v>
      </c>
      <c r="B5" s="489">
        <v>400</v>
      </c>
      <c r="C5" s="490" t="e">
        <f>B5/B2*100</f>
        <v>#DIV/0!</v>
      </c>
      <c r="F5" s="480" t="s">
        <v>342</v>
      </c>
      <c r="G5" s="489">
        <v>250</v>
      </c>
    </row>
    <row r="6" spans="1:8" x14ac:dyDescent="0.2">
      <c r="A6" s="491" t="s">
        <v>343</v>
      </c>
      <c r="B6" s="492"/>
      <c r="C6" s="493"/>
      <c r="F6" s="491" t="s">
        <v>343</v>
      </c>
      <c r="G6" s="492"/>
    </row>
    <row r="7" spans="1:8" x14ac:dyDescent="0.2">
      <c r="A7" s="480" t="s">
        <v>344</v>
      </c>
      <c r="B7" s="494">
        <f>-B6*B5*$B$3*12</f>
        <v>0</v>
      </c>
      <c r="C7" s="493"/>
      <c r="F7" s="480" t="s">
        <v>344</v>
      </c>
      <c r="G7" s="495">
        <f>-G6*G5*G4*12</f>
        <v>0</v>
      </c>
    </row>
    <row r="8" spans="1:8" x14ac:dyDescent="0.2">
      <c r="A8" s="480" t="s">
        <v>345</v>
      </c>
      <c r="B8" s="495">
        <v>0</v>
      </c>
      <c r="C8" s="493"/>
      <c r="F8" s="480" t="s">
        <v>346</v>
      </c>
      <c r="G8" s="494">
        <f>G4*G5*12+G7</f>
        <v>0</v>
      </c>
    </row>
    <row r="9" spans="1:8" x14ac:dyDescent="0.2">
      <c r="A9" s="480" t="s">
        <v>346</v>
      </c>
      <c r="B9" s="494">
        <f>$B$3*$B$5*12+$B$7+$B$8</f>
        <v>0</v>
      </c>
      <c r="C9" s="493"/>
    </row>
    <row r="10" spans="1:8" x14ac:dyDescent="0.2">
      <c r="C10" s="493"/>
      <c r="F10" s="480" t="s">
        <v>347</v>
      </c>
      <c r="G10" s="492">
        <v>0.5</v>
      </c>
    </row>
    <row r="11" spans="1:8" ht="16" thickBot="1" x14ac:dyDescent="0.25">
      <c r="A11" s="480" t="s">
        <v>348</v>
      </c>
      <c r="B11" s="492">
        <v>0.4</v>
      </c>
      <c r="C11" s="493"/>
      <c r="F11" s="480" t="s">
        <v>349</v>
      </c>
      <c r="G11" s="496">
        <f>-G10*G8</f>
        <v>0</v>
      </c>
    </row>
    <row r="12" spans="1:8" ht="17" thickTop="1" thickBot="1" x14ac:dyDescent="0.25">
      <c r="A12" s="480" t="s">
        <v>350</v>
      </c>
      <c r="B12" s="496">
        <f>B11*B9</f>
        <v>0</v>
      </c>
      <c r="C12" s="493"/>
      <c r="F12" s="480" t="s">
        <v>351</v>
      </c>
      <c r="G12" s="494">
        <f>G8+G11</f>
        <v>0</v>
      </c>
    </row>
    <row r="13" spans="1:8" ht="16" thickTop="1" x14ac:dyDescent="0.2">
      <c r="A13" s="480" t="s">
        <v>125</v>
      </c>
      <c r="B13" s="494">
        <f>B9-B12</f>
        <v>0</v>
      </c>
      <c r="C13" s="483" t="e">
        <f>B13/B2</f>
        <v>#DIV/0!</v>
      </c>
    </row>
    <row r="14" spans="1:8" x14ac:dyDescent="0.2">
      <c r="C14" s="493"/>
      <c r="F14" s="480" t="s">
        <v>352</v>
      </c>
      <c r="G14" s="497">
        <v>0.14000000000000001</v>
      </c>
    </row>
    <row r="15" spans="1:8" x14ac:dyDescent="0.2">
      <c r="A15" s="480" t="s">
        <v>353</v>
      </c>
      <c r="B15" s="497">
        <v>5.5E-2</v>
      </c>
      <c r="C15" s="493"/>
      <c r="F15" s="480" t="s">
        <v>354</v>
      </c>
      <c r="G15" s="498">
        <f>G12/G14</f>
        <v>0</v>
      </c>
      <c r="H15" s="487" t="e">
        <f>G15/G3</f>
        <v>#DIV/0!</v>
      </c>
    </row>
    <row r="16" spans="1:8" x14ac:dyDescent="0.2">
      <c r="A16" s="480" t="s">
        <v>0</v>
      </c>
      <c r="B16" s="494">
        <f>B13/B15</f>
        <v>0</v>
      </c>
      <c r="C16" s="486" t="e">
        <f>B16/B3</f>
        <v>#DIV/0!</v>
      </c>
    </row>
    <row r="17" spans="1:7" x14ac:dyDescent="0.2">
      <c r="A17" s="800" t="s">
        <v>355</v>
      </c>
      <c r="B17" s="800"/>
      <c r="C17" s="800"/>
      <c r="F17" s="800" t="s">
        <v>356</v>
      </c>
      <c r="G17" s="800"/>
    </row>
    <row r="18" spans="1:7" x14ac:dyDescent="0.2">
      <c r="A18" s="480" t="s">
        <v>357</v>
      </c>
      <c r="B18" s="492">
        <v>0.05</v>
      </c>
      <c r="F18" s="480" t="s">
        <v>358</v>
      </c>
      <c r="G18" s="492">
        <v>1</v>
      </c>
    </row>
    <row r="19" spans="1:7" x14ac:dyDescent="0.2">
      <c r="A19" s="480" t="s">
        <v>348</v>
      </c>
      <c r="B19" s="492">
        <v>0.32</v>
      </c>
      <c r="F19" s="480" t="s">
        <v>359</v>
      </c>
      <c r="G19" s="497">
        <v>0.05</v>
      </c>
    </row>
    <row r="20" spans="1:7" x14ac:dyDescent="0.2">
      <c r="A20" s="480" t="s">
        <v>341</v>
      </c>
      <c r="B20" s="489">
        <v>550</v>
      </c>
      <c r="F20" s="480" t="s">
        <v>360</v>
      </c>
      <c r="G20" s="499">
        <v>9999</v>
      </c>
    </row>
    <row r="21" spans="1:7" x14ac:dyDescent="0.2">
      <c r="A21" s="480" t="s">
        <v>361</v>
      </c>
      <c r="B21" s="494">
        <f>B20*B3*12</f>
        <v>0</v>
      </c>
      <c r="F21" s="480" t="s">
        <v>362</v>
      </c>
      <c r="G21" s="500">
        <f>PMT(G19,G20,G15*G18)</f>
        <v>0</v>
      </c>
    </row>
    <row r="22" spans="1:7" x14ac:dyDescent="0.2">
      <c r="A22" s="480" t="s">
        <v>344</v>
      </c>
      <c r="B22" s="494">
        <f>-$B$18*$B$21</f>
        <v>0</v>
      </c>
      <c r="G22" s="500"/>
    </row>
    <row r="23" spans="1:7" x14ac:dyDescent="0.2">
      <c r="A23" s="576" t="s">
        <v>345</v>
      </c>
      <c r="B23" s="495">
        <v>0</v>
      </c>
      <c r="F23" s="480" t="s">
        <v>363</v>
      </c>
      <c r="G23" s="501">
        <f>B34+(1-G18)*G2</f>
        <v>0</v>
      </c>
    </row>
    <row r="24" spans="1:7" x14ac:dyDescent="0.2">
      <c r="A24" s="480" t="s">
        <v>346</v>
      </c>
      <c r="B24" s="494">
        <f>SUM(B21:B23)</f>
        <v>0</v>
      </c>
      <c r="F24" s="480" t="s">
        <v>364</v>
      </c>
      <c r="G24" s="502" t="e">
        <f>(B36/5+G12+G21)/G23</f>
        <v>#DIV/0!</v>
      </c>
    </row>
    <row r="25" spans="1:7" x14ac:dyDescent="0.2">
      <c r="F25" s="480" t="s">
        <v>365</v>
      </c>
      <c r="G25" s="503">
        <f>B35</f>
        <v>0</v>
      </c>
    </row>
    <row r="26" spans="1:7" ht="16" thickBot="1" x14ac:dyDescent="0.25">
      <c r="A26" s="480" t="s">
        <v>350</v>
      </c>
      <c r="B26" s="496">
        <f>B19*B24</f>
        <v>0</v>
      </c>
      <c r="F26" s="480" t="s">
        <v>366</v>
      </c>
      <c r="G26" s="503" t="e">
        <f>G23*G24*5</f>
        <v>#DIV/0!</v>
      </c>
    </row>
    <row r="27" spans="1:7" ht="16" thickTop="1" x14ac:dyDescent="0.2">
      <c r="A27" s="480" t="s">
        <v>125</v>
      </c>
      <c r="B27" s="494">
        <f>B24-B26</f>
        <v>0</v>
      </c>
      <c r="F27" s="480" t="s">
        <v>367</v>
      </c>
      <c r="G27" s="504" t="e">
        <f>(G25+G26-G23)/G23</f>
        <v>#DIV/0!</v>
      </c>
    </row>
    <row r="29" spans="1:7" x14ac:dyDescent="0.2">
      <c r="A29" s="480" t="s">
        <v>353</v>
      </c>
      <c r="B29" s="497">
        <v>5.5E-2</v>
      </c>
      <c r="F29" s="505" t="s">
        <v>368</v>
      </c>
      <c r="G29" s="498">
        <f>G15+B16</f>
        <v>0</v>
      </c>
    </row>
    <row r="30" spans="1:7" x14ac:dyDescent="0.2">
      <c r="A30" s="480" t="s">
        <v>0</v>
      </c>
      <c r="B30" s="494">
        <f>B27/B29</f>
        <v>0</v>
      </c>
      <c r="C30" s="486" t="e">
        <f>B30/B3</f>
        <v>#DIV/0!</v>
      </c>
    </row>
    <row r="31" spans="1:7" x14ac:dyDescent="0.2">
      <c r="A31" s="801" t="s">
        <v>369</v>
      </c>
      <c r="B31" s="801"/>
      <c r="C31" s="801"/>
    </row>
    <row r="32" spans="1:7" x14ac:dyDescent="0.2">
      <c r="A32" s="480" t="s">
        <v>180</v>
      </c>
      <c r="B32" s="492">
        <v>0.7</v>
      </c>
    </row>
    <row r="33" spans="1:3" x14ac:dyDescent="0.2">
      <c r="A33" s="480" t="s">
        <v>370</v>
      </c>
      <c r="B33" s="492">
        <v>0.08</v>
      </c>
    </row>
    <row r="34" spans="1:3" x14ac:dyDescent="0.2">
      <c r="A34" s="480" t="s">
        <v>371</v>
      </c>
      <c r="B34" s="503">
        <f>(1-B32)*B16</f>
        <v>0</v>
      </c>
    </row>
    <row r="35" spans="1:3" x14ac:dyDescent="0.2">
      <c r="A35" s="480" t="s">
        <v>372</v>
      </c>
      <c r="B35" s="503">
        <f>+B50</f>
        <v>0</v>
      </c>
      <c r="C35" s="494"/>
    </row>
    <row r="36" spans="1:3" x14ac:dyDescent="0.2">
      <c r="A36" s="480" t="s">
        <v>366</v>
      </c>
      <c r="B36" s="503">
        <f>B33*B34*5</f>
        <v>0</v>
      </c>
    </row>
    <row r="37" spans="1:3" x14ac:dyDescent="0.2">
      <c r="A37" s="480" t="s">
        <v>367</v>
      </c>
      <c r="B37" s="575" t="e">
        <f>+B53</f>
        <v>#DIV/0!</v>
      </c>
    </row>
    <row r="39" spans="1:3" x14ac:dyDescent="0.2">
      <c r="A39" s="480" t="s">
        <v>373</v>
      </c>
      <c r="B39" s="494">
        <f>B30-B16</f>
        <v>0</v>
      </c>
      <c r="C39" s="486" t="e">
        <f>B39/B3</f>
        <v>#DIV/0!</v>
      </c>
    </row>
    <row r="48" spans="1:3" x14ac:dyDescent="0.2">
      <c r="A48" s="480" t="s">
        <v>374</v>
      </c>
      <c r="B48" s="573">
        <f>+B32*B16</f>
        <v>0</v>
      </c>
    </row>
    <row r="49" spans="1:2" x14ac:dyDescent="0.2">
      <c r="A49" s="480" t="s">
        <v>375</v>
      </c>
      <c r="B49" s="573">
        <f>+B32*B30</f>
        <v>0</v>
      </c>
    </row>
    <row r="50" spans="1:2" x14ac:dyDescent="0.2">
      <c r="A50" s="480" t="s">
        <v>376</v>
      </c>
      <c r="B50" s="573">
        <f>+B49-B48</f>
        <v>0</v>
      </c>
    </row>
    <row r="51" spans="1:2" x14ac:dyDescent="0.2">
      <c r="A51" s="480" t="s">
        <v>377</v>
      </c>
      <c r="B51" s="494">
        <f>+B36</f>
        <v>0</v>
      </c>
    </row>
    <row r="52" spans="1:2" x14ac:dyDescent="0.2">
      <c r="A52" s="480" t="s">
        <v>378</v>
      </c>
      <c r="B52" s="573">
        <f>+B51+B50</f>
        <v>0</v>
      </c>
    </row>
    <row r="53" spans="1:2" x14ac:dyDescent="0.2">
      <c r="A53" s="480" t="s">
        <v>379</v>
      </c>
      <c r="B53" s="574" t="e">
        <f>+B52/B34</f>
        <v>#DIV/0!</v>
      </c>
    </row>
  </sheetData>
  <mergeCells count="4">
    <mergeCell ref="F1:G1"/>
    <mergeCell ref="A17:C17"/>
    <mergeCell ref="F17:G17"/>
    <mergeCell ref="A31:C3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096BE-F7C7-4C9E-92F0-129DBF7A0624}">
  <sheetPr codeName="Sheet7">
    <tabColor theme="9"/>
  </sheetPr>
  <dimension ref="A1:V34"/>
  <sheetViews>
    <sheetView workbookViewId="0">
      <selection sqref="A1:N1"/>
    </sheetView>
  </sheetViews>
  <sheetFormatPr baseColWidth="10" defaultColWidth="8.83203125" defaultRowHeight="13" x14ac:dyDescent="0.15"/>
  <cols>
    <col min="1" max="1" width="46.33203125" bestFit="1" customWidth="1"/>
    <col min="2" max="2" width="11.6640625" bestFit="1" customWidth="1"/>
    <col min="3" max="3" width="15.1640625" customWidth="1"/>
    <col min="4" max="4" width="12.33203125" customWidth="1"/>
    <col min="5" max="5" width="13.5" customWidth="1"/>
    <col min="6" max="6" width="19.5" customWidth="1"/>
    <col min="8" max="8" width="18.1640625" customWidth="1"/>
  </cols>
  <sheetData>
    <row r="1" spans="1:4" ht="15" x14ac:dyDescent="0.2">
      <c r="A1" s="805" t="s">
        <v>380</v>
      </c>
      <c r="B1" s="805"/>
      <c r="C1" s="805"/>
      <c r="D1" s="805"/>
    </row>
    <row r="2" spans="1:4" x14ac:dyDescent="0.15">
      <c r="B2" s="243"/>
    </row>
    <row r="3" spans="1:4" x14ac:dyDescent="0.15">
      <c r="A3" t="s">
        <v>381</v>
      </c>
      <c r="B3" s="453"/>
      <c r="C3" s="293" t="s">
        <v>382</v>
      </c>
    </row>
    <row r="4" spans="1:4" x14ac:dyDescent="0.15">
      <c r="B4" s="243"/>
    </row>
    <row r="5" spans="1:4" x14ac:dyDescent="0.15">
      <c r="B5" s="243"/>
    </row>
    <row r="6" spans="1:4" ht="15" x14ac:dyDescent="0.2">
      <c r="A6" s="803" t="s">
        <v>383</v>
      </c>
      <c r="B6" s="804"/>
    </row>
    <row r="7" spans="1:4" x14ac:dyDescent="0.15">
      <c r="A7" t="str">
        <f>+A3</f>
        <v>Funds Due To Escrow To Close</v>
      </c>
      <c r="B7" s="243">
        <f>+B3</f>
        <v>0</v>
      </c>
    </row>
    <row r="8" spans="1:4" x14ac:dyDescent="0.15">
      <c r="B8" s="243"/>
    </row>
    <row r="9" spans="1:4" x14ac:dyDescent="0.15">
      <c r="A9" s="591" t="s">
        <v>384</v>
      </c>
      <c r="B9" s="294"/>
    </row>
    <row r="10" spans="1:4" x14ac:dyDescent="0.15">
      <c r="A10" t="s">
        <v>385</v>
      </c>
      <c r="B10" s="294"/>
    </row>
    <row r="11" spans="1:4" x14ac:dyDescent="0.15">
      <c r="A11" s="591" t="s">
        <v>386</v>
      </c>
      <c r="B11" s="243">
        <f>+Notes!C28</f>
        <v>740000</v>
      </c>
    </row>
    <row r="12" spans="1:4" x14ac:dyDescent="0.15">
      <c r="A12" s="591" t="s">
        <v>387</v>
      </c>
      <c r="B12" s="294">
        <v>0</v>
      </c>
      <c r="C12" s="293" t="s">
        <v>388</v>
      </c>
    </row>
    <row r="13" spans="1:4" x14ac:dyDescent="0.15">
      <c r="B13" s="243"/>
    </row>
    <row r="14" spans="1:4" x14ac:dyDescent="0.15">
      <c r="A14" s="766" t="s">
        <v>389</v>
      </c>
      <c r="B14" s="767">
        <f>SUM(B7:B13)</f>
        <v>740000</v>
      </c>
    </row>
    <row r="15" spans="1:4" x14ac:dyDescent="0.15">
      <c r="B15" s="243"/>
    </row>
    <row r="16" spans="1:4" x14ac:dyDescent="0.15">
      <c r="A16" s="591" t="s">
        <v>390</v>
      </c>
      <c r="B16" s="243">
        <f>+B14-B10-B9-B7</f>
        <v>740000</v>
      </c>
    </row>
    <row r="24" spans="1:8" x14ac:dyDescent="0.15">
      <c r="A24" s="802" t="s">
        <v>391</v>
      </c>
      <c r="B24" s="802"/>
      <c r="C24" s="802"/>
      <c r="D24" s="802"/>
      <c r="E24" s="802"/>
      <c r="F24" s="802"/>
      <c r="G24" s="802"/>
      <c r="H24" s="802"/>
    </row>
    <row r="26" spans="1:8" x14ac:dyDescent="0.15">
      <c r="A26" s="769" t="s">
        <v>392</v>
      </c>
      <c r="B26" s="810" t="s">
        <v>393</v>
      </c>
      <c r="C26" s="808"/>
      <c r="D26" s="813" t="s">
        <v>394</v>
      </c>
      <c r="E26" s="813"/>
      <c r="F26" s="242" t="s">
        <v>395</v>
      </c>
      <c r="G26" s="808" t="s">
        <v>396</v>
      </c>
      <c r="H26" s="808"/>
    </row>
    <row r="27" spans="1:8" x14ac:dyDescent="0.15">
      <c r="A27" s="244"/>
      <c r="B27" s="811">
        <f>Proforma!F106+Proforma!E85</f>
        <v>483283.24</v>
      </c>
      <c r="C27" s="812"/>
      <c r="D27" s="814">
        <f>(Proforma!E53*12)/('Closing Funds - POHs'!A27+Proforma!E53*12)</f>
        <v>1</v>
      </c>
      <c r="E27" s="814"/>
      <c r="F27" s="241">
        <f>A27/B27</f>
        <v>0</v>
      </c>
      <c r="G27" s="809">
        <f>B27/(Proforma!D6)</f>
        <v>5.2882731305166665E-2</v>
      </c>
      <c r="H27" s="809"/>
    </row>
    <row r="29" spans="1:8" x14ac:dyDescent="0.15">
      <c r="A29" s="806" t="s">
        <v>397</v>
      </c>
      <c r="B29" s="802"/>
      <c r="C29" s="39" t="s">
        <v>398</v>
      </c>
      <c r="D29" s="39" t="s">
        <v>185</v>
      </c>
      <c r="E29" s="242" t="s">
        <v>399</v>
      </c>
      <c r="F29" s="242" t="s">
        <v>400</v>
      </c>
      <c r="G29" s="768" t="s">
        <v>401</v>
      </c>
      <c r="H29" s="770" t="s">
        <v>402</v>
      </c>
    </row>
    <row r="30" spans="1:8" x14ac:dyDescent="0.15">
      <c r="A30" s="807">
        <v>0</v>
      </c>
      <c r="B30" s="807"/>
      <c r="C30" s="245">
        <v>0</v>
      </c>
      <c r="D30" s="246">
        <v>0.05</v>
      </c>
      <c r="E30" s="228">
        <v>60</v>
      </c>
      <c r="F30" s="228">
        <v>60</v>
      </c>
      <c r="G30" s="243">
        <f>PMT(D30/12,F30,A30-C30)</f>
        <v>0</v>
      </c>
      <c r="H30" s="243">
        <f>G30*12</f>
        <v>0</v>
      </c>
    </row>
    <row r="32" spans="1:8" x14ac:dyDescent="0.15">
      <c r="A32" s="247" t="s">
        <v>403</v>
      </c>
      <c r="B32" s="247"/>
      <c r="C32" s="247"/>
      <c r="D32" s="247"/>
      <c r="E32" s="247"/>
      <c r="F32" s="247"/>
      <c r="G32" s="247"/>
      <c r="H32" s="247"/>
    </row>
    <row r="34" spans="1:22" x14ac:dyDescent="0.15">
      <c r="A34" s="802" t="s">
        <v>391</v>
      </c>
      <c r="B34" s="802"/>
      <c r="C34" s="802"/>
      <c r="D34" s="802"/>
      <c r="E34" s="802"/>
      <c r="F34" s="802"/>
      <c r="G34" s="802"/>
      <c r="H34" s="802"/>
      <c r="M34" s="336"/>
      <c r="N34" s="336"/>
      <c r="O34" s="336"/>
      <c r="P34" s="336"/>
      <c r="Q34" s="336"/>
      <c r="R34" s="336"/>
      <c r="S34" s="336"/>
      <c r="T34" s="336"/>
      <c r="U34" s="336"/>
      <c r="V34" s="336"/>
    </row>
  </sheetData>
  <mergeCells count="12">
    <mergeCell ref="A34:H34"/>
    <mergeCell ref="A6:B6"/>
    <mergeCell ref="A1:D1"/>
    <mergeCell ref="A24:H24"/>
    <mergeCell ref="A29:B29"/>
    <mergeCell ref="A30:B30"/>
    <mergeCell ref="G26:H26"/>
    <mergeCell ref="G27:H27"/>
    <mergeCell ref="B26:C26"/>
    <mergeCell ref="B27:C27"/>
    <mergeCell ref="D26:E26"/>
    <mergeCell ref="D27:E2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17AC504AE0142992D80EE5044DF72" ma:contentTypeVersion="17" ma:contentTypeDescription="Create a new document." ma:contentTypeScope="" ma:versionID="736b3eacd3855a89d0306ebef30feafc">
  <xsd:schema xmlns:xsd="http://www.w3.org/2001/XMLSchema" xmlns:xs="http://www.w3.org/2001/XMLSchema" xmlns:p="http://schemas.microsoft.com/office/2006/metadata/properties" xmlns:ns2="0765e0a5-7ba2-402d-9946-2e0ed7c63ed3" xmlns:ns3="6e23940f-583b-478a-a4f1-8d38fb5b28cc" targetNamespace="http://schemas.microsoft.com/office/2006/metadata/properties" ma:root="true" ma:fieldsID="3d63ce0edb93a8f681be4d5bff285ee3" ns2:_="" ns3:_="">
    <xsd:import namespace="0765e0a5-7ba2-402d-9946-2e0ed7c63ed3"/>
    <xsd:import namespace="6e23940f-583b-478a-a4f1-8d38fb5b28c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Lot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e0a5-7ba2-402d-9946-2e0ed7c63ed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0bbe2277-244b-4676-a645-2c737af1fdef}" ma:internalName="TaxCatchAll" ma:showField="CatchAllData" ma:web="0765e0a5-7ba2-402d-9946-2e0ed7c63e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3940f-583b-478a-a4f1-8d38fb5b28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3fb32de-e536-4b53-ad92-a645299bf0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LotNumber" ma:index="27" nillable="true" ma:displayName="Number Order" ma:format="Dropdown" ma:internalName="LotNumber" ma:percentage="FALSE">
      <xsd:simpleType>
        <xsd:restriction base="dms:Number">
          <xsd:maxInclusive value="999"/>
          <xsd:minInclusive value="0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765e0a5-7ba2-402d-9946-2e0ed7c63ed3">URSRN5MXTWVJ-1845219586-407611</_dlc_DocId>
    <_dlc_DocIdUrl xmlns="0765e0a5-7ba2-402d-9946-2e0ed7c63ed3">
      <Url>https://netorg4686179.sharepoint.com/_layouts/15/DocIdRedir.aspx?ID=URSRN5MXTWVJ-1845219586-407611</Url>
      <Description>URSRN5MXTWVJ-1845219586-407611</Description>
    </_dlc_DocIdUrl>
    <TaxCatchAll xmlns="0765e0a5-7ba2-402d-9946-2e0ed7c63ed3" xsi:nil="true"/>
    <lcf76f155ced4ddcb4097134ff3c332f xmlns="6e23940f-583b-478a-a4f1-8d38fb5b28cc">
      <Terms xmlns="http://schemas.microsoft.com/office/infopath/2007/PartnerControls"/>
    </lcf76f155ced4ddcb4097134ff3c332f>
    <LotNumber xmlns="6e23940f-583b-478a-a4f1-8d38fb5b28cc" xsi:nil="true"/>
  </documentManagement>
</p:properties>
</file>

<file path=customXml/itemProps1.xml><?xml version="1.0" encoding="utf-8"?>
<ds:datastoreItem xmlns:ds="http://schemas.openxmlformats.org/officeDocument/2006/customXml" ds:itemID="{5D6AC7F8-16C0-445C-8F2A-A14D21A18A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65e0a5-7ba2-402d-9946-2e0ed7c63ed3"/>
    <ds:schemaRef ds:uri="6e23940f-583b-478a-a4f1-8d38fb5b28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FEE7931-965C-4716-AA0A-D6F74EF988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472779-7EEF-4CD4-9B21-6D99EAECB1B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3A34812-8725-4855-807D-D659D4C9EB7D}">
  <ds:schemaRefs>
    <ds:schemaRef ds:uri="http://schemas.microsoft.com/office/2006/metadata/properties"/>
    <ds:schemaRef ds:uri="http://schemas.microsoft.com/office/infopath/2007/PartnerControls"/>
    <ds:schemaRef ds:uri="0765e0a5-7ba2-402d-9946-2e0ed7c63ed3"/>
    <ds:schemaRef ds:uri="6e23940f-583b-478a-a4f1-8d38fb5b28c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Executive Summary</vt:lpstr>
      <vt:lpstr>Financial Summary</vt:lpstr>
      <vt:lpstr>Park Images</vt:lpstr>
      <vt:lpstr>Proforma</vt:lpstr>
      <vt:lpstr>Notes</vt:lpstr>
      <vt:lpstr>AcquisitionFee</vt:lpstr>
      <vt:lpstr>AssetMgmtFee</vt:lpstr>
      <vt:lpstr>BVG_Internal</vt:lpstr>
      <vt:lpstr>BVGPromote</vt:lpstr>
      <vt:lpstr>ChartOfAccounts</vt:lpstr>
      <vt:lpstr>CommAssets</vt:lpstr>
      <vt:lpstr>Cost_of_Sale</vt:lpstr>
      <vt:lpstr>WaterFall!CU?</vt:lpstr>
      <vt:lpstr>Current_Year</vt:lpstr>
      <vt:lpstr>DispositionFee</vt:lpstr>
      <vt:lpstr>WaterFall!Equity_Share_LP</vt:lpstr>
      <vt:lpstr>WaterFall!Equity_Share_Sponsor</vt:lpstr>
      <vt:lpstr>GlobalInflation</vt:lpstr>
      <vt:lpstr>GoingInCapToHide</vt:lpstr>
      <vt:lpstr>Income_Account_Codes</vt:lpstr>
      <vt:lpstr>InitialLoan</vt:lpstr>
      <vt:lpstr>InvestorPref</vt:lpstr>
      <vt:lpstr>InvestorPromote</vt:lpstr>
      <vt:lpstr>Maintenance___Capital_Reserve</vt:lpstr>
      <vt:lpstr>MgmtFee</vt:lpstr>
      <vt:lpstr>MgmtFeeLimit</vt:lpstr>
      <vt:lpstr>MoveCount</vt:lpstr>
      <vt:lpstr>NoHighlightRange</vt:lpstr>
      <vt:lpstr>NoOfSpaces</vt:lpstr>
      <vt:lpstr>OccPadsNum</vt:lpstr>
      <vt:lpstr>Park_Name</vt:lpstr>
      <vt:lpstr>WaterFall!Preferred_Return</vt:lpstr>
      <vt:lpstr>Proforma!Print_Titles</vt:lpstr>
      <vt:lpstr>'Year 1 Proforma'!Print_Titles</vt:lpstr>
      <vt:lpstr>WaterFall!Promote_Structure</vt:lpstr>
      <vt:lpstr>Purchase_Price</vt:lpstr>
      <vt:lpstr>RefiCap</vt:lpstr>
      <vt:lpstr>RefinanceFee</vt:lpstr>
      <vt:lpstr>ResAssets</vt:lpstr>
      <vt:lpstr>SewerInflation</vt:lpstr>
      <vt:lpstr>WaterFall!Total_Equity</vt:lpstr>
    </vt:vector>
  </TitlesOfParts>
  <Manager/>
  <Company>Woodcrest Homes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The BoaVida Group</dc:creator>
  <cp:keywords/>
  <dc:description/>
  <cp:lastModifiedBy>Microsoft Office User</cp:lastModifiedBy>
  <cp:revision/>
  <dcterms:created xsi:type="dcterms:W3CDTF">2002-10-16T22:59:56Z</dcterms:created>
  <dcterms:modified xsi:type="dcterms:W3CDTF">2023-06-22T16:15:17Z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0x010100A1317AC504AE0142992D80EE5044DF72</vt:lpwstr>
  </property>
  <property fmtid="{D5CDD505-2E9C-101B-9397-08002B2CF9AE}" pid="3" name="_dlc_DocIdItemGuid">
    <vt:lpwstr>1fd0d107-a452-44a3-81db-5d9d7966e64c</vt:lpwstr>
  </property>
  <property fmtid="{D5CDD505-2E9C-101B-9397-08002B2CF9AE}" pid="4" name="MediaServiceImageTags">
    <vt:lpwstr/>
  </property>
</Properties>
</file>