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chartsheets/sheet1.xml" ContentType="application/vnd.openxmlformats-officedocument.spreadsheetml.chart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threadedComments/threadedComment1.xml" ContentType="application/vnd.ms-excel.threadedcomments+xml"/>
  <Override PartName="/xl/comments4.xml" ContentType="application/vnd.openxmlformats-officedocument.spreadsheetml.comments+xml"/>
  <Override PartName="/xl/drawings/drawing4.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5.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011"/>
  <workbookPr showInkAnnotation="0" updateLinks="never" codeName="ThisWorkbook"/>
  <mc:AlternateContent xmlns:mc="http://schemas.openxmlformats.org/markup-compatibility/2006">
    <mc:Choice Requires="x15">
      <x15ac:absPath xmlns:x15ac="http://schemas.microsoft.com/office/spreadsheetml/2010/11/ac" url="/Users/rachelzirin/Desktop/2022 Fund/Echo Hills Estates/"/>
    </mc:Choice>
  </mc:AlternateContent>
  <xr:revisionPtr revIDLastSave="0" documentId="13_ncr:1_{3A23E780-913B-3248-9A7F-9F6B352CBCE4}" xr6:coauthVersionLast="47" xr6:coauthVersionMax="47" xr10:uidLastSave="{00000000-0000-0000-0000-000000000000}"/>
  <bookViews>
    <workbookView xWindow="17800" yWindow="1320" windowWidth="29040" windowHeight="15720" xr2:uid="{047DD966-0158-484F-9EE6-B569EC8A0788}"/>
  </bookViews>
  <sheets>
    <sheet name="Executive Summary" sheetId="8" r:id="rId1"/>
    <sheet name="Financial Summary" sheetId="7" r:id="rId2"/>
    <sheet name="Park Images" sheetId="5" r:id="rId3"/>
    <sheet name="Proforma" sheetId="1" r:id="rId4"/>
    <sheet name="Notes" sheetId="2" r:id="rId5"/>
    <sheet name="Comps-Market-Park" sheetId="4" state="veryHidden" r:id="rId6"/>
    <sheet name="Rent Roll " sheetId="10" state="veryHidden" r:id="rId7"/>
    <sheet name="Quick Eval" sheetId="20" state="veryHidden" r:id="rId8"/>
    <sheet name="Closing Funds - POHs" sheetId="16" state="veryHidden" r:id="rId9"/>
    <sheet name="Year 1 Proforma" sheetId="22" state="veryHidden" r:id="rId10"/>
    <sheet name="IE Data Entry" sheetId="11" state="veryHidden" r:id="rId11"/>
    <sheet name="IE SUMMARY" sheetId="12" state="veryHidden" r:id="rId12"/>
    <sheet name="Inc-Exp-NOI Chart" sheetId="13" state="veryHidden" r:id="rId13"/>
    <sheet name="Expense Compare Chart" sheetId="14" state="veryHidden" r:id="rId14"/>
    <sheet name="BVG Chart Of Accounts" sheetId="15" state="veryHidden" r:id="rId15"/>
    <sheet name="1- PSA-LOI Fields" sheetId="17" state="veryHidden" r:id="rId16"/>
    <sheet name="WaterFall" sheetId="19" state="veryHidden" r:id="rId17"/>
  </sheets>
  <externalReferences>
    <externalReference r:id="rId18"/>
  </externalReferences>
  <definedNames>
    <definedName name="_Fill" localSheetId="15" hidden="1">#REF!</definedName>
    <definedName name="_Fill" localSheetId="16" hidden="1">#REF!</definedName>
    <definedName name="_Fill" hidden="1">#REF!</definedName>
    <definedName name="_Order1" hidden="1">0</definedName>
    <definedName name="_Table2_Out" localSheetId="15" hidden="1">[1]Matrix!#REF!</definedName>
    <definedName name="_Table2_Out" localSheetId="16" hidden="1">[1]Matrix!#REF!</definedName>
    <definedName name="_Table2_Out" hidden="1">[1]Matrix!#REF!</definedName>
    <definedName name="AcquisitionFee">Proforma!$N$6</definedName>
    <definedName name="AssetMgmtFee">Proforma!$N$7</definedName>
    <definedName name="BVG_Internal">Proforma!$153:$403</definedName>
    <definedName name="BVGPromote">Proforma!$K$21</definedName>
    <definedName name="ChartOfAccounts">'BVG Chart Of Accounts'!$A$18:$B$41</definedName>
    <definedName name="CommAssets">Notes!$D$73</definedName>
    <definedName name="Cost_of_Sale">Proforma!$I$157</definedName>
    <definedName name="CU?" localSheetId="16">WaterFall!$A$5</definedName>
    <definedName name="Current_Year">'IE Data Entry'!$B$3</definedName>
    <definedName name="DispositionFee">Proforma!$N$9</definedName>
    <definedName name="Equity_Share_LP" localSheetId="16">WaterFall!$C$9</definedName>
    <definedName name="Equity_Share_Sponsor" localSheetId="16">WaterFall!$C$8</definedName>
    <definedName name="GlobalInflation">Proforma!$J$4</definedName>
    <definedName name="GoingInCapToHide">Proforma!$C$7:$D$7</definedName>
    <definedName name="Hilton" localSheetId="15" hidden="1">{#N/A,#N/A,FALSE,"ExecSum";#N/A,#N/A,FALSE,"Summary";#N/A,#N/A,FALSE,"Budget";#N/A,#N/A,FALSE,"CashFlow"}</definedName>
    <definedName name="Hilton" localSheetId="16" hidden="1">{#N/A,#N/A,FALSE,"ExecSum";#N/A,#N/A,FALSE,"Summary";#N/A,#N/A,FALSE,"Budget";#N/A,#N/A,FALSE,"CashFlow"}</definedName>
    <definedName name="Hilton" localSheetId="9" hidden="1">{#N/A,#N/A,FALSE,"ExecSum";#N/A,#N/A,FALSE,"Summary";#N/A,#N/A,FALSE,"Budget";#N/A,#N/A,FALSE,"CashFlow"}</definedName>
    <definedName name="Hilton" hidden="1">{#N/A,#N/A,FALSE,"ExecSum";#N/A,#N/A,FALSE,"Summary";#N/A,#N/A,FALSE,"Budget";#N/A,#N/A,FALSE,"CashFlow"}</definedName>
    <definedName name="Income_Account_Codes">'BVG Chart Of Accounts'!$A$2:$B$13</definedName>
    <definedName name="InitialLoan">Proforma!$F$92</definedName>
    <definedName name="IntroPrintArea" localSheetId="16" hidden="1">#REF!</definedName>
    <definedName name="IntroPrintArea" hidden="1">#REF!</definedName>
    <definedName name="InvestorPref">Proforma!$K$22</definedName>
    <definedName name="InvestorPromote">Proforma!$K$20</definedName>
    <definedName name="IQ_ADDIN" hidden="1">"AUTO"</definedName>
    <definedName name="IQ_CH" hidden="1">110000</definedName>
    <definedName name="IQ_CQ" hidden="1">5000</definedName>
    <definedName name="IQ_CY" hidden="1">10000</definedName>
    <definedName name="IQ_DAILY" hidden="1">500000</definedName>
    <definedName name="IQ_DNTM" hidden="1">700000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42145.5554861111</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Maintenance___Capital_Reserve">'Year 1 Proforma'!$I$6</definedName>
    <definedName name="MgmtFee">Proforma!$J$5</definedName>
    <definedName name="MgmtFeeLimit">Proforma!$J$6</definedName>
    <definedName name="MoveCount">'IE Data Entry'!$O$2</definedName>
    <definedName name="NewTaxes">Notes!$D$54</definedName>
    <definedName name="NoHighlightRange">Proforma!$E$29:$AJ$85</definedName>
    <definedName name="NoOfSpaces">Proforma!$D$15</definedName>
    <definedName name="OccPadsNum">Proforma!$E$15</definedName>
    <definedName name="OtherFTE">Notes!$K$51</definedName>
    <definedName name="Park_Name">Proforma!$U$1</definedName>
    <definedName name="Preferred_Return" localSheetId="16">WaterFall!$E$14</definedName>
    <definedName name="_xlnm.Print_Titles" localSheetId="3">Proforma!$33:$34</definedName>
    <definedName name="_xlnm.Print_Titles" localSheetId="9">'Year 1 Proforma'!$27:$28</definedName>
    <definedName name="Promote_Structure" localSheetId="16">WaterFall!$B$13:$I$17</definedName>
    <definedName name="Purchase_Price">Proforma!$D$4</definedName>
    <definedName name="RefiCap">Proforma!$E$102</definedName>
    <definedName name="RefinanceFee">Proforma!$N$8</definedName>
    <definedName name="ResAssets">Notes!$D$79</definedName>
    <definedName name="SewerInflation">Proforma!$E$47</definedName>
    <definedName name="Total_Equity" localSheetId="16">WaterFall!$D$10</definedName>
    <definedName name="wrn.bankrep." localSheetId="15" hidden="1">{#N/A,#N/A,FALSE,"ExecSum";#N/A,#N/A,FALSE,"Summary";#N/A,#N/A,FALSE,"Budget";#N/A,#N/A,FALSE,"CashFlow"}</definedName>
    <definedName name="wrn.bankrep." localSheetId="16" hidden="1">{#N/A,#N/A,FALSE,"ExecSum";#N/A,#N/A,FALSE,"Summary";#N/A,#N/A,FALSE,"Budget";#N/A,#N/A,FALSE,"CashFlow"}</definedName>
    <definedName name="wrn.bankrep." localSheetId="9" hidden="1">{#N/A,#N/A,FALSE,"ExecSum";#N/A,#N/A,FALSE,"Summary";#N/A,#N/A,FALSE,"Budget";#N/A,#N/A,FALSE,"CashFlow"}</definedName>
    <definedName name="wrn.bankrep." hidden="1">{#N/A,#N/A,FALSE,"ExecSum";#N/A,#N/A,FALSE,"Summary";#N/A,#N/A,FALSE,"Budget";#N/A,#N/A,FALSE,"CashFlow"}</definedName>
  </definedNames>
  <calcPr calcId="191029" calcMode="autoNoTable"/>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9" i="2" l="1"/>
  <c r="F29" i="1"/>
  <c r="G29" i="1" s="1"/>
  <c r="H29" i="1" s="1"/>
  <c r="I29" i="1" s="1"/>
  <c r="J29" i="1" s="1"/>
  <c r="K29" i="1" s="1"/>
  <c r="C23" i="2"/>
  <c r="C22" i="2"/>
  <c r="D35" i="2"/>
  <c r="H30" i="1"/>
  <c r="I30" i="1" s="1"/>
  <c r="J30" i="1" s="1"/>
  <c r="K30" i="1" s="1"/>
  <c r="C24" i="2"/>
  <c r="F75" i="1"/>
  <c r="O21" i="1"/>
  <c r="O22" i="1" s="1"/>
  <c r="I13" i="12"/>
  <c r="I14" i="12"/>
  <c r="E109" i="1"/>
  <c r="P21" i="1" l="1"/>
  <c r="P22" i="1" s="1"/>
  <c r="G29" i="11"/>
  <c r="H29" i="11"/>
  <c r="H9" i="11"/>
  <c r="G9" i="11"/>
  <c r="D15" i="1"/>
  <c r="E4" i="1" s="1"/>
  <c r="B7" i="20"/>
  <c r="B9" i="20" s="1"/>
  <c r="D10" i="1" l="1"/>
  <c r="D68" i="22" l="1"/>
  <c r="D65" i="22"/>
  <c r="D64" i="22"/>
  <c r="D63" i="22"/>
  <c r="D62" i="22"/>
  <c r="D57" i="22"/>
  <c r="D55" i="22"/>
  <c r="B38" i="22"/>
  <c r="B37" i="22"/>
  <c r="B36" i="22"/>
  <c r="B35" i="22"/>
  <c r="B34" i="22"/>
  <c r="C19" i="22"/>
  <c r="C18" i="22"/>
  <c r="D17" i="22"/>
  <c r="C17" i="22"/>
  <c r="D9" i="22"/>
  <c r="C9" i="22"/>
  <c r="E9" i="22" s="1"/>
  <c r="F9" i="22" s="1"/>
  <c r="D8" i="22"/>
  <c r="C8" i="22"/>
  <c r="D7" i="22"/>
  <c r="C7" i="22"/>
  <c r="B1" i="22"/>
  <c r="S1" i="22" s="1"/>
  <c r="C1" i="22" s="1"/>
  <c r="B33" i="22"/>
  <c r="B69" i="22"/>
  <c r="B56" i="22"/>
  <c r="C45" i="22"/>
  <c r="C22" i="22" s="1"/>
  <c r="B19" i="22"/>
  <c r="B25" i="22" s="1"/>
  <c r="B29" i="22" s="1"/>
  <c r="B18" i="22"/>
  <c r="B24" i="22" s="1"/>
  <c r="B28" i="22" s="1"/>
  <c r="B17" i="22"/>
  <c r="B23" i="22" s="1"/>
  <c r="B27" i="22" s="1"/>
  <c r="E12" i="22"/>
  <c r="C4" i="22"/>
  <c r="T1" i="1"/>
  <c r="D1" i="1" s="1"/>
  <c r="B21" i="20"/>
  <c r="B22" i="20" s="1"/>
  <c r="B24" i="20" s="1"/>
  <c r="G7" i="20"/>
  <c r="G8" i="20" s="1"/>
  <c r="C5" i="20"/>
  <c r="H4" i="20"/>
  <c r="C4" i="20"/>
  <c r="H3" i="20"/>
  <c r="C3" i="20"/>
  <c r="B1" i="20"/>
  <c r="AI113" i="1"/>
  <c r="AJ113" i="1"/>
  <c r="P23" i="1"/>
  <c r="O23" i="1"/>
  <c r="G27" i="1"/>
  <c r="H27" i="1" s="1"/>
  <c r="I27" i="1" s="1"/>
  <c r="J27" i="1" s="1"/>
  <c r="K27" i="1" s="1"/>
  <c r="L27" i="1" s="1"/>
  <c r="M27" i="1" s="1"/>
  <c r="N27" i="1" s="1"/>
  <c r="O27" i="1" s="1"/>
  <c r="P27" i="1" s="1"/>
  <c r="Q27" i="1" s="1"/>
  <c r="R27" i="1" s="1"/>
  <c r="S27" i="1" s="1"/>
  <c r="T27" i="1" s="1"/>
  <c r="U27" i="1" s="1"/>
  <c r="V27" i="1" s="1"/>
  <c r="W27" i="1" s="1"/>
  <c r="X27" i="1" s="1"/>
  <c r="Y27" i="1" s="1"/>
  <c r="Z27" i="1" s="1"/>
  <c r="AA27" i="1" s="1"/>
  <c r="AB27" i="1" s="1"/>
  <c r="AC27" i="1" s="1"/>
  <c r="AD27" i="1" s="1"/>
  <c r="AE27" i="1" s="1"/>
  <c r="AF27" i="1" s="1"/>
  <c r="AG27" i="1" s="1"/>
  <c r="AH27" i="1" s="1"/>
  <c r="AI27" i="1" s="1"/>
  <c r="AJ27" i="1" s="1"/>
  <c r="D32" i="12"/>
  <c r="G7" i="19"/>
  <c r="G5" i="19"/>
  <c r="B106" i="19"/>
  <c r="B99" i="19"/>
  <c r="B93" i="19"/>
  <c r="B84" i="19"/>
  <c r="F81" i="19"/>
  <c r="B78" i="19"/>
  <c r="F74" i="19"/>
  <c r="B69" i="19"/>
  <c r="B67" i="19"/>
  <c r="F62" i="19"/>
  <c r="B59" i="19"/>
  <c r="F53" i="19"/>
  <c r="F55" i="19" s="1"/>
  <c r="F38" i="19"/>
  <c r="G37" i="19"/>
  <c r="H37" i="19" s="1"/>
  <c r="F31" i="19"/>
  <c r="E16" i="19"/>
  <c r="C88" i="19" s="1"/>
  <c r="E15" i="19"/>
  <c r="C73" i="19" s="1"/>
  <c r="H14" i="19"/>
  <c r="I14" i="19" s="1"/>
  <c r="E14" i="19"/>
  <c r="C52" i="19"/>
  <c r="B13" i="19"/>
  <c r="C9" i="19"/>
  <c r="H16" i="19" s="1"/>
  <c r="I16" i="19" s="1"/>
  <c r="C44" i="19"/>
  <c r="F63" i="19"/>
  <c r="E15" i="1"/>
  <c r="D44" i="19"/>
  <c r="F44" i="19"/>
  <c r="G65" i="12"/>
  <c r="H60" i="12"/>
  <c r="H65" i="12" s="1"/>
  <c r="D25" i="11"/>
  <c r="E25" i="11"/>
  <c r="F25" i="11"/>
  <c r="G25" i="11"/>
  <c r="I25" i="11"/>
  <c r="C25" i="11"/>
  <c r="F101" i="11"/>
  <c r="C79" i="1"/>
  <c r="C30" i="1"/>
  <c r="C35" i="1" s="1"/>
  <c r="C39" i="1" s="1"/>
  <c r="C31" i="1"/>
  <c r="C36" i="1" s="1"/>
  <c r="C40" i="1" s="1"/>
  <c r="C29" i="1"/>
  <c r="C34" i="1" s="1"/>
  <c r="C38" i="1" s="1"/>
  <c r="D36" i="1"/>
  <c r="D35" i="1"/>
  <c r="D34" i="1"/>
  <c r="J2" i="17"/>
  <c r="B7" i="17"/>
  <c r="N2" i="17"/>
  <c r="L2" i="17"/>
  <c r="B3" i="17"/>
  <c r="E2" i="17" s="1"/>
  <c r="B2" i="17"/>
  <c r="B23" i="17" s="1"/>
  <c r="Y2" i="17" s="1"/>
  <c r="AB2" i="17"/>
  <c r="AA2" i="17"/>
  <c r="Z2" i="17"/>
  <c r="W2" i="17"/>
  <c r="U2" i="17"/>
  <c r="S2" i="17"/>
  <c r="K2" i="17"/>
  <c r="H2" i="17"/>
  <c r="G2" i="17"/>
  <c r="X2" i="17"/>
  <c r="T2" i="17"/>
  <c r="V2" i="17"/>
  <c r="C100" i="1"/>
  <c r="F17" i="1"/>
  <c r="E51" i="1"/>
  <c r="D161" i="1" s="1"/>
  <c r="E161" i="1" s="1"/>
  <c r="E35" i="1"/>
  <c r="G35" i="1" s="1"/>
  <c r="G39" i="1" s="1"/>
  <c r="E36" i="1"/>
  <c r="E34" i="1"/>
  <c r="C66" i="1"/>
  <c r="F45" i="1"/>
  <c r="D34" i="22" s="1"/>
  <c r="E34" i="22" s="1"/>
  <c r="F46" i="1"/>
  <c r="F47" i="1"/>
  <c r="D36" i="22" s="1"/>
  <c r="E36" i="22" s="1"/>
  <c r="F48" i="1"/>
  <c r="B48" i="1" s="1"/>
  <c r="F49" i="1"/>
  <c r="D38" i="22" s="1"/>
  <c r="E38" i="22" s="1"/>
  <c r="B7" i="16"/>
  <c r="A7" i="16"/>
  <c r="G331" i="1"/>
  <c r="H331" i="1"/>
  <c r="I331" i="1"/>
  <c r="J331" i="1"/>
  <c r="K331" i="1"/>
  <c r="L331" i="1"/>
  <c r="M331" i="1"/>
  <c r="N331" i="1"/>
  <c r="O331" i="1"/>
  <c r="K332" i="1"/>
  <c r="L332" i="1"/>
  <c r="M332" i="1"/>
  <c r="N332" i="1"/>
  <c r="O332" i="1"/>
  <c r="G333" i="1"/>
  <c r="H333" i="1"/>
  <c r="I333" i="1"/>
  <c r="J333" i="1"/>
  <c r="K333" i="1"/>
  <c r="L333" i="1"/>
  <c r="M333" i="1"/>
  <c r="N333" i="1"/>
  <c r="O333" i="1"/>
  <c r="G336" i="1"/>
  <c r="H336" i="1"/>
  <c r="I336" i="1"/>
  <c r="J336" i="1"/>
  <c r="K336" i="1"/>
  <c r="L336" i="1"/>
  <c r="M336" i="1"/>
  <c r="N336" i="1"/>
  <c r="F331" i="1"/>
  <c r="F333" i="1"/>
  <c r="F335" i="1"/>
  <c r="F336" i="1"/>
  <c r="C299" i="1"/>
  <c r="C348" i="1" s="1"/>
  <c r="C309" i="1"/>
  <c r="C358" i="1" s="1"/>
  <c r="C310" i="1"/>
  <c r="C359" i="1" s="1"/>
  <c r="G282" i="1"/>
  <c r="H282" i="1"/>
  <c r="I282" i="1"/>
  <c r="J282" i="1"/>
  <c r="G284" i="1"/>
  <c r="H284" i="1"/>
  <c r="I284" i="1"/>
  <c r="J284" i="1"/>
  <c r="G287" i="1"/>
  <c r="H287" i="1"/>
  <c r="I287" i="1"/>
  <c r="F282" i="1"/>
  <c r="F284" i="1"/>
  <c r="F286" i="1"/>
  <c r="F287" i="1"/>
  <c r="C277" i="1"/>
  <c r="C326" i="1" s="1"/>
  <c r="C288" i="1"/>
  <c r="C337" i="1" s="1"/>
  <c r="C245" i="1"/>
  <c r="C294" i="1" s="1"/>
  <c r="C343" i="1" s="1"/>
  <c r="C246" i="1"/>
  <c r="C295" i="1" s="1"/>
  <c r="C344" i="1" s="1"/>
  <c r="C247" i="1"/>
  <c r="C296" i="1" s="1"/>
  <c r="C345" i="1" s="1"/>
  <c r="C248" i="1"/>
  <c r="C297" i="1" s="1"/>
  <c r="C346" i="1" s="1"/>
  <c r="C249" i="1"/>
  <c r="C298" i="1" s="1"/>
  <c r="C347" i="1" s="1"/>
  <c r="C251" i="1"/>
  <c r="C300" i="1" s="1"/>
  <c r="C349" i="1" s="1"/>
  <c r="C252" i="1"/>
  <c r="C301" i="1" s="1"/>
  <c r="C350" i="1" s="1"/>
  <c r="C253" i="1"/>
  <c r="C302" i="1" s="1"/>
  <c r="C351" i="1" s="1"/>
  <c r="C254" i="1"/>
  <c r="C303" i="1" s="1"/>
  <c r="C352" i="1" s="1"/>
  <c r="C255" i="1"/>
  <c r="C304" i="1" s="1"/>
  <c r="C353" i="1" s="1"/>
  <c r="C256" i="1"/>
  <c r="C305" i="1" s="1"/>
  <c r="C354" i="1" s="1"/>
  <c r="C257" i="1"/>
  <c r="C306" i="1" s="1"/>
  <c r="C355" i="1" s="1"/>
  <c r="C244" i="1"/>
  <c r="C293" i="1" s="1"/>
  <c r="C342" i="1" s="1"/>
  <c r="F229" i="1"/>
  <c r="G229" i="1"/>
  <c r="H229" i="1"/>
  <c r="F233" i="1"/>
  <c r="G233" i="1"/>
  <c r="H233" i="1"/>
  <c r="F235" i="1"/>
  <c r="G235" i="1"/>
  <c r="H235" i="1"/>
  <c r="F237" i="1"/>
  <c r="F238" i="1"/>
  <c r="G238" i="1"/>
  <c r="C221" i="1"/>
  <c r="C270" i="1" s="1"/>
  <c r="C319" i="1" s="1"/>
  <c r="C222" i="1"/>
  <c r="C271" i="1" s="1"/>
  <c r="C320" i="1" s="1"/>
  <c r="C223" i="1"/>
  <c r="C272" i="1" s="1"/>
  <c r="C321" i="1" s="1"/>
  <c r="C224" i="1"/>
  <c r="C273" i="1" s="1"/>
  <c r="C322" i="1" s="1"/>
  <c r="C225" i="1"/>
  <c r="C274" i="1" s="1"/>
  <c r="C323" i="1" s="1"/>
  <c r="C226" i="1"/>
  <c r="C275" i="1" s="1"/>
  <c r="C324" i="1" s="1"/>
  <c r="C230" i="1"/>
  <c r="C279" i="1" s="1"/>
  <c r="C328" i="1" s="1"/>
  <c r="C232" i="1"/>
  <c r="C281" i="1" s="1"/>
  <c r="C330" i="1" s="1"/>
  <c r="C233" i="1"/>
  <c r="C282" i="1" s="1"/>
  <c r="C331" i="1" s="1"/>
  <c r="C234" i="1"/>
  <c r="C283" i="1" s="1"/>
  <c r="C332" i="1" s="1"/>
  <c r="C235" i="1"/>
  <c r="C284" i="1" s="1"/>
  <c r="C333" i="1" s="1"/>
  <c r="C236" i="1"/>
  <c r="C285" i="1" s="1"/>
  <c r="C334" i="1" s="1"/>
  <c r="C237" i="1"/>
  <c r="C286" i="1" s="1"/>
  <c r="C335" i="1" s="1"/>
  <c r="C238" i="1"/>
  <c r="C287" i="1" s="1"/>
  <c r="C336" i="1" s="1"/>
  <c r="C240" i="1"/>
  <c r="C289" i="1" s="1"/>
  <c r="C338" i="1" s="1"/>
  <c r="C220" i="1"/>
  <c r="C269" i="1" s="1"/>
  <c r="C318" i="1" s="1"/>
  <c r="C28" i="2"/>
  <c r="B11" i="16" s="1"/>
  <c r="I48" i="2"/>
  <c r="G51" i="2"/>
  <c r="J51" i="2" s="1"/>
  <c r="I50" i="2"/>
  <c r="I49" i="2"/>
  <c r="G45" i="2"/>
  <c r="K45" i="2" s="1"/>
  <c r="I44" i="2"/>
  <c r="I43" i="2"/>
  <c r="I42" i="2"/>
  <c r="I37" i="2"/>
  <c r="I38" i="2"/>
  <c r="G39" i="2"/>
  <c r="I36" i="2"/>
  <c r="F14" i="1"/>
  <c r="G14" i="1" s="1"/>
  <c r="F13" i="1"/>
  <c r="G13" i="1" s="1"/>
  <c r="H51" i="12"/>
  <c r="C159" i="1"/>
  <c r="D41" i="2"/>
  <c r="D53" i="2"/>
  <c r="D52" i="2"/>
  <c r="B50" i="2"/>
  <c r="D63" i="2"/>
  <c r="D67" i="2" s="1"/>
  <c r="O2" i="11"/>
  <c r="D58" i="1" s="1"/>
  <c r="D55" i="1"/>
  <c r="G30" i="16"/>
  <c r="H30" i="16" s="1"/>
  <c r="F92" i="1"/>
  <c r="F93" i="1"/>
  <c r="F320" i="1" s="1"/>
  <c r="D77" i="2"/>
  <c r="D76" i="2"/>
  <c r="D75" i="2"/>
  <c r="D79" i="2" s="1"/>
  <c r="D73" i="2"/>
  <c r="G90" i="1"/>
  <c r="G93" i="1" s="1"/>
  <c r="G320" i="1" s="1"/>
  <c r="G55" i="12"/>
  <c r="G54" i="12"/>
  <c r="G53" i="12"/>
  <c r="G52" i="12"/>
  <c r="G51" i="12"/>
  <c r="G50" i="12"/>
  <c r="G47" i="12"/>
  <c r="G46" i="12"/>
  <c r="G43" i="12"/>
  <c r="G42" i="12"/>
  <c r="G38" i="12"/>
  <c r="G91" i="12" s="1"/>
  <c r="G36" i="12"/>
  <c r="G79" i="12" s="1"/>
  <c r="G35" i="12"/>
  <c r="G73" i="12" s="1"/>
  <c r="E53" i="12"/>
  <c r="E50" i="12"/>
  <c r="E48" i="12"/>
  <c r="E45" i="12"/>
  <c r="E42" i="12"/>
  <c r="E40" i="12"/>
  <c r="E37" i="12"/>
  <c r="E85" i="12" s="1"/>
  <c r="E34" i="12"/>
  <c r="F59" i="12"/>
  <c r="F65" i="12" s="1"/>
  <c r="E55" i="12"/>
  <c r="D55" i="12"/>
  <c r="C55" i="12"/>
  <c r="B55" i="12"/>
  <c r="E54" i="12"/>
  <c r="D54" i="12"/>
  <c r="C54" i="12"/>
  <c r="B54" i="12"/>
  <c r="D53" i="12"/>
  <c r="C53" i="12"/>
  <c r="B53" i="12"/>
  <c r="E52" i="12"/>
  <c r="D52" i="12"/>
  <c r="C52" i="12"/>
  <c r="B52" i="12"/>
  <c r="E51" i="12"/>
  <c r="D51" i="12"/>
  <c r="C51" i="12"/>
  <c r="B51" i="12"/>
  <c r="D50" i="12"/>
  <c r="C50" i="12"/>
  <c r="B50" i="12"/>
  <c r="G49" i="12"/>
  <c r="E49" i="12"/>
  <c r="D49" i="12"/>
  <c r="C49" i="12"/>
  <c r="B49" i="12"/>
  <c r="G48" i="12"/>
  <c r="D48" i="12"/>
  <c r="C48" i="12"/>
  <c r="B48" i="12"/>
  <c r="E47" i="12"/>
  <c r="D47" i="12"/>
  <c r="C47" i="12"/>
  <c r="B47" i="12"/>
  <c r="E46" i="12"/>
  <c r="D46" i="12"/>
  <c r="C46" i="12"/>
  <c r="B46" i="12"/>
  <c r="G45" i="12"/>
  <c r="D45" i="12"/>
  <c r="C45" i="12"/>
  <c r="B45" i="12"/>
  <c r="G44" i="12"/>
  <c r="E44" i="12"/>
  <c r="D44" i="12"/>
  <c r="C44" i="12"/>
  <c r="B44" i="12"/>
  <c r="E43" i="12"/>
  <c r="D43" i="12"/>
  <c r="C43" i="12"/>
  <c r="B43" i="12"/>
  <c r="D42" i="12"/>
  <c r="C42" i="12"/>
  <c r="B42" i="12"/>
  <c r="G41" i="12"/>
  <c r="E41" i="12"/>
  <c r="D41" i="12"/>
  <c r="C41" i="12"/>
  <c r="B41" i="12"/>
  <c r="G40" i="12"/>
  <c r="D40" i="12"/>
  <c r="C40" i="12"/>
  <c r="B40" i="12"/>
  <c r="G39" i="12"/>
  <c r="E39" i="12"/>
  <c r="E97" i="12" s="1"/>
  <c r="D39" i="12"/>
  <c r="C39" i="12"/>
  <c r="C97" i="12" s="1"/>
  <c r="B39" i="12"/>
  <c r="B97" i="12" s="1"/>
  <c r="E38" i="12"/>
  <c r="D38" i="12"/>
  <c r="C38" i="12"/>
  <c r="B38" i="12"/>
  <c r="B91" i="12" s="1"/>
  <c r="G37" i="12"/>
  <c r="G85" i="12" s="1"/>
  <c r="D37" i="12"/>
  <c r="D85" i="12" s="1"/>
  <c r="C37" i="12"/>
  <c r="C85" i="12" s="1"/>
  <c r="B37" i="12"/>
  <c r="B85" i="12" s="1"/>
  <c r="E36" i="12"/>
  <c r="E79" i="12" s="1"/>
  <c r="D36" i="12"/>
  <c r="C36" i="12"/>
  <c r="C79" i="12" s="1"/>
  <c r="B36" i="12"/>
  <c r="B79" i="12" s="1"/>
  <c r="E35" i="12"/>
  <c r="E73" i="12" s="1"/>
  <c r="D35" i="12"/>
  <c r="C35" i="12"/>
  <c r="C73" i="12" s="1"/>
  <c r="B35" i="12"/>
  <c r="B73" i="12" s="1"/>
  <c r="G34" i="12"/>
  <c r="D34" i="12"/>
  <c r="C34" i="12"/>
  <c r="B34" i="12"/>
  <c r="G33" i="12"/>
  <c r="E33" i="12"/>
  <c r="D33" i="12"/>
  <c r="C33" i="12"/>
  <c r="B33" i="12"/>
  <c r="E32" i="12"/>
  <c r="C32" i="12"/>
  <c r="B32" i="12"/>
  <c r="F31" i="12"/>
  <c r="F110" i="12" s="1"/>
  <c r="G24" i="12"/>
  <c r="F24" i="12"/>
  <c r="E24" i="12"/>
  <c r="D24" i="12"/>
  <c r="C24" i="12"/>
  <c r="B24" i="12"/>
  <c r="G20" i="12"/>
  <c r="E20" i="12"/>
  <c r="D20" i="12"/>
  <c r="C20" i="12"/>
  <c r="B20" i="12"/>
  <c r="G19" i="12"/>
  <c r="G96" i="12" s="1"/>
  <c r="F19" i="12"/>
  <c r="F96" i="12" s="1"/>
  <c r="E19" i="12"/>
  <c r="E96" i="12" s="1"/>
  <c r="D19" i="12"/>
  <c r="D96" i="12" s="1"/>
  <c r="C19" i="12"/>
  <c r="C96" i="12" s="1"/>
  <c r="B19" i="12"/>
  <c r="G18" i="12"/>
  <c r="G90" i="12" s="1"/>
  <c r="F18" i="12"/>
  <c r="E18" i="12"/>
  <c r="E90" i="12" s="1"/>
  <c r="D18" i="12"/>
  <c r="C18" i="12"/>
  <c r="C90" i="12" s="1"/>
  <c r="B18" i="12"/>
  <c r="G17" i="12"/>
  <c r="G84" i="12" s="1"/>
  <c r="F17" i="12"/>
  <c r="F84" i="12" s="1"/>
  <c r="E17" i="12"/>
  <c r="E84" i="12" s="1"/>
  <c r="D17" i="12"/>
  <c r="D84" i="12" s="1"/>
  <c r="C17" i="12"/>
  <c r="C84" i="12" s="1"/>
  <c r="B17" i="12"/>
  <c r="G16" i="12"/>
  <c r="G78" i="12" s="1"/>
  <c r="F16" i="12"/>
  <c r="F78" i="12" s="1"/>
  <c r="E16" i="12"/>
  <c r="D16" i="12"/>
  <c r="D78" i="12" s="1"/>
  <c r="C16" i="12"/>
  <c r="B16" i="12"/>
  <c r="G15" i="12"/>
  <c r="G72" i="12" s="1"/>
  <c r="F15" i="12"/>
  <c r="F72" i="12" s="1"/>
  <c r="E15" i="12"/>
  <c r="E72" i="12" s="1"/>
  <c r="D15" i="12"/>
  <c r="D72" i="12" s="1"/>
  <c r="C15" i="12"/>
  <c r="C72" i="12" s="1"/>
  <c r="B15" i="12"/>
  <c r="G10" i="12"/>
  <c r="F10" i="12"/>
  <c r="E10" i="12"/>
  <c r="D10" i="12"/>
  <c r="C10" i="12"/>
  <c r="B10" i="12"/>
  <c r="G9" i="12"/>
  <c r="F9" i="12"/>
  <c r="E9" i="12"/>
  <c r="D9" i="12"/>
  <c r="C9" i="12"/>
  <c r="B9" i="12"/>
  <c r="G8" i="12"/>
  <c r="F8" i="12"/>
  <c r="E8" i="12"/>
  <c r="D8" i="12"/>
  <c r="C8" i="12"/>
  <c r="B8" i="12"/>
  <c r="G7" i="12"/>
  <c r="E7" i="12"/>
  <c r="D7" i="12"/>
  <c r="C7" i="12"/>
  <c r="B7" i="12"/>
  <c r="F4" i="12"/>
  <c r="A1" i="12"/>
  <c r="E101" i="11"/>
  <c r="D101" i="11"/>
  <c r="C101" i="11"/>
  <c r="K100" i="11"/>
  <c r="K99" i="11"/>
  <c r="K98" i="11"/>
  <c r="K97" i="11"/>
  <c r="K96" i="11"/>
  <c r="K95" i="11"/>
  <c r="K94" i="11"/>
  <c r="K93" i="11"/>
  <c r="K92" i="11"/>
  <c r="K91" i="11"/>
  <c r="K90" i="11"/>
  <c r="K89" i="11"/>
  <c r="K88" i="11"/>
  <c r="K87" i="11"/>
  <c r="K86" i="11"/>
  <c r="K85" i="11"/>
  <c r="K84" i="11"/>
  <c r="K83" i="11"/>
  <c r="K82" i="11"/>
  <c r="K81" i="11"/>
  <c r="K80" i="11"/>
  <c r="K79" i="11"/>
  <c r="K78" i="11"/>
  <c r="K77" i="11"/>
  <c r="K76" i="11"/>
  <c r="K75" i="11"/>
  <c r="K74" i="11"/>
  <c r="K73" i="11"/>
  <c r="K72" i="11"/>
  <c r="K71" i="11"/>
  <c r="K70" i="11"/>
  <c r="K69" i="11"/>
  <c r="K68" i="11"/>
  <c r="K67" i="11"/>
  <c r="K66" i="11"/>
  <c r="K65" i="11"/>
  <c r="K64" i="11"/>
  <c r="K63" i="11"/>
  <c r="K62" i="11"/>
  <c r="K61" i="11"/>
  <c r="K60" i="11"/>
  <c r="K59" i="11"/>
  <c r="K58" i="11"/>
  <c r="K57" i="11"/>
  <c r="K56" i="11"/>
  <c r="K55" i="11"/>
  <c r="K54" i="11"/>
  <c r="K53" i="11"/>
  <c r="K52" i="11"/>
  <c r="K51" i="11"/>
  <c r="K50" i="11"/>
  <c r="K49" i="11"/>
  <c r="K48" i="11"/>
  <c r="K47" i="11"/>
  <c r="K46" i="11"/>
  <c r="K45" i="11"/>
  <c r="K44" i="11"/>
  <c r="K43" i="11"/>
  <c r="K42" i="11"/>
  <c r="K41" i="11"/>
  <c r="K40" i="11"/>
  <c r="K39" i="11"/>
  <c r="K38" i="11"/>
  <c r="K37" i="11"/>
  <c r="K36" i="11"/>
  <c r="K35" i="11"/>
  <c r="K34" i="11"/>
  <c r="K33" i="11"/>
  <c r="K32" i="11"/>
  <c r="K31" i="11"/>
  <c r="K30" i="11"/>
  <c r="F29" i="11"/>
  <c r="E31" i="12" s="1"/>
  <c r="K24" i="11"/>
  <c r="K23" i="11"/>
  <c r="K22" i="11"/>
  <c r="K21" i="11"/>
  <c r="K20" i="11"/>
  <c r="K19" i="11"/>
  <c r="K18" i="11"/>
  <c r="K17" i="11"/>
  <c r="K16" i="11"/>
  <c r="K15" i="11"/>
  <c r="K14" i="11"/>
  <c r="K13" i="11"/>
  <c r="K12" i="11"/>
  <c r="K11" i="11"/>
  <c r="K10" i="11"/>
  <c r="H5" i="11"/>
  <c r="H99" i="11" s="1"/>
  <c r="A5" i="11"/>
  <c r="B4" i="11"/>
  <c r="L56" i="12" s="1"/>
  <c r="H51" i="11"/>
  <c r="G101" i="11"/>
  <c r="H14" i="11"/>
  <c r="H18" i="11"/>
  <c r="H22" i="11"/>
  <c r="H32" i="11"/>
  <c r="H40" i="11"/>
  <c r="F50" i="12"/>
  <c r="H52" i="11"/>
  <c r="H56" i="11"/>
  <c r="H72" i="11"/>
  <c r="H76" i="11"/>
  <c r="H84" i="11"/>
  <c r="H92" i="11"/>
  <c r="H96" i="11"/>
  <c r="H100" i="11"/>
  <c r="H11" i="11"/>
  <c r="H33" i="11"/>
  <c r="F39" i="12"/>
  <c r="F97" i="12" s="1"/>
  <c r="H45" i="11"/>
  <c r="F47" i="12"/>
  <c r="H49" i="11"/>
  <c r="H57" i="11"/>
  <c r="H61" i="11"/>
  <c r="H69" i="11"/>
  <c r="F40" i="12" s="1"/>
  <c r="H77" i="11"/>
  <c r="H81" i="11"/>
  <c r="H85" i="11"/>
  <c r="H89" i="11"/>
  <c r="H16" i="11"/>
  <c r="H20" i="11"/>
  <c r="H30" i="11"/>
  <c r="H34" i="11"/>
  <c r="F52" i="12" s="1"/>
  <c r="H38" i="11"/>
  <c r="F32" i="12" s="1"/>
  <c r="H50" i="11"/>
  <c r="H54" i="11"/>
  <c r="H62" i="11"/>
  <c r="H66" i="11"/>
  <c r="H70" i="11"/>
  <c r="H74" i="11"/>
  <c r="H90" i="11"/>
  <c r="H94" i="11"/>
  <c r="H13" i="11"/>
  <c r="H21" i="11"/>
  <c r="H31" i="11"/>
  <c r="F33" i="12"/>
  <c r="H35" i="11"/>
  <c r="H43" i="11"/>
  <c r="F49" i="12"/>
  <c r="H59" i="11"/>
  <c r="F51" i="12" s="1"/>
  <c r="H63" i="11"/>
  <c r="H67" i="11"/>
  <c r="H71" i="11"/>
  <c r="H87" i="11"/>
  <c r="H91" i="11"/>
  <c r="C47" i="2"/>
  <c r="C49" i="2"/>
  <c r="C44" i="2"/>
  <c r="C45" i="2"/>
  <c r="C37" i="2"/>
  <c r="C40" i="2"/>
  <c r="C41" i="2"/>
  <c r="C39" i="2"/>
  <c r="C46" i="2"/>
  <c r="C36" i="2"/>
  <c r="C42" i="2"/>
  <c r="C38" i="2"/>
  <c r="C43" i="2"/>
  <c r="C48" i="2"/>
  <c r="G32" i="12"/>
  <c r="I101" i="11"/>
  <c r="E71" i="1"/>
  <c r="D61" i="22" s="1"/>
  <c r="E64" i="1"/>
  <c r="F64" i="1" s="1"/>
  <c r="F30" i="1"/>
  <c r="F31" i="1"/>
  <c r="G31" i="1" s="1"/>
  <c r="H31" i="1" s="1"/>
  <c r="F12" i="1"/>
  <c r="E37" i="1" s="1"/>
  <c r="F37" i="1" s="1"/>
  <c r="G37" i="1" s="1"/>
  <c r="H37" i="1" s="1"/>
  <c r="I37" i="1" s="1"/>
  <c r="J37" i="1" s="1"/>
  <c r="K37" i="1" s="1"/>
  <c r="L37" i="1" s="1"/>
  <c r="M37" i="1" s="1"/>
  <c r="N37" i="1" s="1"/>
  <c r="O37" i="1" s="1"/>
  <c r="P37" i="1" s="1"/>
  <c r="Q37" i="1" s="1"/>
  <c r="R37" i="1" s="1"/>
  <c r="S37" i="1" s="1"/>
  <c r="T37" i="1" s="1"/>
  <c r="U37" i="1" s="1"/>
  <c r="V37" i="1" s="1"/>
  <c r="W37" i="1" s="1"/>
  <c r="X37" i="1" s="1"/>
  <c r="Y37" i="1" s="1"/>
  <c r="Z37" i="1" s="1"/>
  <c r="AA37" i="1" s="1"/>
  <c r="AB37" i="1" s="1"/>
  <c r="AC37" i="1" s="1"/>
  <c r="AD37" i="1" s="1"/>
  <c r="AE37" i="1" s="1"/>
  <c r="AF37" i="1" s="1"/>
  <c r="AG37" i="1" s="1"/>
  <c r="AH37" i="1" s="1"/>
  <c r="AI37" i="1" s="1"/>
  <c r="AJ37" i="1" s="1"/>
  <c r="F72" i="1"/>
  <c r="G72" i="1" s="1"/>
  <c r="H72" i="1" s="1"/>
  <c r="I72" i="1" s="1"/>
  <c r="J72" i="1" s="1"/>
  <c r="K72" i="1" s="1"/>
  <c r="L72" i="1" s="1"/>
  <c r="M72" i="1" s="1"/>
  <c r="N72" i="1" s="1"/>
  <c r="O72" i="1" s="1"/>
  <c r="P72" i="1" s="1"/>
  <c r="Q72" i="1" s="1"/>
  <c r="R72" i="1" s="1"/>
  <c r="S72" i="1" s="1"/>
  <c r="T72" i="1" s="1"/>
  <c r="U72" i="1" s="1"/>
  <c r="V72" i="1" s="1"/>
  <c r="W72" i="1" s="1"/>
  <c r="X72" i="1" s="1"/>
  <c r="Y72" i="1" s="1"/>
  <c r="Z72" i="1" s="1"/>
  <c r="AA72" i="1" s="1"/>
  <c r="AB72" i="1" s="1"/>
  <c r="AC72" i="1" s="1"/>
  <c r="AD72" i="1" s="1"/>
  <c r="AE72" i="1" s="1"/>
  <c r="AF72" i="1" s="1"/>
  <c r="AG72" i="1" s="1"/>
  <c r="AH72" i="1" s="1"/>
  <c r="AI72" i="1" s="1"/>
  <c r="AJ72" i="1" s="1"/>
  <c r="B5" i="7"/>
  <c r="B9" i="8" s="1"/>
  <c r="A1" i="5"/>
  <c r="D50" i="1"/>
  <c r="D160" i="1" s="1"/>
  <c r="E160" i="1" s="1"/>
  <c r="F65" i="1"/>
  <c r="H41" i="12" s="1"/>
  <c r="F67" i="1"/>
  <c r="H43" i="12" s="1"/>
  <c r="F73" i="1"/>
  <c r="H49" i="12" s="1"/>
  <c r="F74" i="1"/>
  <c r="G74" i="1" s="1"/>
  <c r="H74" i="1" s="1"/>
  <c r="I74" i="1" s="1"/>
  <c r="J74" i="1" s="1"/>
  <c r="K74" i="1" s="1"/>
  <c r="L74" i="1" s="1"/>
  <c r="M74" i="1" s="1"/>
  <c r="N74" i="1" s="1"/>
  <c r="O74" i="1" s="1"/>
  <c r="P74" i="1" s="1"/>
  <c r="Q74" i="1" s="1"/>
  <c r="R74" i="1" s="1"/>
  <c r="S74" i="1" s="1"/>
  <c r="T74" i="1" s="1"/>
  <c r="U74" i="1" s="1"/>
  <c r="V74" i="1" s="1"/>
  <c r="W74" i="1" s="1"/>
  <c r="X74" i="1" s="1"/>
  <c r="Y74" i="1" s="1"/>
  <c r="Z74" i="1" s="1"/>
  <c r="AA74" i="1" s="1"/>
  <c r="AB74" i="1" s="1"/>
  <c r="AC74" i="1" s="1"/>
  <c r="AD74" i="1" s="1"/>
  <c r="AE74" i="1" s="1"/>
  <c r="AF74" i="1" s="1"/>
  <c r="AG74" i="1" s="1"/>
  <c r="AH74" i="1" s="1"/>
  <c r="AI74" i="1" s="1"/>
  <c r="AJ74" i="1" s="1"/>
  <c r="F78" i="1"/>
  <c r="G78" i="1" s="1"/>
  <c r="H78" i="1" s="1"/>
  <c r="I78" i="1" s="1"/>
  <c r="J78" i="1" s="1"/>
  <c r="K78" i="1" s="1"/>
  <c r="L78" i="1" s="1"/>
  <c r="M78" i="1" s="1"/>
  <c r="N78" i="1" s="1"/>
  <c r="O78" i="1" s="1"/>
  <c r="P78" i="1" s="1"/>
  <c r="Q78" i="1" s="1"/>
  <c r="R78" i="1" s="1"/>
  <c r="S78" i="1" s="1"/>
  <c r="T78" i="1" s="1"/>
  <c r="U78" i="1" s="1"/>
  <c r="V78" i="1" s="1"/>
  <c r="W78" i="1" s="1"/>
  <c r="X78" i="1" s="1"/>
  <c r="Y78" i="1" s="1"/>
  <c r="Z78" i="1" s="1"/>
  <c r="AA78" i="1" s="1"/>
  <c r="AB78" i="1" s="1"/>
  <c r="AC78" i="1" s="1"/>
  <c r="AD78" i="1" s="1"/>
  <c r="AE78" i="1" s="1"/>
  <c r="AF78" i="1" s="1"/>
  <c r="AG78" i="1" s="1"/>
  <c r="AH78" i="1" s="1"/>
  <c r="AI78" i="1" s="1"/>
  <c r="AJ78" i="1" s="1"/>
  <c r="K21" i="1"/>
  <c r="E38" i="8" s="1"/>
  <c r="D9" i="1"/>
  <c r="E34" i="8" s="1"/>
  <c r="F12" i="7"/>
  <c r="E13" i="7"/>
  <c r="J12" i="7"/>
  <c r="I12" i="7"/>
  <c r="H12" i="7"/>
  <c r="G12" i="7"/>
  <c r="E12" i="7"/>
  <c r="A2" i="7"/>
  <c r="D34" i="8"/>
  <c r="G9" i="8"/>
  <c r="B6" i="8"/>
  <c r="Q2" i="17"/>
  <c r="F334" i="1"/>
  <c r="F236" i="1"/>
  <c r="F285" i="1"/>
  <c r="G236" i="1"/>
  <c r="G285" i="1"/>
  <c r="G334" i="1"/>
  <c r="H285" i="1"/>
  <c r="H334" i="1"/>
  <c r="H236" i="1"/>
  <c r="I334" i="1"/>
  <c r="I285" i="1"/>
  <c r="J334" i="1"/>
  <c r="J285" i="1"/>
  <c r="K193" i="1"/>
  <c r="K334" i="1"/>
  <c r="L193" i="1"/>
  <c r="L334" i="1"/>
  <c r="M193" i="1"/>
  <c r="M334" i="1"/>
  <c r="N193" i="1"/>
  <c r="N334" i="1"/>
  <c r="O193" i="1"/>
  <c r="O334" i="1"/>
  <c r="E60" i="12" l="1"/>
  <c r="E110" i="12" s="1"/>
  <c r="E5" i="12"/>
  <c r="B95" i="19"/>
  <c r="C103" i="19"/>
  <c r="B80" i="19"/>
  <c r="F75" i="19"/>
  <c r="F41" i="12"/>
  <c r="I41" i="12" s="1"/>
  <c r="I37" i="19"/>
  <c r="D2" i="17"/>
  <c r="A5" i="19"/>
  <c r="G38" i="19"/>
  <c r="H38" i="19" s="1"/>
  <c r="H55" i="11"/>
  <c r="F55" i="12" s="1"/>
  <c r="H17" i="11"/>
  <c r="H58" i="11"/>
  <c r="H73" i="11"/>
  <c r="H41" i="11"/>
  <c r="F35" i="12" s="1"/>
  <c r="H88" i="11"/>
  <c r="H48" i="11"/>
  <c r="F34" i="12" s="1"/>
  <c r="H10" i="11"/>
  <c r="H95" i="11"/>
  <c r="H47" i="11"/>
  <c r="F46" i="12" s="1"/>
  <c r="H98" i="11"/>
  <c r="H24" i="11"/>
  <c r="H65" i="11"/>
  <c r="H37" i="11"/>
  <c r="F44" i="12" s="1"/>
  <c r="H80" i="11"/>
  <c r="F38" i="12" s="1"/>
  <c r="F91" i="12" s="1"/>
  <c r="H44" i="11"/>
  <c r="F53" i="12" s="1"/>
  <c r="J14" i="19"/>
  <c r="H50" i="12"/>
  <c r="I50" i="12" s="1"/>
  <c r="H83" i="11"/>
  <c r="H86" i="11"/>
  <c r="H46" i="11"/>
  <c r="H12" i="11"/>
  <c r="F7" i="12" s="1"/>
  <c r="H23" i="11"/>
  <c r="H68" i="11"/>
  <c r="H79" i="11"/>
  <c r="F37" i="12" s="1"/>
  <c r="F85" i="12" s="1"/>
  <c r="H39" i="11"/>
  <c r="F54" i="12" s="1"/>
  <c r="H82" i="11"/>
  <c r="H97" i="11"/>
  <c r="H53" i="11"/>
  <c r="F43" i="12" s="1"/>
  <c r="H19" i="11"/>
  <c r="H64" i="11"/>
  <c r="H36" i="11"/>
  <c r="I51" i="2"/>
  <c r="H75" i="11"/>
  <c r="F45" i="12" s="1"/>
  <c r="H78" i="11"/>
  <c r="F36" i="12" s="1"/>
  <c r="F79" i="12" s="1"/>
  <c r="H42" i="11"/>
  <c r="H93" i="11"/>
  <c r="H15" i="11"/>
  <c r="H60" i="11"/>
  <c r="F48" i="12" s="1"/>
  <c r="B14" i="16"/>
  <c r="B16" i="16" s="1"/>
  <c r="H15" i="19"/>
  <c r="I15" i="19" s="1"/>
  <c r="H17" i="19"/>
  <c r="I17" i="19" s="1"/>
  <c r="J17" i="19" s="1"/>
  <c r="D75" i="22"/>
  <c r="F106" i="1"/>
  <c r="F193" i="1" s="1"/>
  <c r="H48" i="12"/>
  <c r="B71" i="1"/>
  <c r="H45" i="2"/>
  <c r="J45" i="2"/>
  <c r="H18" i="12"/>
  <c r="H90" i="12" s="1"/>
  <c r="B47" i="1"/>
  <c r="I43" i="12"/>
  <c r="E103" i="12"/>
  <c r="I49" i="12"/>
  <c r="I51" i="12"/>
  <c r="F319" i="1"/>
  <c r="C4" i="2"/>
  <c r="C10" i="2" s="1"/>
  <c r="C30" i="2" s="1"/>
  <c r="D5" i="1" s="1"/>
  <c r="E5" i="1" s="1"/>
  <c r="E8" i="22"/>
  <c r="F8" i="22" s="1"/>
  <c r="AI140" i="1"/>
  <c r="AJ140" i="1"/>
  <c r="AJ142" i="1" s="1"/>
  <c r="AH140" i="1"/>
  <c r="AH142" i="1" s="1"/>
  <c r="K51" i="2"/>
  <c r="C50" i="2"/>
  <c r="C54" i="2" s="1"/>
  <c r="C55" i="2" s="1"/>
  <c r="H51" i="2"/>
  <c r="D23" i="22"/>
  <c r="E23" i="22" s="1"/>
  <c r="H35" i="1"/>
  <c r="H39" i="1" s="1"/>
  <c r="G67" i="1"/>
  <c r="H67" i="1" s="1"/>
  <c r="I67" i="1" s="1"/>
  <c r="J67" i="1" s="1"/>
  <c r="K67" i="1" s="1"/>
  <c r="L67" i="1" s="1"/>
  <c r="M67" i="1" s="1"/>
  <c r="N67" i="1" s="1"/>
  <c r="O67" i="1" s="1"/>
  <c r="P67" i="1" s="1"/>
  <c r="Q67" i="1" s="1"/>
  <c r="R67" i="1" s="1"/>
  <c r="S67" i="1" s="1"/>
  <c r="T67" i="1" s="1"/>
  <c r="U67" i="1" s="1"/>
  <c r="V67" i="1" s="1"/>
  <c r="W67" i="1" s="1"/>
  <c r="X67" i="1" s="1"/>
  <c r="Y67" i="1" s="1"/>
  <c r="Z67" i="1" s="1"/>
  <c r="AA67" i="1" s="1"/>
  <c r="AB67" i="1" s="1"/>
  <c r="AC67" i="1" s="1"/>
  <c r="AD67" i="1" s="1"/>
  <c r="AE67" i="1" s="1"/>
  <c r="AF67" i="1" s="1"/>
  <c r="AG67" i="1" s="1"/>
  <c r="AH67" i="1" s="1"/>
  <c r="AI67" i="1" s="1"/>
  <c r="AJ67" i="1" s="1"/>
  <c r="F71" i="1"/>
  <c r="H19" i="12"/>
  <c r="F36" i="1"/>
  <c r="F40" i="1" s="1"/>
  <c r="H54" i="12"/>
  <c r="I54" i="12" s="1"/>
  <c r="B11" i="7"/>
  <c r="B10" i="7" s="1"/>
  <c r="B12" i="7" s="1"/>
  <c r="C10" i="7" s="1"/>
  <c r="F91" i="1"/>
  <c r="F111" i="1" s="1"/>
  <c r="D35" i="22"/>
  <c r="E35" i="22" s="1"/>
  <c r="D37" i="22"/>
  <c r="E37" i="22" s="1"/>
  <c r="D19" i="22"/>
  <c r="D25" i="22" s="1"/>
  <c r="E25" i="22" s="1"/>
  <c r="C10" i="22"/>
  <c r="D56" i="22" s="1"/>
  <c r="D54" i="22"/>
  <c r="C24" i="22"/>
  <c r="C47" i="22"/>
  <c r="G36" i="1"/>
  <c r="G40" i="1" s="1"/>
  <c r="G12" i="1"/>
  <c r="G73" i="1"/>
  <c r="H73" i="1" s="1"/>
  <c r="I73" i="1" s="1"/>
  <c r="J73" i="1" s="1"/>
  <c r="K73" i="1" s="1"/>
  <c r="L73" i="1" s="1"/>
  <c r="M73" i="1" s="1"/>
  <c r="N73" i="1" s="1"/>
  <c r="O73" i="1" s="1"/>
  <c r="P73" i="1" s="1"/>
  <c r="Q73" i="1" s="1"/>
  <c r="R73" i="1" s="1"/>
  <c r="S73" i="1" s="1"/>
  <c r="T73" i="1" s="1"/>
  <c r="U73" i="1" s="1"/>
  <c r="V73" i="1" s="1"/>
  <c r="W73" i="1" s="1"/>
  <c r="X73" i="1" s="1"/>
  <c r="Y73" i="1" s="1"/>
  <c r="Z73" i="1" s="1"/>
  <c r="AA73" i="1" s="1"/>
  <c r="AB73" i="1" s="1"/>
  <c r="AC73" i="1" s="1"/>
  <c r="AD73" i="1" s="1"/>
  <c r="AE73" i="1" s="1"/>
  <c r="AF73" i="1" s="1"/>
  <c r="AG73" i="1" s="1"/>
  <c r="AH73" i="1" s="1"/>
  <c r="AI73" i="1" s="1"/>
  <c r="AJ73" i="1" s="1"/>
  <c r="G65" i="1"/>
  <c r="H65" i="1" s="1"/>
  <c r="I65" i="1" s="1"/>
  <c r="J65" i="1" s="1"/>
  <c r="K65" i="1" s="1"/>
  <c r="L65" i="1" s="1"/>
  <c r="M65" i="1" s="1"/>
  <c r="N65" i="1" s="1"/>
  <c r="O65" i="1" s="1"/>
  <c r="P65" i="1" s="1"/>
  <c r="Q65" i="1" s="1"/>
  <c r="R65" i="1" s="1"/>
  <c r="S65" i="1" s="1"/>
  <c r="T65" i="1" s="1"/>
  <c r="U65" i="1" s="1"/>
  <c r="V65" i="1" s="1"/>
  <c r="W65" i="1" s="1"/>
  <c r="X65" i="1" s="1"/>
  <c r="Y65" i="1" s="1"/>
  <c r="Z65" i="1" s="1"/>
  <c r="AA65" i="1" s="1"/>
  <c r="AB65" i="1" s="1"/>
  <c r="AC65" i="1" s="1"/>
  <c r="AD65" i="1" s="1"/>
  <c r="AE65" i="1" s="1"/>
  <c r="AF65" i="1" s="1"/>
  <c r="AG65" i="1" s="1"/>
  <c r="AH65" i="1" s="1"/>
  <c r="AI65" i="1" s="1"/>
  <c r="AJ65" i="1" s="1"/>
  <c r="G75" i="1"/>
  <c r="H75" i="1" s="1"/>
  <c r="I75" i="1" s="1"/>
  <c r="J75" i="1" s="1"/>
  <c r="K75" i="1" s="1"/>
  <c r="L75" i="1" s="1"/>
  <c r="M75" i="1" s="1"/>
  <c r="N75" i="1" s="1"/>
  <c r="O75" i="1" s="1"/>
  <c r="P75" i="1" s="1"/>
  <c r="Q75" i="1" s="1"/>
  <c r="R75" i="1" s="1"/>
  <c r="S75" i="1" s="1"/>
  <c r="T75" i="1" s="1"/>
  <c r="U75" i="1" s="1"/>
  <c r="V75" i="1" s="1"/>
  <c r="W75" i="1" s="1"/>
  <c r="X75" i="1" s="1"/>
  <c r="Y75" i="1" s="1"/>
  <c r="Z75" i="1" s="1"/>
  <c r="AA75" i="1" s="1"/>
  <c r="AB75" i="1" s="1"/>
  <c r="AC75" i="1" s="1"/>
  <c r="AD75" i="1" s="1"/>
  <c r="AE75" i="1" s="1"/>
  <c r="AF75" i="1" s="1"/>
  <c r="AG75" i="1" s="1"/>
  <c r="AH75" i="1" s="1"/>
  <c r="AI75" i="1" s="1"/>
  <c r="AJ75" i="1" s="1"/>
  <c r="F35" i="1"/>
  <c r="F222" i="1"/>
  <c r="D10" i="22"/>
  <c r="D18" i="22"/>
  <c r="D24" i="22" s="1"/>
  <c r="E24" i="22" s="1"/>
  <c r="C25" i="22"/>
  <c r="C40" i="22"/>
  <c r="C54" i="22"/>
  <c r="C58" i="22"/>
  <c r="D78" i="1"/>
  <c r="C46" i="22"/>
  <c r="D79" i="1"/>
  <c r="D65" i="1"/>
  <c r="C56" i="22"/>
  <c r="C60" i="22"/>
  <c r="D72" i="1"/>
  <c r="C66" i="22"/>
  <c r="D71" i="1"/>
  <c r="C64" i="22"/>
  <c r="C48" i="22"/>
  <c r="C50" i="22"/>
  <c r="C52" i="22"/>
  <c r="E29" i="11"/>
  <c r="D31" i="12" s="1"/>
  <c r="D5" i="12" s="1"/>
  <c r="E9" i="11"/>
  <c r="C4" i="11"/>
  <c r="L11" i="12"/>
  <c r="L21" i="12"/>
  <c r="L62" i="12"/>
  <c r="L27" i="12"/>
  <c r="F102" i="12"/>
  <c r="C53" i="22"/>
  <c r="C55" i="22"/>
  <c r="D67" i="1"/>
  <c r="C69" i="22"/>
  <c r="C23" i="22"/>
  <c r="C59" i="22"/>
  <c r="C61" i="22"/>
  <c r="C63" i="22"/>
  <c r="C65" i="22"/>
  <c r="C67" i="22"/>
  <c r="C27" i="22"/>
  <c r="F99" i="12"/>
  <c r="E91" i="12"/>
  <c r="E92" i="12" s="1"/>
  <c r="B72" i="12"/>
  <c r="B74" i="12" s="1"/>
  <c r="B84" i="12"/>
  <c r="B86" i="12" s="1"/>
  <c r="B96" i="12"/>
  <c r="B99" i="12" s="1"/>
  <c r="B78" i="12"/>
  <c r="B80" i="12" s="1"/>
  <c r="D86" i="12"/>
  <c r="G103" i="12"/>
  <c r="C75" i="12"/>
  <c r="D40" i="22"/>
  <c r="B102" i="12"/>
  <c r="G97" i="12"/>
  <c r="G99" i="12" s="1"/>
  <c r="E75" i="12"/>
  <c r="E67" i="12"/>
  <c r="B11" i="12"/>
  <c r="B103" i="12"/>
  <c r="D74" i="1"/>
  <c r="C66" i="12"/>
  <c r="G56" i="12"/>
  <c r="C78" i="12"/>
  <c r="C81" i="12" s="1"/>
  <c r="C51" i="22"/>
  <c r="D60" i="12"/>
  <c r="D79" i="12"/>
  <c r="D81" i="12" s="1"/>
  <c r="D73" i="1"/>
  <c r="D61" i="1"/>
  <c r="E61" i="1" s="1"/>
  <c r="D51" i="22" s="1"/>
  <c r="D103" i="12"/>
  <c r="C11" i="12"/>
  <c r="F90" i="12"/>
  <c r="F92" i="12" s="1"/>
  <c r="E56" i="12"/>
  <c r="D67" i="12"/>
  <c r="C67" i="12"/>
  <c r="D97" i="12"/>
  <c r="D99" i="12" s="1"/>
  <c r="E86" i="12"/>
  <c r="D91" i="12"/>
  <c r="C57" i="22"/>
  <c r="G87" i="12"/>
  <c r="B56" i="12"/>
  <c r="F11" i="12"/>
  <c r="E11" i="12"/>
  <c r="F73" i="12"/>
  <c r="F75" i="12" s="1"/>
  <c r="B67" i="12"/>
  <c r="G86" i="12"/>
  <c r="B90" i="12"/>
  <c r="C62" i="22"/>
  <c r="G74" i="12"/>
  <c r="G75" i="12"/>
  <c r="D63" i="1"/>
  <c r="E63" i="1" s="1"/>
  <c r="D53" i="22" s="1"/>
  <c r="D56" i="12"/>
  <c r="G67" i="12"/>
  <c r="C91" i="12"/>
  <c r="C92" i="12" s="1"/>
  <c r="C21" i="12"/>
  <c r="D59" i="1"/>
  <c r="E59" i="1" s="1"/>
  <c r="D49" i="22" s="1"/>
  <c r="C56" i="12"/>
  <c r="C103" i="12"/>
  <c r="C49" i="22"/>
  <c r="D64" i="1"/>
  <c r="C68" i="22"/>
  <c r="G66" i="12"/>
  <c r="E65" i="12"/>
  <c r="D73" i="12"/>
  <c r="D75" i="12" s="1"/>
  <c r="F87" i="12"/>
  <c r="G11" i="12"/>
  <c r="D102" i="12"/>
  <c r="D105" i="12" s="1"/>
  <c r="D70" i="1"/>
  <c r="D87" i="12"/>
  <c r="F98" i="12"/>
  <c r="G21" i="12"/>
  <c r="E87" i="12"/>
  <c r="G93" i="12"/>
  <c r="B21" i="12"/>
  <c r="G102" i="12"/>
  <c r="D77" i="1"/>
  <c r="E7" i="22"/>
  <c r="F7" i="22" s="1"/>
  <c r="T1" i="22"/>
  <c r="G64" i="1"/>
  <c r="H64" i="1" s="1"/>
  <c r="I64" i="1" s="1"/>
  <c r="J64" i="1" s="1"/>
  <c r="K64" i="1" s="1"/>
  <c r="L64" i="1" s="1"/>
  <c r="M64" i="1" s="1"/>
  <c r="N64" i="1" s="1"/>
  <c r="O64" i="1" s="1"/>
  <c r="P64" i="1" s="1"/>
  <c r="Q64" i="1" s="1"/>
  <c r="R64" i="1" s="1"/>
  <c r="S64" i="1" s="1"/>
  <c r="T64" i="1" s="1"/>
  <c r="U64" i="1" s="1"/>
  <c r="V64" i="1" s="1"/>
  <c r="W64" i="1" s="1"/>
  <c r="X64" i="1" s="1"/>
  <c r="Y64" i="1" s="1"/>
  <c r="Z64" i="1" s="1"/>
  <c r="AA64" i="1" s="1"/>
  <c r="AB64" i="1" s="1"/>
  <c r="AC64" i="1" s="1"/>
  <c r="AD64" i="1" s="1"/>
  <c r="AE64" i="1" s="1"/>
  <c r="AF64" i="1" s="1"/>
  <c r="AG64" i="1" s="1"/>
  <c r="AH64" i="1" s="1"/>
  <c r="AI64" i="1" s="1"/>
  <c r="AJ64" i="1" s="1"/>
  <c r="H40" i="12"/>
  <c r="I40" i="12" s="1"/>
  <c r="U1" i="1"/>
  <c r="B4" i="17"/>
  <c r="F2" i="17" s="1"/>
  <c r="J16" i="19"/>
  <c r="J15" i="19"/>
  <c r="B12" i="20"/>
  <c r="B13" i="20" s="1"/>
  <c r="G11" i="20"/>
  <c r="G12" i="20" s="1"/>
  <c r="G15" i="20" s="1"/>
  <c r="AI142" i="1"/>
  <c r="F271" i="1"/>
  <c r="F270" i="1"/>
  <c r="D57" i="1"/>
  <c r="D68" i="1"/>
  <c r="D56" i="1"/>
  <c r="G222" i="1"/>
  <c r="I39" i="2"/>
  <c r="I45" i="2"/>
  <c r="D44" i="2"/>
  <c r="K39" i="2"/>
  <c r="J39" i="2"/>
  <c r="G53" i="2"/>
  <c r="H39" i="2"/>
  <c r="H20" i="12"/>
  <c r="B49" i="1"/>
  <c r="G49" i="1"/>
  <c r="H49" i="1" s="1"/>
  <c r="I49" i="1" s="1"/>
  <c r="J49" i="1" s="1"/>
  <c r="K49" i="1" s="1"/>
  <c r="L49" i="1" s="1"/>
  <c r="M49" i="1" s="1"/>
  <c r="N49" i="1" s="1"/>
  <c r="O49" i="1" s="1"/>
  <c r="P49" i="1" s="1"/>
  <c r="Q49" i="1" s="1"/>
  <c r="R49" i="1" s="1"/>
  <c r="S49" i="1" s="1"/>
  <c r="T49" i="1" s="1"/>
  <c r="U49" i="1" s="1"/>
  <c r="V49" i="1" s="1"/>
  <c r="W49" i="1" s="1"/>
  <c r="X49" i="1" s="1"/>
  <c r="Y49" i="1" s="1"/>
  <c r="Z49" i="1" s="1"/>
  <c r="AA49" i="1" s="1"/>
  <c r="AB49" i="1" s="1"/>
  <c r="AC49" i="1" s="1"/>
  <c r="AD49" i="1" s="1"/>
  <c r="AE49" i="1" s="1"/>
  <c r="AF49" i="1" s="1"/>
  <c r="AG49" i="1" s="1"/>
  <c r="AH49" i="1" s="1"/>
  <c r="AI49" i="1" s="1"/>
  <c r="AJ49" i="1" s="1"/>
  <c r="G45" i="1"/>
  <c r="H16" i="12"/>
  <c r="I16" i="12" s="1"/>
  <c r="B45" i="1"/>
  <c r="B73" i="1"/>
  <c r="B74" i="1"/>
  <c r="D67" i="22"/>
  <c r="D60" i="22"/>
  <c r="B75" i="1"/>
  <c r="B78" i="1"/>
  <c r="B65" i="1"/>
  <c r="B72" i="1"/>
  <c r="E66" i="1"/>
  <c r="F66" i="1" s="1"/>
  <c r="G66" i="1" s="1"/>
  <c r="B67" i="1"/>
  <c r="B17" i="7"/>
  <c r="B18" i="7" s="1"/>
  <c r="C9" i="8"/>
  <c r="D9" i="8" s="1"/>
  <c r="B64" i="1"/>
  <c r="F15" i="1"/>
  <c r="G15" i="1" s="1"/>
  <c r="F9" i="8" s="1"/>
  <c r="I2" i="17"/>
  <c r="B11" i="17"/>
  <c r="B14" i="17" s="1"/>
  <c r="I31" i="1"/>
  <c r="H36" i="1"/>
  <c r="H40" i="1" s="1"/>
  <c r="H90" i="1"/>
  <c r="F234" i="1"/>
  <c r="G271" i="1"/>
  <c r="D42" i="2"/>
  <c r="D46" i="2"/>
  <c r="D43" i="2"/>
  <c r="D49" i="2"/>
  <c r="D36" i="2"/>
  <c r="D48" i="2"/>
  <c r="D39" i="2"/>
  <c r="D47" i="2"/>
  <c r="D40" i="2"/>
  <c r="D45" i="2"/>
  <c r="D38" i="2"/>
  <c r="D37" i="2"/>
  <c r="D80" i="2"/>
  <c r="D83" i="2" s="1"/>
  <c r="F140" i="1" s="1"/>
  <c r="F221" i="1"/>
  <c r="F96" i="1"/>
  <c r="F94" i="1" s="1"/>
  <c r="F223" i="1" s="1"/>
  <c r="D62" i="1"/>
  <c r="E62" i="1" s="1"/>
  <c r="D69" i="1"/>
  <c r="D76" i="1"/>
  <c r="E76" i="1" s="1"/>
  <c r="D60" i="1"/>
  <c r="E60" i="1" s="1"/>
  <c r="D75" i="1"/>
  <c r="D66" i="1"/>
  <c r="B46" i="1"/>
  <c r="H17" i="12"/>
  <c r="H24" i="12"/>
  <c r="I24" i="12" s="1"/>
  <c r="B51" i="1"/>
  <c r="F34" i="1"/>
  <c r="D11" i="12"/>
  <c r="F80" i="12"/>
  <c r="F81" i="12"/>
  <c r="G81" i="12"/>
  <c r="G80" i="12"/>
  <c r="E21" i="12"/>
  <c r="D90" i="12"/>
  <c r="E78" i="12"/>
  <c r="C99" i="12"/>
  <c r="C98" i="12"/>
  <c r="C86" i="12"/>
  <c r="C87" i="12"/>
  <c r="E99" i="12"/>
  <c r="E98" i="12"/>
  <c r="F66" i="12"/>
  <c r="B66" i="12"/>
  <c r="E74" i="12"/>
  <c r="G92" i="12"/>
  <c r="D66" i="12"/>
  <c r="E66" i="12"/>
  <c r="C102" i="12"/>
  <c r="F86" i="12"/>
  <c r="C74" i="12"/>
  <c r="D21" i="12"/>
  <c r="E102" i="12"/>
  <c r="I38" i="19" l="1"/>
  <c r="J37" i="19"/>
  <c r="F103" i="12"/>
  <c r="H25" i="11"/>
  <c r="F20" i="12"/>
  <c r="F21" i="12" s="1"/>
  <c r="F22" i="12" s="1"/>
  <c r="G106" i="1"/>
  <c r="F67" i="12"/>
  <c r="H101" i="11"/>
  <c r="F42" i="12"/>
  <c r="F56" i="12" s="1"/>
  <c r="F332" i="1"/>
  <c r="F283" i="1"/>
  <c r="I48" i="12"/>
  <c r="H102" i="12"/>
  <c r="I18" i="12"/>
  <c r="E64" i="22"/>
  <c r="F272" i="1"/>
  <c r="F321" i="1"/>
  <c r="E9" i="7"/>
  <c r="J53" i="2"/>
  <c r="H7" i="12"/>
  <c r="I7" i="12" s="1"/>
  <c r="F38" i="1"/>
  <c r="D38" i="1" s="1"/>
  <c r="D41" i="1" s="1"/>
  <c r="D52" i="1" s="1"/>
  <c r="C80" i="12"/>
  <c r="B75" i="12"/>
  <c r="F105" i="12"/>
  <c r="B81" i="12"/>
  <c r="B98" i="12"/>
  <c r="D104" i="12"/>
  <c r="I35" i="1"/>
  <c r="I39" i="1" s="1"/>
  <c r="F74" i="12"/>
  <c r="G105" i="12"/>
  <c r="G69" i="12"/>
  <c r="E93" i="12"/>
  <c r="C68" i="12"/>
  <c r="K54" i="12"/>
  <c r="C39" i="22"/>
  <c r="H96" i="12"/>
  <c r="I19" i="12"/>
  <c r="H84" i="12"/>
  <c r="I17" i="12"/>
  <c r="L140" i="1"/>
  <c r="L142" i="1" s="1"/>
  <c r="T140" i="1"/>
  <c r="AB140" i="1"/>
  <c r="M140" i="1"/>
  <c r="U140" i="1"/>
  <c r="AC140" i="1"/>
  <c r="AC142" i="1" s="1"/>
  <c r="W140" i="1"/>
  <c r="W142" i="1" s="1"/>
  <c r="P140" i="1"/>
  <c r="P142" i="1" s="1"/>
  <c r="I140" i="1"/>
  <c r="I142" i="1" s="1"/>
  <c r="Y140" i="1"/>
  <c r="G140" i="1"/>
  <c r="G142" i="1" s="1"/>
  <c r="R140" i="1"/>
  <c r="R142" i="1" s="1"/>
  <c r="K140" i="1"/>
  <c r="K142" i="1" s="1"/>
  <c r="N140" i="1"/>
  <c r="N142" i="1" s="1"/>
  <c r="V140" i="1"/>
  <c r="V142" i="1" s="1"/>
  <c r="AD140" i="1"/>
  <c r="AD142" i="1" s="1"/>
  <c r="O140" i="1"/>
  <c r="O142" i="1" s="1"/>
  <c r="AE140" i="1"/>
  <c r="H140" i="1"/>
  <c r="AF140" i="1"/>
  <c r="AF142" i="1" s="1"/>
  <c r="Q140" i="1"/>
  <c r="J140" i="1"/>
  <c r="J142" i="1" s="1"/>
  <c r="S140" i="1"/>
  <c r="S142" i="1" s="1"/>
  <c r="AG140" i="1"/>
  <c r="AG142" i="1" s="1"/>
  <c r="X140" i="1"/>
  <c r="X142" i="1" s="1"/>
  <c r="Z140" i="1"/>
  <c r="AA140" i="1"/>
  <c r="AA142" i="1" s="1"/>
  <c r="I53" i="2"/>
  <c r="E56" i="1" s="1"/>
  <c r="F56" i="1" s="1"/>
  <c r="G71" i="1"/>
  <c r="H71" i="1" s="1"/>
  <c r="I71" i="1" s="1"/>
  <c r="J71" i="1" s="1"/>
  <c r="K71" i="1" s="1"/>
  <c r="L71" i="1" s="1"/>
  <c r="M71" i="1" s="1"/>
  <c r="N71" i="1" s="1"/>
  <c r="O71" i="1" s="1"/>
  <c r="P71" i="1" s="1"/>
  <c r="Q71" i="1" s="1"/>
  <c r="R71" i="1" s="1"/>
  <c r="S71" i="1" s="1"/>
  <c r="T71" i="1" s="1"/>
  <c r="U71" i="1" s="1"/>
  <c r="V71" i="1" s="1"/>
  <c r="W71" i="1" s="1"/>
  <c r="X71" i="1" s="1"/>
  <c r="Y71" i="1" s="1"/>
  <c r="Z71" i="1" s="1"/>
  <c r="AA71" i="1" s="1"/>
  <c r="AB71" i="1" s="1"/>
  <c r="AC71" i="1" s="1"/>
  <c r="AD71" i="1" s="1"/>
  <c r="AE71" i="1" s="1"/>
  <c r="AF71" i="1" s="1"/>
  <c r="AG71" i="1" s="1"/>
  <c r="AH71" i="1" s="1"/>
  <c r="AI71" i="1" s="1"/>
  <c r="AJ71" i="1" s="1"/>
  <c r="H47" i="12"/>
  <c r="I47" i="12" s="1"/>
  <c r="H9" i="12"/>
  <c r="I9" i="12" s="1"/>
  <c r="B36" i="1"/>
  <c r="E63" i="22"/>
  <c r="F39" i="1"/>
  <c r="B35" i="1"/>
  <c r="H8" i="12"/>
  <c r="I8" i="12" s="1"/>
  <c r="D29" i="22"/>
  <c r="E29" i="22" s="1"/>
  <c r="B40" i="1"/>
  <c r="E60" i="22"/>
  <c r="E67" i="22"/>
  <c r="D98" i="12"/>
  <c r="G104" i="12"/>
  <c r="G68" i="12"/>
  <c r="D29" i="11"/>
  <c r="C31" i="12" s="1"/>
  <c r="D9" i="11"/>
  <c r="D4" i="11"/>
  <c r="C30" i="22"/>
  <c r="B87" i="12"/>
  <c r="C69" i="12"/>
  <c r="B26" i="12"/>
  <c r="B61" i="12" s="1"/>
  <c r="D80" i="12"/>
  <c r="D93" i="12"/>
  <c r="F93" i="12"/>
  <c r="E12" i="12"/>
  <c r="K19" i="12"/>
  <c r="D92" i="12"/>
  <c r="G26" i="12"/>
  <c r="G61" i="12" s="1"/>
  <c r="K9" i="12"/>
  <c r="C12" i="12"/>
  <c r="B105" i="12"/>
  <c r="F104" i="12"/>
  <c r="C57" i="12"/>
  <c r="G98" i="12"/>
  <c r="D159" i="1"/>
  <c r="D162" i="1" s="1"/>
  <c r="E162" i="1" s="1"/>
  <c r="B59" i="1"/>
  <c r="F63" i="1"/>
  <c r="H39" i="12" s="1"/>
  <c r="I39" i="12" s="1"/>
  <c r="F12" i="12"/>
  <c r="B63" i="1"/>
  <c r="F61" i="1"/>
  <c r="H37" i="12" s="1"/>
  <c r="I37" i="12" s="1"/>
  <c r="B61" i="1"/>
  <c r="F59" i="1"/>
  <c r="B104" i="12"/>
  <c r="D12" i="12"/>
  <c r="D74" i="12"/>
  <c r="C70" i="22"/>
  <c r="C26" i="12"/>
  <c r="C61" i="12" s="1"/>
  <c r="B92" i="12"/>
  <c r="B93" i="12"/>
  <c r="D110" i="12"/>
  <c r="D65" i="12"/>
  <c r="C22" i="12"/>
  <c r="K20" i="12"/>
  <c r="D57" i="12"/>
  <c r="C93" i="12"/>
  <c r="K10" i="12"/>
  <c r="E26" i="12"/>
  <c r="E61" i="12" s="1"/>
  <c r="K56" i="12"/>
  <c r="E57" i="12"/>
  <c r="K11" i="12"/>
  <c r="E68" i="22"/>
  <c r="E61" i="22"/>
  <c r="B62" i="1"/>
  <c r="D52" i="22"/>
  <c r="E55" i="22"/>
  <c r="E62" i="22"/>
  <c r="F60" i="1"/>
  <c r="D50" i="22"/>
  <c r="F68" i="1"/>
  <c r="G68" i="1" s="1"/>
  <c r="H68" i="1" s="1"/>
  <c r="I68" i="1" s="1"/>
  <c r="J68" i="1" s="1"/>
  <c r="K68" i="1" s="1"/>
  <c r="L68" i="1" s="1"/>
  <c r="M68" i="1" s="1"/>
  <c r="N68" i="1" s="1"/>
  <c r="O68" i="1" s="1"/>
  <c r="P68" i="1" s="1"/>
  <c r="Q68" i="1" s="1"/>
  <c r="R68" i="1" s="1"/>
  <c r="S68" i="1" s="1"/>
  <c r="T68" i="1" s="1"/>
  <c r="U68" i="1" s="1"/>
  <c r="V68" i="1" s="1"/>
  <c r="W68" i="1" s="1"/>
  <c r="X68" i="1" s="1"/>
  <c r="Y68" i="1" s="1"/>
  <c r="Z68" i="1" s="1"/>
  <c r="AA68" i="1" s="1"/>
  <c r="AB68" i="1" s="1"/>
  <c r="AC68" i="1" s="1"/>
  <c r="AD68" i="1" s="1"/>
  <c r="AE68" i="1" s="1"/>
  <c r="AF68" i="1" s="1"/>
  <c r="AG68" i="1" s="1"/>
  <c r="AH68" i="1" s="1"/>
  <c r="AI68" i="1" s="1"/>
  <c r="AJ68" i="1" s="1"/>
  <c r="D58" i="22"/>
  <c r="E58" i="22" s="1"/>
  <c r="B76" i="1"/>
  <c r="D66" i="22"/>
  <c r="E54" i="22"/>
  <c r="E65" i="22"/>
  <c r="E57" i="22"/>
  <c r="D4" i="22"/>
  <c r="E10" i="22"/>
  <c r="F10" i="22" s="1"/>
  <c r="E56" i="22"/>
  <c r="C13" i="20"/>
  <c r="B16" i="20"/>
  <c r="B48" i="20" s="1"/>
  <c r="C2" i="20"/>
  <c r="G21" i="20"/>
  <c r="H15" i="20"/>
  <c r="B26" i="20"/>
  <c r="B27" i="20" s="1"/>
  <c r="B30" i="20" s="1"/>
  <c r="B49" i="20" s="1"/>
  <c r="Q142" i="1"/>
  <c r="Y142" i="1"/>
  <c r="H142" i="1"/>
  <c r="Z142" i="1"/>
  <c r="AE142" i="1"/>
  <c r="AB142" i="1"/>
  <c r="M142" i="1"/>
  <c r="T142" i="1"/>
  <c r="U142" i="1"/>
  <c r="B68" i="1"/>
  <c r="K53" i="2"/>
  <c r="C56" i="1"/>
  <c r="B6" i="7"/>
  <c r="D6" i="1"/>
  <c r="E9" i="8"/>
  <c r="F121" i="1"/>
  <c r="F246" i="1" s="1"/>
  <c r="F247" i="1" s="1"/>
  <c r="B60" i="1"/>
  <c r="F76" i="1"/>
  <c r="G76" i="1" s="1"/>
  <c r="H76" i="1" s="1"/>
  <c r="I76" i="1" s="1"/>
  <c r="J76" i="1" s="1"/>
  <c r="K76" i="1" s="1"/>
  <c r="L76" i="1" s="1"/>
  <c r="M76" i="1" s="1"/>
  <c r="N76" i="1" s="1"/>
  <c r="O76" i="1" s="1"/>
  <c r="P76" i="1" s="1"/>
  <c r="Q76" i="1" s="1"/>
  <c r="R76" i="1" s="1"/>
  <c r="S76" i="1" s="1"/>
  <c r="T76" i="1" s="1"/>
  <c r="U76" i="1" s="1"/>
  <c r="V76" i="1" s="1"/>
  <c r="W76" i="1" s="1"/>
  <c r="X76" i="1" s="1"/>
  <c r="Y76" i="1" s="1"/>
  <c r="Z76" i="1" s="1"/>
  <c r="AA76" i="1" s="1"/>
  <c r="AB76" i="1" s="1"/>
  <c r="AC76" i="1" s="1"/>
  <c r="AD76" i="1" s="1"/>
  <c r="AE76" i="1" s="1"/>
  <c r="AF76" i="1" s="1"/>
  <c r="AG76" i="1" s="1"/>
  <c r="AH76" i="1" s="1"/>
  <c r="AI76" i="1" s="1"/>
  <c r="AJ76" i="1" s="1"/>
  <c r="F62" i="1"/>
  <c r="D80" i="1"/>
  <c r="B16" i="17"/>
  <c r="R2" i="17" s="1"/>
  <c r="P2" i="17"/>
  <c r="B34" i="1"/>
  <c r="H106" i="1"/>
  <c r="G283" i="1"/>
  <c r="G332" i="1"/>
  <c r="G234" i="1"/>
  <c r="G193" i="1"/>
  <c r="B70" i="1"/>
  <c r="F70" i="1"/>
  <c r="B77" i="1"/>
  <c r="F77" i="1"/>
  <c r="H78" i="12"/>
  <c r="B66" i="1"/>
  <c r="F225" i="1"/>
  <c r="F274" i="1"/>
  <c r="F95" i="1"/>
  <c r="F323" i="1"/>
  <c r="I90" i="1"/>
  <c r="H93" i="1"/>
  <c r="G113" i="1" s="1"/>
  <c r="H94" i="1"/>
  <c r="G28" i="1"/>
  <c r="G34" i="1"/>
  <c r="D50" i="2"/>
  <c r="D54" i="2" s="1"/>
  <c r="E69" i="1" s="1"/>
  <c r="J31" i="1"/>
  <c r="I36" i="1"/>
  <c r="I40" i="1" s="1"/>
  <c r="B13" i="17"/>
  <c r="O2" i="17" s="1"/>
  <c r="M2" i="17"/>
  <c r="H45" i="1"/>
  <c r="E81" i="12"/>
  <c r="E80" i="12"/>
  <c r="D22" i="12"/>
  <c r="K21" i="12"/>
  <c r="C105" i="12"/>
  <c r="C104" i="12"/>
  <c r="D26" i="12"/>
  <c r="F68" i="12"/>
  <c r="F69" i="12"/>
  <c r="E68" i="12"/>
  <c r="E69" i="12"/>
  <c r="D69" i="12"/>
  <c r="D68" i="12"/>
  <c r="E105" i="12"/>
  <c r="E104" i="12"/>
  <c r="B68" i="12"/>
  <c r="B69" i="12"/>
  <c r="E22" i="12"/>
  <c r="K55" i="12" l="1"/>
  <c r="F57" i="12"/>
  <c r="F26" i="12"/>
  <c r="F58" i="12" s="1"/>
  <c r="I20" i="12"/>
  <c r="J38" i="19"/>
  <c r="K37" i="19"/>
  <c r="D53" i="1"/>
  <c r="D81" i="1"/>
  <c r="E58" i="12"/>
  <c r="B58" i="12"/>
  <c r="J35" i="1"/>
  <c r="J39" i="1" s="1"/>
  <c r="D83" i="1"/>
  <c r="D85" i="1" s="1"/>
  <c r="H53" i="2"/>
  <c r="C42" i="22"/>
  <c r="C73" i="22" s="1"/>
  <c r="I12" i="12"/>
  <c r="E115" i="1"/>
  <c r="G237" i="1"/>
  <c r="F13" i="7"/>
  <c r="G286" i="1"/>
  <c r="G335" i="1"/>
  <c r="B56" i="1"/>
  <c r="D46" i="22"/>
  <c r="E46" i="22" s="1"/>
  <c r="E57" i="1"/>
  <c r="D47" i="22" s="1"/>
  <c r="E47" i="22" s="1"/>
  <c r="B39" i="1"/>
  <c r="D28" i="22"/>
  <c r="E28" i="22" s="1"/>
  <c r="E58" i="1"/>
  <c r="D48" i="22" s="1"/>
  <c r="E48" i="22" s="1"/>
  <c r="C29" i="11"/>
  <c r="B31" i="12" s="1"/>
  <c r="I31" i="12" s="1"/>
  <c r="C9" i="11"/>
  <c r="C5" i="12"/>
  <c r="C60" i="12"/>
  <c r="C58" i="12"/>
  <c r="K26" i="12"/>
  <c r="C27" i="12"/>
  <c r="E27" i="12"/>
  <c r="K25" i="12" s="1"/>
  <c r="F61" i="12"/>
  <c r="K61" i="12" s="1"/>
  <c r="C62" i="12"/>
  <c r="E159" i="1"/>
  <c r="F41" i="1"/>
  <c r="E41" i="1" s="1"/>
  <c r="D27" i="22"/>
  <c r="G63" i="1"/>
  <c r="G48" i="1" s="1"/>
  <c r="H35" i="12"/>
  <c r="I35" i="12" s="1"/>
  <c r="H97" i="12"/>
  <c r="H85" i="12"/>
  <c r="G59" i="1"/>
  <c r="G61" i="1"/>
  <c r="G46" i="1" s="1"/>
  <c r="G29" i="20"/>
  <c r="B50" i="20"/>
  <c r="B35" i="20" s="1"/>
  <c r="H36" i="12"/>
  <c r="I36" i="12" s="1"/>
  <c r="H44" i="12"/>
  <c r="I44" i="12" s="1"/>
  <c r="G60" i="1"/>
  <c r="H60" i="1" s="1"/>
  <c r="I60" i="1" s="1"/>
  <c r="J60" i="1" s="1"/>
  <c r="K60" i="1" s="1"/>
  <c r="L60" i="1" s="1"/>
  <c r="M60" i="1" s="1"/>
  <c r="N60" i="1" s="1"/>
  <c r="O60" i="1" s="1"/>
  <c r="P60" i="1" s="1"/>
  <c r="Q60" i="1" s="1"/>
  <c r="R60" i="1" s="1"/>
  <c r="S60" i="1" s="1"/>
  <c r="T60" i="1" s="1"/>
  <c r="U60" i="1" s="1"/>
  <c r="V60" i="1" s="1"/>
  <c r="W60" i="1" s="1"/>
  <c r="X60" i="1" s="1"/>
  <c r="Y60" i="1" s="1"/>
  <c r="Z60" i="1" s="1"/>
  <c r="AA60" i="1" s="1"/>
  <c r="AB60" i="1" s="1"/>
  <c r="AC60" i="1" s="1"/>
  <c r="AD60" i="1" s="1"/>
  <c r="AE60" i="1" s="1"/>
  <c r="AF60" i="1" s="1"/>
  <c r="AG60" i="1" s="1"/>
  <c r="AH60" i="1" s="1"/>
  <c r="AI60" i="1" s="1"/>
  <c r="AJ60" i="1" s="1"/>
  <c r="C16" i="20"/>
  <c r="B34" i="20"/>
  <c r="B39" i="20"/>
  <c r="C39" i="20" s="1"/>
  <c r="C30" i="20"/>
  <c r="G56" i="1"/>
  <c r="H56" i="1" s="1"/>
  <c r="I56" i="1" s="1"/>
  <c r="J56" i="1" s="1"/>
  <c r="K56" i="1" s="1"/>
  <c r="L56" i="1" s="1"/>
  <c r="M56" i="1" s="1"/>
  <c r="N56" i="1" s="1"/>
  <c r="O56" i="1" s="1"/>
  <c r="P56" i="1" s="1"/>
  <c r="Q56" i="1" s="1"/>
  <c r="R56" i="1" s="1"/>
  <c r="S56" i="1" s="1"/>
  <c r="T56" i="1" s="1"/>
  <c r="U56" i="1" s="1"/>
  <c r="V56" i="1" s="1"/>
  <c r="W56" i="1" s="1"/>
  <c r="X56" i="1" s="1"/>
  <c r="Y56" i="1" s="1"/>
  <c r="Z56" i="1" s="1"/>
  <c r="AA56" i="1" s="1"/>
  <c r="AB56" i="1" s="1"/>
  <c r="AC56" i="1" s="1"/>
  <c r="AD56" i="1" s="1"/>
  <c r="AE56" i="1" s="1"/>
  <c r="AF56" i="1" s="1"/>
  <c r="AG56" i="1" s="1"/>
  <c r="AH56" i="1" s="1"/>
  <c r="AI56" i="1" s="1"/>
  <c r="AJ56" i="1" s="1"/>
  <c r="H32" i="12"/>
  <c r="I32" i="12" s="1"/>
  <c r="B14" i="7"/>
  <c r="B15" i="7" s="1"/>
  <c r="B7" i="7"/>
  <c r="F122" i="1"/>
  <c r="E199" i="1"/>
  <c r="E207" i="1" s="1"/>
  <c r="E211" i="1" s="1"/>
  <c r="E6" i="1"/>
  <c r="H52" i="12"/>
  <c r="I52" i="12" s="1"/>
  <c r="H38" i="12"/>
  <c r="I38" i="12" s="1"/>
  <c r="G62" i="1"/>
  <c r="G47" i="1" s="1"/>
  <c r="F273" i="1"/>
  <c r="F224" i="1"/>
  <c r="F97" i="1"/>
  <c r="F322" i="1"/>
  <c r="H66" i="1"/>
  <c r="I66" i="1" s="1"/>
  <c r="J66" i="1" s="1"/>
  <c r="K66" i="1" s="1"/>
  <c r="L66" i="1" s="1"/>
  <c r="M66" i="1" s="1"/>
  <c r="N66" i="1" s="1"/>
  <c r="O66" i="1" s="1"/>
  <c r="P66" i="1" s="1"/>
  <c r="Q66" i="1" s="1"/>
  <c r="R66" i="1" s="1"/>
  <c r="S66" i="1" s="1"/>
  <c r="T66" i="1" s="1"/>
  <c r="U66" i="1" s="1"/>
  <c r="V66" i="1" s="1"/>
  <c r="W66" i="1" s="1"/>
  <c r="X66" i="1" s="1"/>
  <c r="Y66" i="1" s="1"/>
  <c r="Z66" i="1" s="1"/>
  <c r="AA66" i="1" s="1"/>
  <c r="AB66" i="1" s="1"/>
  <c r="AC66" i="1" s="1"/>
  <c r="AD66" i="1" s="1"/>
  <c r="AE66" i="1" s="1"/>
  <c r="AF66" i="1" s="1"/>
  <c r="AG66" i="1" s="1"/>
  <c r="AH66" i="1" s="1"/>
  <c r="AI66" i="1" s="1"/>
  <c r="AJ66" i="1" s="1"/>
  <c r="H42" i="12"/>
  <c r="I42" i="12" s="1"/>
  <c r="I45" i="1"/>
  <c r="J36" i="1"/>
  <c r="J40" i="1" s="1"/>
  <c r="K31" i="1"/>
  <c r="G38" i="1"/>
  <c r="G41" i="1" s="1"/>
  <c r="H320" i="1"/>
  <c r="H222" i="1"/>
  <c r="G91" i="1"/>
  <c r="G111" i="1" s="1"/>
  <c r="H271" i="1"/>
  <c r="G77" i="1"/>
  <c r="H77" i="1" s="1"/>
  <c r="I77" i="1" s="1"/>
  <c r="J77" i="1" s="1"/>
  <c r="K77" i="1" s="1"/>
  <c r="L77" i="1" s="1"/>
  <c r="M77" i="1" s="1"/>
  <c r="N77" i="1" s="1"/>
  <c r="O77" i="1" s="1"/>
  <c r="P77" i="1" s="1"/>
  <c r="Q77" i="1" s="1"/>
  <c r="R77" i="1" s="1"/>
  <c r="S77" i="1" s="1"/>
  <c r="T77" i="1" s="1"/>
  <c r="U77" i="1" s="1"/>
  <c r="V77" i="1" s="1"/>
  <c r="W77" i="1" s="1"/>
  <c r="X77" i="1" s="1"/>
  <c r="Y77" i="1" s="1"/>
  <c r="Z77" i="1" s="1"/>
  <c r="AA77" i="1" s="1"/>
  <c r="AB77" i="1" s="1"/>
  <c r="AC77" i="1" s="1"/>
  <c r="AD77" i="1" s="1"/>
  <c r="AE77" i="1" s="1"/>
  <c r="AF77" i="1" s="1"/>
  <c r="AG77" i="1" s="1"/>
  <c r="AH77" i="1" s="1"/>
  <c r="AI77" i="1" s="1"/>
  <c r="AJ77" i="1" s="1"/>
  <c r="H53" i="12"/>
  <c r="I53" i="12" s="1"/>
  <c r="D59" i="22"/>
  <c r="E59" i="22" s="1"/>
  <c r="D55" i="2"/>
  <c r="C57" i="2"/>
  <c r="H28" i="1"/>
  <c r="H34" i="1"/>
  <c r="J90" i="1"/>
  <c r="B38" i="1"/>
  <c r="H10" i="12"/>
  <c r="I10" i="12" s="1"/>
  <c r="H223" i="1"/>
  <c r="H272" i="1"/>
  <c r="G9" i="7"/>
  <c r="H321" i="1"/>
  <c r="H46" i="12"/>
  <c r="I46" i="12" s="1"/>
  <c r="G70" i="1"/>
  <c r="H70" i="1" s="1"/>
  <c r="I70" i="1" s="1"/>
  <c r="J70" i="1" s="1"/>
  <c r="K70" i="1" s="1"/>
  <c r="L70" i="1" s="1"/>
  <c r="M70" i="1" s="1"/>
  <c r="N70" i="1" s="1"/>
  <c r="O70" i="1" s="1"/>
  <c r="P70" i="1" s="1"/>
  <c r="Q70" i="1" s="1"/>
  <c r="R70" i="1" s="1"/>
  <c r="S70" i="1" s="1"/>
  <c r="T70" i="1" s="1"/>
  <c r="U70" i="1" s="1"/>
  <c r="V70" i="1" s="1"/>
  <c r="W70" i="1" s="1"/>
  <c r="X70" i="1" s="1"/>
  <c r="Y70" i="1" s="1"/>
  <c r="Z70" i="1" s="1"/>
  <c r="AA70" i="1" s="1"/>
  <c r="AB70" i="1" s="1"/>
  <c r="AC70" i="1" s="1"/>
  <c r="AD70" i="1" s="1"/>
  <c r="AE70" i="1" s="1"/>
  <c r="AF70" i="1" s="1"/>
  <c r="AG70" i="1" s="1"/>
  <c r="AH70" i="1" s="1"/>
  <c r="AI70" i="1" s="1"/>
  <c r="AJ70" i="1" s="1"/>
  <c r="H332" i="1"/>
  <c r="I106" i="1"/>
  <c r="H234" i="1"/>
  <c r="H283" i="1"/>
  <c r="H193" i="1"/>
  <c r="F27" i="12"/>
  <c r="K27" i="12"/>
  <c r="D58" i="12"/>
  <c r="D61" i="12"/>
  <c r="D62" i="12" s="1"/>
  <c r="D27" i="12"/>
  <c r="L37" i="19" l="1"/>
  <c r="K38" i="19"/>
  <c r="E130" i="1"/>
  <c r="E143" i="1" s="1"/>
  <c r="H63" i="1"/>
  <c r="I63" i="1" s="1"/>
  <c r="J63" i="1" s="1"/>
  <c r="K63" i="1" s="1"/>
  <c r="L63" i="1" s="1"/>
  <c r="M63" i="1" s="1"/>
  <c r="N63" i="1" s="1"/>
  <c r="O63" i="1" s="1"/>
  <c r="P63" i="1" s="1"/>
  <c r="Q63" i="1" s="1"/>
  <c r="R63" i="1" s="1"/>
  <c r="S63" i="1" s="1"/>
  <c r="T63" i="1" s="1"/>
  <c r="U63" i="1" s="1"/>
  <c r="V63" i="1" s="1"/>
  <c r="W63" i="1" s="1"/>
  <c r="X63" i="1" s="1"/>
  <c r="Y63" i="1" s="1"/>
  <c r="Z63" i="1" s="1"/>
  <c r="AA63" i="1" s="1"/>
  <c r="AB63" i="1" s="1"/>
  <c r="AC63" i="1" s="1"/>
  <c r="AD63" i="1" s="1"/>
  <c r="AE63" i="1" s="1"/>
  <c r="AF63" i="1" s="1"/>
  <c r="AG63" i="1" s="1"/>
  <c r="AH63" i="1" s="1"/>
  <c r="AI63" i="1" s="1"/>
  <c r="AJ63" i="1" s="1"/>
  <c r="H48" i="1"/>
  <c r="I48" i="1" s="1"/>
  <c r="J48" i="1" s="1"/>
  <c r="K48" i="1" s="1"/>
  <c r="L48" i="1" s="1"/>
  <c r="M48" i="1" s="1"/>
  <c r="N48" i="1" s="1"/>
  <c r="O48" i="1" s="1"/>
  <c r="P48" i="1" s="1"/>
  <c r="Q48" i="1" s="1"/>
  <c r="R48" i="1" s="1"/>
  <c r="S48" i="1" s="1"/>
  <c r="T48" i="1" s="1"/>
  <c r="U48" i="1" s="1"/>
  <c r="V48" i="1" s="1"/>
  <c r="W48" i="1" s="1"/>
  <c r="X48" i="1" s="1"/>
  <c r="Y48" i="1" s="1"/>
  <c r="Z48" i="1" s="1"/>
  <c r="AA48" i="1" s="1"/>
  <c r="AB48" i="1" s="1"/>
  <c r="AC48" i="1" s="1"/>
  <c r="AD48" i="1" s="1"/>
  <c r="AE48" i="1" s="1"/>
  <c r="AF48" i="1" s="1"/>
  <c r="AG48" i="1" s="1"/>
  <c r="AH48" i="1" s="1"/>
  <c r="AI48" i="1" s="1"/>
  <c r="AJ48" i="1" s="1"/>
  <c r="H62" i="1"/>
  <c r="I62" i="1" s="1"/>
  <c r="H47" i="1"/>
  <c r="I47" i="1" s="1"/>
  <c r="J47" i="1" s="1"/>
  <c r="K47" i="1" s="1"/>
  <c r="L47" i="1" s="1"/>
  <c r="M47" i="1" s="1"/>
  <c r="N47" i="1" s="1"/>
  <c r="O47" i="1" s="1"/>
  <c r="P47" i="1" s="1"/>
  <c r="Q47" i="1" s="1"/>
  <c r="R47" i="1" s="1"/>
  <c r="S47" i="1" s="1"/>
  <c r="T47" i="1" s="1"/>
  <c r="U47" i="1" s="1"/>
  <c r="V47" i="1" s="1"/>
  <c r="W47" i="1" s="1"/>
  <c r="X47" i="1" s="1"/>
  <c r="Y47" i="1" s="1"/>
  <c r="Z47" i="1" s="1"/>
  <c r="AA47" i="1" s="1"/>
  <c r="AB47" i="1" s="1"/>
  <c r="AC47" i="1" s="1"/>
  <c r="AD47" i="1" s="1"/>
  <c r="AE47" i="1" s="1"/>
  <c r="AF47" i="1" s="1"/>
  <c r="AG47" i="1" s="1"/>
  <c r="AH47" i="1" s="1"/>
  <c r="AI47" i="1" s="1"/>
  <c r="AJ47" i="1" s="1"/>
  <c r="H61" i="1"/>
  <c r="I61" i="1" s="1"/>
  <c r="J61" i="1" s="1"/>
  <c r="K61" i="1" s="1"/>
  <c r="L61" i="1" s="1"/>
  <c r="M61" i="1" s="1"/>
  <c r="N61" i="1" s="1"/>
  <c r="O61" i="1" s="1"/>
  <c r="P61" i="1" s="1"/>
  <c r="Q61" i="1" s="1"/>
  <c r="R61" i="1" s="1"/>
  <c r="S61" i="1" s="1"/>
  <c r="T61" i="1" s="1"/>
  <c r="U61" i="1" s="1"/>
  <c r="V61" i="1" s="1"/>
  <c r="W61" i="1" s="1"/>
  <c r="X61" i="1" s="1"/>
  <c r="Y61" i="1" s="1"/>
  <c r="Z61" i="1" s="1"/>
  <c r="AA61" i="1" s="1"/>
  <c r="AB61" i="1" s="1"/>
  <c r="AC61" i="1" s="1"/>
  <c r="AD61" i="1" s="1"/>
  <c r="AE61" i="1" s="1"/>
  <c r="AF61" i="1" s="1"/>
  <c r="AG61" i="1" s="1"/>
  <c r="AH61" i="1" s="1"/>
  <c r="AI61" i="1" s="1"/>
  <c r="AJ61" i="1" s="1"/>
  <c r="D33" i="22"/>
  <c r="B44" i="1"/>
  <c r="F50" i="1"/>
  <c r="H15" i="12"/>
  <c r="H59" i="1"/>
  <c r="I59" i="1" s="1"/>
  <c r="J59" i="1" s="1"/>
  <c r="K59" i="1" s="1"/>
  <c r="L59" i="1" s="1"/>
  <c r="F58" i="1"/>
  <c r="G58" i="1" s="1"/>
  <c r="H58" i="1" s="1"/>
  <c r="I58" i="1" s="1"/>
  <c r="J58" i="1" s="1"/>
  <c r="K58" i="1" s="1"/>
  <c r="L58" i="1" s="1"/>
  <c r="M58" i="1" s="1"/>
  <c r="N58" i="1" s="1"/>
  <c r="O58" i="1" s="1"/>
  <c r="P58" i="1" s="1"/>
  <c r="Q58" i="1" s="1"/>
  <c r="R58" i="1" s="1"/>
  <c r="S58" i="1" s="1"/>
  <c r="T58" i="1" s="1"/>
  <c r="U58" i="1" s="1"/>
  <c r="V58" i="1" s="1"/>
  <c r="W58" i="1" s="1"/>
  <c r="X58" i="1" s="1"/>
  <c r="Y58" i="1" s="1"/>
  <c r="Z58" i="1" s="1"/>
  <c r="AA58" i="1" s="1"/>
  <c r="AB58" i="1" s="1"/>
  <c r="AC58" i="1" s="1"/>
  <c r="AD58" i="1" s="1"/>
  <c r="AE58" i="1" s="1"/>
  <c r="AF58" i="1" s="1"/>
  <c r="AG58" i="1" s="1"/>
  <c r="AH58" i="1" s="1"/>
  <c r="AI58" i="1" s="1"/>
  <c r="AJ58" i="1" s="1"/>
  <c r="C71" i="22"/>
  <c r="B41" i="1"/>
  <c r="B58" i="1"/>
  <c r="D38" i="8"/>
  <c r="E240" i="1"/>
  <c r="G110" i="1"/>
  <c r="K110" i="1"/>
  <c r="O110" i="1"/>
  <c r="S110" i="1"/>
  <c r="W110" i="1"/>
  <c r="AA110" i="1"/>
  <c r="AE110" i="1"/>
  <c r="AI110" i="1"/>
  <c r="N110" i="1"/>
  <c r="Z110" i="1"/>
  <c r="H110" i="1"/>
  <c r="L110" i="1"/>
  <c r="P110" i="1"/>
  <c r="T110" i="1"/>
  <c r="X110" i="1"/>
  <c r="AB110" i="1"/>
  <c r="AF110" i="1"/>
  <c r="AJ110" i="1"/>
  <c r="R110" i="1"/>
  <c r="AD110" i="1"/>
  <c r="I110" i="1"/>
  <c r="M110" i="1"/>
  <c r="Q110" i="1"/>
  <c r="U110" i="1"/>
  <c r="Y110" i="1"/>
  <c r="AC110" i="1"/>
  <c r="AG110" i="1"/>
  <c r="F110" i="1"/>
  <c r="J110" i="1"/>
  <c r="V110" i="1"/>
  <c r="AH110" i="1"/>
  <c r="F39" i="19"/>
  <c r="F47" i="19" s="1"/>
  <c r="B57" i="1"/>
  <c r="K35" i="1"/>
  <c r="K39" i="1" s="1"/>
  <c r="L30" i="1"/>
  <c r="F57" i="1"/>
  <c r="G57" i="1" s="1"/>
  <c r="H57" i="1" s="1"/>
  <c r="I57" i="1" s="1"/>
  <c r="J57" i="1" s="1"/>
  <c r="K57" i="1" s="1"/>
  <c r="L57" i="1" s="1"/>
  <c r="M57" i="1" s="1"/>
  <c r="N57" i="1" s="1"/>
  <c r="O57" i="1" s="1"/>
  <c r="P57" i="1" s="1"/>
  <c r="Q57" i="1" s="1"/>
  <c r="R57" i="1" s="1"/>
  <c r="S57" i="1" s="1"/>
  <c r="T57" i="1" s="1"/>
  <c r="U57" i="1" s="1"/>
  <c r="V57" i="1" s="1"/>
  <c r="W57" i="1" s="1"/>
  <c r="X57" i="1" s="1"/>
  <c r="Y57" i="1" s="1"/>
  <c r="Z57" i="1" s="1"/>
  <c r="AA57" i="1" s="1"/>
  <c r="AB57" i="1" s="1"/>
  <c r="AC57" i="1" s="1"/>
  <c r="AD57" i="1" s="1"/>
  <c r="AE57" i="1" s="1"/>
  <c r="AF57" i="1" s="1"/>
  <c r="AG57" i="1" s="1"/>
  <c r="AH57" i="1" s="1"/>
  <c r="AI57" i="1" s="1"/>
  <c r="AJ57" i="1" s="1"/>
  <c r="C110" i="12"/>
  <c r="C65" i="12"/>
  <c r="B60" i="12"/>
  <c r="I60" i="12" s="1"/>
  <c r="B5" i="12"/>
  <c r="E27" i="22"/>
  <c r="E30" i="22" s="1"/>
  <c r="D30" i="22"/>
  <c r="H11" i="12"/>
  <c r="I11" i="12" s="1"/>
  <c r="H98" i="12"/>
  <c r="H99" i="12"/>
  <c r="H73" i="12"/>
  <c r="H86" i="12"/>
  <c r="H87" i="12"/>
  <c r="H91" i="12"/>
  <c r="H79" i="12"/>
  <c r="H80" i="12" s="1"/>
  <c r="G25" i="20"/>
  <c r="G23" i="20"/>
  <c r="B36" i="20"/>
  <c r="B51" i="20" s="1"/>
  <c r="B52" i="20" s="1"/>
  <c r="B53" i="20" s="1"/>
  <c r="B37" i="20" s="1"/>
  <c r="H103" i="12"/>
  <c r="H67" i="12"/>
  <c r="H38" i="1"/>
  <c r="H41" i="1" s="1"/>
  <c r="I283" i="1"/>
  <c r="I332" i="1"/>
  <c r="I193" i="1"/>
  <c r="J106" i="1"/>
  <c r="K90" i="1"/>
  <c r="L90" i="1" s="1"/>
  <c r="I34" i="1"/>
  <c r="I28" i="1"/>
  <c r="J45" i="1"/>
  <c r="F69" i="1"/>
  <c r="B69" i="1"/>
  <c r="D60" i="2"/>
  <c r="C58" i="2"/>
  <c r="C59" i="2" s="1"/>
  <c r="K36" i="1"/>
  <c r="K40" i="1" s="1"/>
  <c r="L31" i="1"/>
  <c r="F226" i="1"/>
  <c r="G92" i="1"/>
  <c r="F324" i="1"/>
  <c r="F275" i="1"/>
  <c r="F62" i="12"/>
  <c r="E62" i="12"/>
  <c r="K60" i="12" s="1"/>
  <c r="K62" i="12"/>
  <c r="M37" i="19" l="1"/>
  <c r="L38" i="19"/>
  <c r="D39" i="8"/>
  <c r="D40" i="8" s="1"/>
  <c r="D41" i="8" s="1"/>
  <c r="E132" i="1"/>
  <c r="H33" i="12"/>
  <c r="I33" i="12" s="1"/>
  <c r="H66" i="12"/>
  <c r="H68" i="12" s="1"/>
  <c r="H21" i="12"/>
  <c r="I21" i="12" s="1"/>
  <c r="H72" i="12"/>
  <c r="H75" i="12" s="1"/>
  <c r="I15" i="12"/>
  <c r="B50" i="1"/>
  <c r="E50" i="1"/>
  <c r="E33" i="22"/>
  <c r="E39" i="22" s="1"/>
  <c r="E42" i="22" s="1"/>
  <c r="D39" i="22"/>
  <c r="D42" i="22" s="1"/>
  <c r="D69" i="22" s="1"/>
  <c r="E69" i="22" s="1"/>
  <c r="F53" i="1"/>
  <c r="H46" i="1"/>
  <c r="G50" i="1"/>
  <c r="G53" i="1" s="1"/>
  <c r="H34" i="12"/>
  <c r="I34" i="12" s="1"/>
  <c r="E257" i="1"/>
  <c r="E289" i="1"/>
  <c r="F60" i="19"/>
  <c r="F77" i="19" s="1"/>
  <c r="F76" i="19"/>
  <c r="F57" i="19"/>
  <c r="F65" i="19" s="1"/>
  <c r="F56" i="19"/>
  <c r="F64" i="19"/>
  <c r="L35" i="1"/>
  <c r="L39" i="1" s="1"/>
  <c r="M30" i="1"/>
  <c r="B110" i="12"/>
  <c r="B65" i="12"/>
  <c r="H104" i="12"/>
  <c r="H81" i="12"/>
  <c r="H92" i="12"/>
  <c r="H93" i="12"/>
  <c r="G24" i="20"/>
  <c r="G26" i="20" s="1"/>
  <c r="G27" i="20" s="1"/>
  <c r="H105" i="12"/>
  <c r="G270" i="1"/>
  <c r="G319" i="1"/>
  <c r="G96" i="1"/>
  <c r="G94" i="1" s="1"/>
  <c r="G221" i="1"/>
  <c r="K45" i="1"/>
  <c r="M31" i="1"/>
  <c r="L36" i="1"/>
  <c r="L40" i="1" s="1"/>
  <c r="J28" i="1"/>
  <c r="J34" i="1"/>
  <c r="J283" i="1"/>
  <c r="J332" i="1"/>
  <c r="J193" i="1"/>
  <c r="I38" i="1"/>
  <c r="I41" i="1" s="1"/>
  <c r="M90" i="1"/>
  <c r="G69" i="1"/>
  <c r="H45" i="12"/>
  <c r="I45" i="12" s="1"/>
  <c r="J62" i="1"/>
  <c r="M59" i="1"/>
  <c r="M38" i="19" l="1"/>
  <c r="N37" i="19"/>
  <c r="H48" i="8"/>
  <c r="G48" i="8"/>
  <c r="F48" i="8"/>
  <c r="I48" i="8"/>
  <c r="G321" i="1"/>
  <c r="G223" i="1"/>
  <c r="G272" i="1"/>
  <c r="F9" i="7"/>
  <c r="H26" i="12"/>
  <c r="I26" i="12" s="1"/>
  <c r="H69" i="12"/>
  <c r="H74" i="12"/>
  <c r="F79" i="1"/>
  <c r="E52" i="1"/>
  <c r="E53" i="1" s="1"/>
  <c r="D27" i="16" s="1"/>
  <c r="F52" i="1"/>
  <c r="E4" i="7"/>
  <c r="B53" i="1"/>
  <c r="G79" i="1"/>
  <c r="G80" i="1" s="1"/>
  <c r="G52" i="1"/>
  <c r="F4" i="7"/>
  <c r="I46" i="1"/>
  <c r="H50" i="1"/>
  <c r="H53" i="1" s="1"/>
  <c r="E338" i="1"/>
  <c r="F295" i="1"/>
  <c r="F296" i="1" s="1"/>
  <c r="E306" i="1"/>
  <c r="F32" i="19"/>
  <c r="F58" i="19"/>
  <c r="G53" i="19" s="1"/>
  <c r="G55" i="19" s="1"/>
  <c r="F22" i="19"/>
  <c r="F59" i="19"/>
  <c r="F69" i="19"/>
  <c r="F70" i="19" s="1"/>
  <c r="F78" i="19" s="1"/>
  <c r="F82" i="19" s="1"/>
  <c r="F89" i="19"/>
  <c r="F67" i="19"/>
  <c r="F66" i="19"/>
  <c r="G62" i="19" s="1"/>
  <c r="G63" i="19" s="1"/>
  <c r="M35" i="1"/>
  <c r="M39" i="1" s="1"/>
  <c r="N30" i="1"/>
  <c r="J38" i="1"/>
  <c r="J41" i="1" s="1"/>
  <c r="N90" i="1"/>
  <c r="K28" i="1"/>
  <c r="L29" i="1"/>
  <c r="K34" i="1"/>
  <c r="N31" i="1"/>
  <c r="M36" i="1"/>
  <c r="M40" i="1" s="1"/>
  <c r="H69" i="1"/>
  <c r="G323" i="1"/>
  <c r="G225" i="1"/>
  <c r="G274" i="1"/>
  <c r="G95" i="1"/>
  <c r="L45" i="1"/>
  <c r="N59" i="1"/>
  <c r="K62" i="1"/>
  <c r="O37" i="19" l="1"/>
  <c r="N38" i="19"/>
  <c r="E79" i="1"/>
  <c r="B79" i="1" s="1"/>
  <c r="B80" i="1" s="1"/>
  <c r="B81" i="1" s="1"/>
  <c r="H55" i="12"/>
  <c r="F80" i="1"/>
  <c r="H79" i="1"/>
  <c r="H80" i="1" s="1"/>
  <c r="H52" i="1"/>
  <c r="G4" i="7"/>
  <c r="J46" i="1"/>
  <c r="I50" i="1"/>
  <c r="I53" i="1" s="1"/>
  <c r="F80" i="19"/>
  <c r="F344" i="1"/>
  <c r="F345" i="1" s="1"/>
  <c r="E355" i="1"/>
  <c r="F79" i="19"/>
  <c r="G74" i="19" s="1"/>
  <c r="G81" i="19" s="1"/>
  <c r="F96" i="19"/>
  <c r="F91" i="19"/>
  <c r="F90" i="19"/>
  <c r="O30" i="1"/>
  <c r="N35" i="1"/>
  <c r="N39" i="1" s="1"/>
  <c r="M45" i="1"/>
  <c r="G83" i="1"/>
  <c r="G81" i="1"/>
  <c r="F5" i="7"/>
  <c r="F6" i="7" s="1"/>
  <c r="I69" i="1"/>
  <c r="O31" i="1"/>
  <c r="N36" i="1"/>
  <c r="N40" i="1" s="1"/>
  <c r="O90" i="1"/>
  <c r="N93" i="1"/>
  <c r="G273" i="1"/>
  <c r="G322" i="1"/>
  <c r="G224" i="1"/>
  <c r="G97" i="1"/>
  <c r="F83" i="19"/>
  <c r="F84" i="19" s="1"/>
  <c r="F92" i="19"/>
  <c r="L28" i="1"/>
  <c r="M29" i="1"/>
  <c r="L34" i="1"/>
  <c r="K38" i="1"/>
  <c r="K41" i="1" s="1"/>
  <c r="L62" i="1"/>
  <c r="O59" i="1"/>
  <c r="P37" i="19" l="1"/>
  <c r="O38" i="19"/>
  <c r="E5" i="7"/>
  <c r="E6" i="7" s="1"/>
  <c r="E80" i="1"/>
  <c r="F83" i="1"/>
  <c r="D163" i="1"/>
  <c r="F81" i="1"/>
  <c r="I55" i="12"/>
  <c r="H56" i="12"/>
  <c r="H4" i="7"/>
  <c r="I79" i="1"/>
  <c r="I80" i="1" s="1"/>
  <c r="I52" i="1"/>
  <c r="K46" i="1"/>
  <c r="J50" i="1"/>
  <c r="J53" i="1" s="1"/>
  <c r="G75" i="19"/>
  <c r="O35" i="1"/>
  <c r="O39" i="1" s="1"/>
  <c r="P30" i="1"/>
  <c r="L38" i="1"/>
  <c r="L41" i="1" s="1"/>
  <c r="G226" i="1"/>
  <c r="G275" i="1"/>
  <c r="G324" i="1"/>
  <c r="H92" i="1"/>
  <c r="P31" i="1"/>
  <c r="O36" i="1"/>
  <c r="O40" i="1" s="1"/>
  <c r="F85" i="19"/>
  <c r="F93" i="19" s="1"/>
  <c r="N320" i="1"/>
  <c r="M113" i="1"/>
  <c r="M335" i="1" s="1"/>
  <c r="J69" i="1"/>
  <c r="O93" i="1"/>
  <c r="P90" i="1"/>
  <c r="F7" i="7"/>
  <c r="F11" i="7"/>
  <c r="F14" i="7" s="1"/>
  <c r="N45" i="1"/>
  <c r="N29" i="1"/>
  <c r="M34" i="1"/>
  <c r="M28" i="1"/>
  <c r="H81" i="1"/>
  <c r="G5" i="7"/>
  <c r="G6" i="7" s="1"/>
  <c r="H83" i="1"/>
  <c r="G85" i="1"/>
  <c r="G99" i="1"/>
  <c r="G98" i="1"/>
  <c r="P59" i="1"/>
  <c r="M62" i="1"/>
  <c r="Q37" i="19" l="1"/>
  <c r="P38" i="19"/>
  <c r="D164" i="1"/>
  <c r="E164" i="1" s="1"/>
  <c r="E165" i="1" s="1"/>
  <c r="D7" i="1" s="1"/>
  <c r="E163" i="1"/>
  <c r="I56" i="12"/>
  <c r="H58" i="12"/>
  <c r="H61" i="12"/>
  <c r="I61" i="12" s="1"/>
  <c r="F85" i="1"/>
  <c r="G88" i="1" s="1"/>
  <c r="F99" i="1"/>
  <c r="F98" i="1"/>
  <c r="E81" i="1"/>
  <c r="E83" i="1"/>
  <c r="E85" i="1" s="1"/>
  <c r="E7" i="7"/>
  <c r="E11" i="7"/>
  <c r="E14" i="7" s="1"/>
  <c r="I4" i="7"/>
  <c r="J79" i="1"/>
  <c r="J80" i="1" s="1"/>
  <c r="J52" i="1"/>
  <c r="L46" i="1"/>
  <c r="K50" i="1"/>
  <c r="K53" i="1" s="1"/>
  <c r="P35" i="1"/>
  <c r="P39" i="1" s="1"/>
  <c r="Q30" i="1"/>
  <c r="H221" i="1"/>
  <c r="H270" i="1"/>
  <c r="H319" i="1"/>
  <c r="H96" i="1"/>
  <c r="N34" i="1"/>
  <c r="N28" i="1"/>
  <c r="O29" i="1"/>
  <c r="N113" i="1"/>
  <c r="N335" i="1" s="1"/>
  <c r="O320" i="1"/>
  <c r="K69" i="1"/>
  <c r="P36" i="1"/>
  <c r="P40" i="1" s="1"/>
  <c r="Q31" i="1"/>
  <c r="H85" i="1"/>
  <c r="H99" i="1"/>
  <c r="H98" i="1"/>
  <c r="O45" i="1"/>
  <c r="G7" i="7"/>
  <c r="G11" i="7"/>
  <c r="M38" i="1"/>
  <c r="M41" i="1" s="1"/>
  <c r="P108" i="1"/>
  <c r="Q90" i="1"/>
  <c r="H5" i="7"/>
  <c r="H6" i="7" s="1"/>
  <c r="I83" i="1"/>
  <c r="I81" i="1"/>
  <c r="F97" i="19"/>
  <c r="F95" i="19"/>
  <c r="F94" i="19"/>
  <c r="G267" i="1"/>
  <c r="G102" i="1"/>
  <c r="G104" i="1"/>
  <c r="G192" i="1"/>
  <c r="G316" i="1"/>
  <c r="G141" i="1"/>
  <c r="G87" i="1"/>
  <c r="N91" i="1"/>
  <c r="N111" i="1" s="1"/>
  <c r="Q59" i="1"/>
  <c r="N62" i="1"/>
  <c r="Q47" i="19" l="1"/>
  <c r="Q38" i="19"/>
  <c r="Q74" i="19"/>
  <c r="Q39" i="19"/>
  <c r="R37" i="19"/>
  <c r="Q67" i="19"/>
  <c r="Q54" i="19"/>
  <c r="Q53" i="19"/>
  <c r="Q66" i="19"/>
  <c r="Q65" i="19"/>
  <c r="Q89" i="19" s="1"/>
  <c r="Q64" i="19"/>
  <c r="Q62" i="19"/>
  <c r="Q63" i="19" s="1"/>
  <c r="F141" i="1"/>
  <c r="F192" i="1"/>
  <c r="F102" i="1"/>
  <c r="D8" i="1"/>
  <c r="F88" i="1"/>
  <c r="F104" i="1"/>
  <c r="F87" i="1"/>
  <c r="D84" i="2"/>
  <c r="D85" i="2" s="1"/>
  <c r="F316" i="1"/>
  <c r="F267" i="1"/>
  <c r="B85" i="1"/>
  <c r="B27" i="16"/>
  <c r="J4" i="7"/>
  <c r="K79" i="1"/>
  <c r="K80" i="1" s="1"/>
  <c r="K52" i="1"/>
  <c r="M46" i="1"/>
  <c r="L50" i="1"/>
  <c r="L53" i="1" s="1"/>
  <c r="L79" i="1" s="1"/>
  <c r="Q35" i="1"/>
  <c r="Q39" i="1" s="1"/>
  <c r="R30" i="1"/>
  <c r="E48" i="8"/>
  <c r="F142" i="1"/>
  <c r="G328" i="1"/>
  <c r="G103" i="1"/>
  <c r="G230" i="1"/>
  <c r="G279" i="1"/>
  <c r="F98" i="19"/>
  <c r="F99" i="19" s="1"/>
  <c r="F100" i="19" s="1"/>
  <c r="F104" i="19" s="1"/>
  <c r="F21" i="19" s="1"/>
  <c r="F24" i="19" s="1"/>
  <c r="P45" i="1"/>
  <c r="Q36" i="1"/>
  <c r="Q40" i="1" s="1"/>
  <c r="R31" i="1"/>
  <c r="O34" i="1"/>
  <c r="O28" i="1"/>
  <c r="P29" i="1"/>
  <c r="G199" i="1"/>
  <c r="G207" i="1"/>
  <c r="G211" i="1"/>
  <c r="G218" i="1"/>
  <c r="Q108" i="1"/>
  <c r="R90" i="1"/>
  <c r="Q93" i="1"/>
  <c r="G330" i="1"/>
  <c r="G338" i="1" s="1"/>
  <c r="G281" i="1"/>
  <c r="G289" i="1" s="1"/>
  <c r="G232" i="1"/>
  <c r="G240" i="1" s="1"/>
  <c r="G115" i="1"/>
  <c r="I85" i="1"/>
  <c r="J81" i="1"/>
  <c r="I5" i="7"/>
  <c r="I6" i="7" s="1"/>
  <c r="J83" i="1"/>
  <c r="N38" i="1"/>
  <c r="N41" i="1" s="1"/>
  <c r="H7" i="7"/>
  <c r="H267" i="1"/>
  <c r="H192" i="1"/>
  <c r="H316" i="1"/>
  <c r="H87" i="1"/>
  <c r="H88" i="1"/>
  <c r="H104" i="1"/>
  <c r="H102" i="1"/>
  <c r="H141" i="1"/>
  <c r="L69" i="1"/>
  <c r="H225" i="1"/>
  <c r="H323" i="1"/>
  <c r="H274" i="1"/>
  <c r="H95" i="1"/>
  <c r="O62" i="1"/>
  <c r="R59" i="1"/>
  <c r="Q90" i="19" l="1"/>
  <c r="Q97" i="19"/>
  <c r="Q91" i="19"/>
  <c r="Q94" i="19"/>
  <c r="Q104" i="19"/>
  <c r="Q92" i="19"/>
  <c r="Q93" i="19"/>
  <c r="Q100" i="19"/>
  <c r="Q95" i="19"/>
  <c r="Q98" i="19"/>
  <c r="Q99" i="19"/>
  <c r="Q96" i="19"/>
  <c r="Q57" i="19"/>
  <c r="Q60" i="19" s="1"/>
  <c r="Q77" i="19" s="1"/>
  <c r="Q55" i="19"/>
  <c r="Q59" i="19"/>
  <c r="Q70" i="19"/>
  <c r="Q58" i="19"/>
  <c r="Q69" i="19"/>
  <c r="Q56" i="19"/>
  <c r="Q22" i="19" s="1"/>
  <c r="R54" i="19"/>
  <c r="R53" i="19"/>
  <c r="R67" i="19"/>
  <c r="R66" i="19"/>
  <c r="R39" i="19"/>
  <c r="R64" i="19"/>
  <c r="R62" i="19"/>
  <c r="R63" i="19" s="1"/>
  <c r="R38" i="19"/>
  <c r="R65" i="19"/>
  <c r="R89" i="19" s="1"/>
  <c r="S37" i="19"/>
  <c r="R47" i="19"/>
  <c r="R74" i="19"/>
  <c r="Q40" i="19"/>
  <c r="Q41" i="19"/>
  <c r="Q42" i="19" s="1"/>
  <c r="Q19" i="19"/>
  <c r="Q82" i="19"/>
  <c r="Q83" i="19"/>
  <c r="Q85" i="19"/>
  <c r="Q80" i="19"/>
  <c r="Q84" i="19"/>
  <c r="Q79" i="19"/>
  <c r="Q75" i="19"/>
  <c r="Q76" i="19"/>
  <c r="Q81" i="19"/>
  <c r="Q78" i="19"/>
  <c r="F27" i="16"/>
  <c r="G27" i="16"/>
  <c r="H9" i="8"/>
  <c r="B8" i="7"/>
  <c r="F232" i="1"/>
  <c r="F240" i="1" s="1"/>
  <c r="F248" i="1" s="1"/>
  <c r="F249" i="1" s="1"/>
  <c r="F330" i="1"/>
  <c r="F338" i="1" s="1"/>
  <c r="F346" i="1" s="1"/>
  <c r="F348" i="1" s="1"/>
  <c r="F115" i="1"/>
  <c r="F281" i="1"/>
  <c r="F289" i="1" s="1"/>
  <c r="F297" i="1" s="1"/>
  <c r="F298" i="1" s="1"/>
  <c r="G295" i="1" s="1"/>
  <c r="F230" i="1"/>
  <c r="F279" i="1"/>
  <c r="F328" i="1"/>
  <c r="F103" i="1"/>
  <c r="F211" i="1"/>
  <c r="F218" i="1"/>
  <c r="F207" i="1"/>
  <c r="F199" i="1"/>
  <c r="N46" i="1"/>
  <c r="M50" i="1"/>
  <c r="M53" i="1" s="1"/>
  <c r="M79" i="1" s="1"/>
  <c r="R35" i="1"/>
  <c r="R39" i="1" s="1"/>
  <c r="S30" i="1"/>
  <c r="I7" i="7"/>
  <c r="R93" i="1"/>
  <c r="R108" i="1"/>
  <c r="S90" i="1"/>
  <c r="O38" i="1"/>
  <c r="O41" i="1" s="1"/>
  <c r="H279" i="1"/>
  <c r="H328" i="1"/>
  <c r="H103" i="1"/>
  <c r="H230" i="1"/>
  <c r="H39" i="19"/>
  <c r="G116" i="1"/>
  <c r="H224" i="1"/>
  <c r="H273" i="1"/>
  <c r="H322" i="1"/>
  <c r="H97" i="1"/>
  <c r="K81" i="1"/>
  <c r="K83" i="1"/>
  <c r="K85" i="1" s="1"/>
  <c r="J5" i="7"/>
  <c r="J6" i="7" s="1"/>
  <c r="J7" i="7" s="1"/>
  <c r="H330" i="1"/>
  <c r="H232" i="1"/>
  <c r="H281" i="1"/>
  <c r="H211" i="1"/>
  <c r="H207" i="1"/>
  <c r="H218" i="1"/>
  <c r="H238" i="1" s="1"/>
  <c r="H195" i="1"/>
  <c r="H199" i="1" s="1"/>
  <c r="I102" i="1"/>
  <c r="I88" i="1"/>
  <c r="I267" i="1"/>
  <c r="I316" i="1"/>
  <c r="I87" i="1"/>
  <c r="I192" i="1"/>
  <c r="P28" i="1"/>
  <c r="P34" i="1"/>
  <c r="Q29" i="1"/>
  <c r="Q45" i="1"/>
  <c r="F105" i="19"/>
  <c r="F106" i="19" s="1"/>
  <c r="F107" i="19" s="1"/>
  <c r="M69" i="1"/>
  <c r="L80" i="1"/>
  <c r="L83" i="1" s="1"/>
  <c r="L85" i="1" s="1"/>
  <c r="J85" i="1"/>
  <c r="J86" i="1" s="1"/>
  <c r="K86" i="1" s="1"/>
  <c r="P113" i="1"/>
  <c r="R36" i="1"/>
  <c r="R40" i="1" s="1"/>
  <c r="S31" i="1"/>
  <c r="S59" i="1"/>
  <c r="P62" i="1"/>
  <c r="Q43" i="19" l="1"/>
  <c r="Q45" i="19"/>
  <c r="Q46" i="19" s="1"/>
  <c r="Q24" i="19"/>
  <c r="Q28" i="19"/>
  <c r="Q31" i="19"/>
  <c r="Q21" i="19"/>
  <c r="Q29" i="19" s="1"/>
  <c r="Q34" i="19"/>
  <c r="Q32" i="19"/>
  <c r="R58" i="19"/>
  <c r="R56" i="19"/>
  <c r="R22" i="19" s="1"/>
  <c r="R70" i="19"/>
  <c r="R57" i="19"/>
  <c r="R60" i="19" s="1"/>
  <c r="R77" i="19" s="1"/>
  <c r="R69" i="19"/>
  <c r="R55" i="19"/>
  <c r="R59" i="19"/>
  <c r="R83" i="19"/>
  <c r="R82" i="19"/>
  <c r="R75" i="19"/>
  <c r="R79" i="19"/>
  <c r="R81" i="19"/>
  <c r="R85" i="19"/>
  <c r="R78" i="19"/>
  <c r="R84" i="19"/>
  <c r="R76" i="19"/>
  <c r="R80" i="19"/>
  <c r="S74" i="19"/>
  <c r="S66" i="19"/>
  <c r="S65" i="19"/>
  <c r="S89" i="19" s="1"/>
  <c r="S64" i="19"/>
  <c r="S62" i="19"/>
  <c r="S63" i="19" s="1"/>
  <c r="S39" i="19"/>
  <c r="S54" i="19"/>
  <c r="S53" i="19"/>
  <c r="S67" i="19"/>
  <c r="T37" i="19"/>
  <c r="S47" i="19"/>
  <c r="S38" i="19"/>
  <c r="Q107" i="19"/>
  <c r="Q106" i="19"/>
  <c r="Q105" i="19"/>
  <c r="R40" i="19"/>
  <c r="R41" i="19"/>
  <c r="R42" i="19" s="1"/>
  <c r="R19" i="19"/>
  <c r="R91" i="19"/>
  <c r="R90" i="19"/>
  <c r="R95" i="19"/>
  <c r="R104" i="19"/>
  <c r="R100" i="19"/>
  <c r="R92" i="19"/>
  <c r="R97" i="19"/>
  <c r="R94" i="19"/>
  <c r="R98" i="19"/>
  <c r="R96" i="19"/>
  <c r="R99" i="19"/>
  <c r="R93" i="19"/>
  <c r="J102" i="1"/>
  <c r="F347" i="1"/>
  <c r="G344" i="1" s="1"/>
  <c r="G345" i="1" s="1"/>
  <c r="G346" i="1" s="1"/>
  <c r="G348" i="1" s="1"/>
  <c r="F250" i="1"/>
  <c r="F252" i="1" s="1"/>
  <c r="F255" i="1" s="1"/>
  <c r="F257" i="1" s="1"/>
  <c r="E200" i="1"/>
  <c r="D169" i="1" s="1"/>
  <c r="E20" i="1" s="1"/>
  <c r="F299" i="1"/>
  <c r="F302" i="1" s="1"/>
  <c r="F305" i="1" s="1"/>
  <c r="F123" i="1"/>
  <c r="F116" i="1"/>
  <c r="C25" i="1" s="1"/>
  <c r="G39" i="19"/>
  <c r="O46" i="1"/>
  <c r="N50" i="1"/>
  <c r="N53" i="1" s="1"/>
  <c r="N79" i="1" s="1"/>
  <c r="T30" i="1"/>
  <c r="S35" i="1"/>
  <c r="S39" i="1" s="1"/>
  <c r="F28" i="19"/>
  <c r="F34" i="19" s="1"/>
  <c r="Q28" i="1"/>
  <c r="Q34" i="1"/>
  <c r="R29" i="1"/>
  <c r="H40" i="19"/>
  <c r="H41" i="19"/>
  <c r="H42" i="19" s="1"/>
  <c r="Q113" i="1"/>
  <c r="Q91" i="1"/>
  <c r="Q111" i="1" s="1"/>
  <c r="L192" i="1"/>
  <c r="L211" i="1" s="1"/>
  <c r="L316" i="1"/>
  <c r="L88" i="1"/>
  <c r="L102" i="1"/>
  <c r="L87" i="1"/>
  <c r="P38" i="1"/>
  <c r="P41" i="1" s="1"/>
  <c r="F351" i="1"/>
  <c r="F354" i="1" s="1"/>
  <c r="F350" i="1"/>
  <c r="F353" i="1" s="1"/>
  <c r="F355" i="1" s="1"/>
  <c r="I279" i="1"/>
  <c r="I103" i="1"/>
  <c r="I328" i="1"/>
  <c r="K102" i="1"/>
  <c r="K192" i="1"/>
  <c r="K211" i="1" s="1"/>
  <c r="K87" i="1"/>
  <c r="K88" i="1"/>
  <c r="K316" i="1"/>
  <c r="G296" i="1"/>
  <c r="G297" i="1" s="1"/>
  <c r="G299" i="1" s="1"/>
  <c r="T31" i="1"/>
  <c r="S36" i="1"/>
  <c r="S40" i="1" s="1"/>
  <c r="J316" i="1"/>
  <c r="J88" i="1"/>
  <c r="J192" i="1"/>
  <c r="J87" i="1"/>
  <c r="C23" i="1" s="1"/>
  <c r="J267" i="1"/>
  <c r="J287" i="1" s="1"/>
  <c r="N69" i="1"/>
  <c r="M80" i="1"/>
  <c r="M83" i="1" s="1"/>
  <c r="M85" i="1" s="1"/>
  <c r="I211" i="1"/>
  <c r="I207" i="1"/>
  <c r="S93" i="1"/>
  <c r="T90" i="1"/>
  <c r="S108" i="1"/>
  <c r="R45" i="1"/>
  <c r="H226" i="1"/>
  <c r="H239" i="1" s="1"/>
  <c r="H275" i="1"/>
  <c r="H324" i="1"/>
  <c r="I92" i="1"/>
  <c r="I93" i="1" s="1"/>
  <c r="Q62" i="1"/>
  <c r="T59" i="1"/>
  <c r="T47" i="19" l="1"/>
  <c r="T67" i="19"/>
  <c r="U37" i="19"/>
  <c r="T38" i="19"/>
  <c r="T74" i="19"/>
  <c r="T62" i="19"/>
  <c r="T63" i="19" s="1"/>
  <c r="T39" i="19"/>
  <c r="T54" i="19"/>
  <c r="T53" i="19"/>
  <c r="T66" i="19"/>
  <c r="T65" i="19"/>
  <c r="T89" i="19" s="1"/>
  <c r="T64" i="19"/>
  <c r="R21" i="19"/>
  <c r="R29" i="19" s="1"/>
  <c r="R31" i="19"/>
  <c r="R24" i="19"/>
  <c r="R28" i="19"/>
  <c r="R34" i="19"/>
  <c r="R32" i="19"/>
  <c r="S40" i="19"/>
  <c r="S19" i="19"/>
  <c r="S41" i="19"/>
  <c r="S42" i="19" s="1"/>
  <c r="R43" i="19"/>
  <c r="R45" i="19"/>
  <c r="R46" i="19" s="1"/>
  <c r="S90" i="19"/>
  <c r="S98" i="19"/>
  <c r="S104" i="19"/>
  <c r="S99" i="19"/>
  <c r="S92" i="19"/>
  <c r="S95" i="19"/>
  <c r="S97" i="19"/>
  <c r="S93" i="19"/>
  <c r="S100" i="19"/>
  <c r="S91" i="19"/>
  <c r="S96" i="19"/>
  <c r="S94" i="19"/>
  <c r="Q30" i="19"/>
  <c r="R106" i="19"/>
  <c r="R105" i="19"/>
  <c r="R107" i="19"/>
  <c r="S57" i="19"/>
  <c r="S60" i="19" s="1"/>
  <c r="S77" i="19" s="1"/>
  <c r="S56" i="19"/>
  <c r="S22" i="19" s="1"/>
  <c r="S59" i="19"/>
  <c r="S70" i="19"/>
  <c r="S58" i="19"/>
  <c r="S55" i="19"/>
  <c r="S69" i="19"/>
  <c r="S75" i="19"/>
  <c r="S82" i="19"/>
  <c r="S83" i="19"/>
  <c r="S78" i="19"/>
  <c r="S79" i="19"/>
  <c r="S76" i="19"/>
  <c r="S85" i="19"/>
  <c r="S80" i="19"/>
  <c r="S84" i="19"/>
  <c r="S81" i="19"/>
  <c r="I320" i="1"/>
  <c r="H113" i="1"/>
  <c r="I271" i="1"/>
  <c r="H91" i="1"/>
  <c r="F253" i="1"/>
  <c r="F256" i="1" s="1"/>
  <c r="G117" i="1"/>
  <c r="F301" i="1"/>
  <c r="F304" i="1" s="1"/>
  <c r="F306" i="1" s="1"/>
  <c r="G41" i="19"/>
  <c r="G42" i="19" s="1"/>
  <c r="G19" i="19"/>
  <c r="G40" i="19"/>
  <c r="F125" i="1"/>
  <c r="F124" i="1"/>
  <c r="G121" i="1" s="1"/>
  <c r="P46" i="1"/>
  <c r="O50" i="1"/>
  <c r="O53" i="1" s="1"/>
  <c r="O79" i="1" s="1"/>
  <c r="U30" i="1"/>
  <c r="T35" i="1"/>
  <c r="T39" i="1" s="1"/>
  <c r="G347" i="1"/>
  <c r="H344" i="1" s="1"/>
  <c r="H345" i="1" s="1"/>
  <c r="G298" i="1"/>
  <c r="H295" i="1" s="1"/>
  <c r="H296" i="1" s="1"/>
  <c r="R113" i="1"/>
  <c r="O69" i="1"/>
  <c r="N80" i="1"/>
  <c r="N83" i="1" s="1"/>
  <c r="N85" i="1" s="1"/>
  <c r="L328" i="1"/>
  <c r="L103" i="1"/>
  <c r="R34" i="1"/>
  <c r="S29" i="1"/>
  <c r="R28" i="1"/>
  <c r="G302" i="1"/>
  <c r="G305" i="1" s="1"/>
  <c r="G301" i="1"/>
  <c r="G304" i="1" s="1"/>
  <c r="G306" i="1" s="1"/>
  <c r="Q38" i="1"/>
  <c r="Q41" i="1" s="1"/>
  <c r="I270" i="1"/>
  <c r="I319" i="1"/>
  <c r="I96" i="1"/>
  <c r="S45" i="1"/>
  <c r="B34" i="8"/>
  <c r="C34" i="8" s="1"/>
  <c r="J328" i="1"/>
  <c r="J103" i="1"/>
  <c r="J279" i="1"/>
  <c r="J211" i="1"/>
  <c r="J206" i="1"/>
  <c r="J207" i="1" s="1"/>
  <c r="E208" i="1" s="1"/>
  <c r="E169" i="1" s="1"/>
  <c r="F20" i="1" s="1"/>
  <c r="U31" i="1"/>
  <c r="T36" i="1"/>
  <c r="T40" i="1" s="1"/>
  <c r="H43" i="19"/>
  <c r="H45" i="19"/>
  <c r="H46" i="19" s="1"/>
  <c r="T93" i="1"/>
  <c r="T108" i="1"/>
  <c r="U90" i="1"/>
  <c r="M316" i="1"/>
  <c r="M192" i="1"/>
  <c r="M211" i="1" s="1"/>
  <c r="M88" i="1"/>
  <c r="M87" i="1"/>
  <c r="M102" i="1"/>
  <c r="K103" i="1"/>
  <c r="K328" i="1"/>
  <c r="R91" i="1"/>
  <c r="R111" i="1" s="1"/>
  <c r="G350" i="1"/>
  <c r="G353" i="1" s="1"/>
  <c r="G355" i="1" s="1"/>
  <c r="G351" i="1"/>
  <c r="G354" i="1" s="1"/>
  <c r="U59" i="1"/>
  <c r="R62" i="1"/>
  <c r="S45" i="19" l="1"/>
  <c r="S46" i="19" s="1"/>
  <c r="S43" i="19"/>
  <c r="T40" i="19"/>
  <c r="T41" i="19"/>
  <c r="T42" i="19" s="1"/>
  <c r="T19" i="19"/>
  <c r="S31" i="19"/>
  <c r="S32" i="19"/>
  <c r="S28" i="19"/>
  <c r="S21" i="19"/>
  <c r="S29" i="19" s="1"/>
  <c r="S24" i="19"/>
  <c r="S34" i="19"/>
  <c r="T90" i="19"/>
  <c r="T99" i="19"/>
  <c r="T96" i="19"/>
  <c r="T104" i="19"/>
  <c r="T100" i="19"/>
  <c r="T95" i="19"/>
  <c r="T92" i="19"/>
  <c r="T91" i="19"/>
  <c r="T98" i="19"/>
  <c r="T94" i="19"/>
  <c r="T93" i="19"/>
  <c r="T97" i="19"/>
  <c r="T69" i="19"/>
  <c r="T59" i="19"/>
  <c r="T55" i="19"/>
  <c r="T58" i="19"/>
  <c r="T56" i="19"/>
  <c r="T22" i="19" s="1"/>
  <c r="T70" i="19"/>
  <c r="T57" i="19"/>
  <c r="T60" i="19" s="1"/>
  <c r="T77" i="19" s="1"/>
  <c r="R30" i="19"/>
  <c r="T81" i="19"/>
  <c r="T85" i="19"/>
  <c r="T78" i="19"/>
  <c r="T76" i="19"/>
  <c r="T75" i="19"/>
  <c r="T83" i="19"/>
  <c r="T84" i="19"/>
  <c r="T80" i="19"/>
  <c r="T82" i="19"/>
  <c r="T79" i="19"/>
  <c r="S107" i="19"/>
  <c r="S106" i="19"/>
  <c r="S105" i="19"/>
  <c r="U54" i="19"/>
  <c r="U53" i="19"/>
  <c r="U38" i="19"/>
  <c r="U66" i="19"/>
  <c r="U65" i="19"/>
  <c r="U89" i="19" s="1"/>
  <c r="U64" i="19"/>
  <c r="U62" i="19"/>
  <c r="U63" i="19" s="1"/>
  <c r="U39" i="19"/>
  <c r="U47" i="19"/>
  <c r="U74" i="19"/>
  <c r="U67" i="19"/>
  <c r="H286" i="1"/>
  <c r="H289" i="1" s="1"/>
  <c r="H297" i="1" s="1"/>
  <c r="H299" i="1" s="1"/>
  <c r="H301" i="1" s="1"/>
  <c r="H304" i="1" s="1"/>
  <c r="H306" i="1" s="1"/>
  <c r="G13" i="7"/>
  <c r="G14" i="7" s="1"/>
  <c r="H237" i="1"/>
  <c r="H240" i="1" s="1"/>
  <c r="E242" i="1" s="1"/>
  <c r="D170" i="1" s="1"/>
  <c r="E21" i="1" s="1"/>
  <c r="H335" i="1"/>
  <c r="H338" i="1" s="1"/>
  <c r="H346" i="1" s="1"/>
  <c r="H348" i="1" s="1"/>
  <c r="H351" i="1" s="1"/>
  <c r="H354" i="1" s="1"/>
  <c r="H115" i="1"/>
  <c r="F128" i="1"/>
  <c r="F131" i="1" s="1"/>
  <c r="F127" i="1"/>
  <c r="F130" i="1" s="1"/>
  <c r="G246" i="1"/>
  <c r="G247" i="1" s="1"/>
  <c r="G248" i="1" s="1"/>
  <c r="G250" i="1" s="1"/>
  <c r="G253" i="1" s="1"/>
  <c r="G256" i="1" s="1"/>
  <c r="G122" i="1"/>
  <c r="G123" i="1" s="1"/>
  <c r="G125" i="1" s="1"/>
  <c r="G127" i="1" s="1"/>
  <c r="G130" i="1" s="1"/>
  <c r="H19" i="19"/>
  <c r="G31" i="19"/>
  <c r="G43" i="19"/>
  <c r="G45" i="19"/>
  <c r="G46" i="19" s="1"/>
  <c r="Q46" i="1"/>
  <c r="P50" i="1"/>
  <c r="P53" i="1" s="1"/>
  <c r="P79" i="1" s="1"/>
  <c r="S91" i="1"/>
  <c r="S111" i="1" s="1"/>
  <c r="H47" i="19"/>
  <c r="H64" i="19" s="1"/>
  <c r="V30" i="1"/>
  <c r="U35" i="1"/>
  <c r="U39" i="1" s="1"/>
  <c r="P69" i="1"/>
  <c r="O80" i="1"/>
  <c r="O83" i="1" s="1"/>
  <c r="S113" i="1"/>
  <c r="U36" i="1"/>
  <c r="U40" i="1" s="1"/>
  <c r="V31" i="1"/>
  <c r="V90" i="1"/>
  <c r="U108" i="1"/>
  <c r="U93" i="1"/>
  <c r="T45" i="1"/>
  <c r="N316" i="1"/>
  <c r="N102" i="1"/>
  <c r="N192" i="1"/>
  <c r="N211" i="1" s="1"/>
  <c r="M103" i="1"/>
  <c r="M328" i="1"/>
  <c r="S34" i="1"/>
  <c r="T29" i="1"/>
  <c r="S28" i="1"/>
  <c r="I323" i="1"/>
  <c r="I274" i="1"/>
  <c r="I141" i="1"/>
  <c r="R38" i="1"/>
  <c r="R41" i="1" s="1"/>
  <c r="S62" i="1"/>
  <c r="V59" i="1"/>
  <c r="U55" i="19" l="1"/>
  <c r="U70" i="19"/>
  <c r="U57" i="19"/>
  <c r="U60" i="19" s="1"/>
  <c r="U77" i="19" s="1"/>
  <c r="U69" i="19"/>
  <c r="U58" i="19"/>
  <c r="U56" i="19"/>
  <c r="U22" i="19" s="1"/>
  <c r="U59" i="19"/>
  <c r="S30" i="19"/>
  <c r="T21" i="19"/>
  <c r="T29" i="19" s="1"/>
  <c r="T24" i="19"/>
  <c r="T31" i="19"/>
  <c r="T28" i="19"/>
  <c r="T34" i="19"/>
  <c r="T32" i="19"/>
  <c r="U81" i="19"/>
  <c r="U78" i="19"/>
  <c r="U82" i="19"/>
  <c r="U75" i="19"/>
  <c r="U79" i="19"/>
  <c r="U83" i="19"/>
  <c r="U80" i="19"/>
  <c r="U76" i="19"/>
  <c r="U84" i="19"/>
  <c r="U85" i="19"/>
  <c r="U40" i="19"/>
  <c r="U19" i="19"/>
  <c r="U41" i="19"/>
  <c r="U42" i="19" s="1"/>
  <c r="T43" i="19"/>
  <c r="T45" i="19"/>
  <c r="T46" i="19" s="1"/>
  <c r="T107" i="19"/>
  <c r="T106" i="19"/>
  <c r="T105" i="19"/>
  <c r="U104" i="19"/>
  <c r="U93" i="19"/>
  <c r="U98" i="19"/>
  <c r="U92" i="19"/>
  <c r="U90" i="19"/>
  <c r="U95" i="19"/>
  <c r="U91" i="19"/>
  <c r="U96" i="19"/>
  <c r="U97" i="19"/>
  <c r="U94" i="19"/>
  <c r="U100" i="19"/>
  <c r="U99" i="19"/>
  <c r="H298" i="1"/>
  <c r="I295" i="1" s="1"/>
  <c r="I296" i="1" s="1"/>
  <c r="H347" i="1"/>
  <c r="I344" i="1" s="1"/>
  <c r="I345" i="1" s="1"/>
  <c r="H302" i="1"/>
  <c r="H305" i="1" s="1"/>
  <c r="H350" i="1"/>
  <c r="H353" i="1" s="1"/>
  <c r="H355" i="1" s="1"/>
  <c r="I39" i="19"/>
  <c r="I19" i="19" s="1"/>
  <c r="H116" i="1"/>
  <c r="H117" i="1" s="1"/>
  <c r="G252" i="1"/>
  <c r="G255" i="1" s="1"/>
  <c r="G257" i="1" s="1"/>
  <c r="G47" i="19"/>
  <c r="G57" i="19" s="1"/>
  <c r="G249" i="1"/>
  <c r="H31" i="19"/>
  <c r="F133" i="1"/>
  <c r="F143" i="1"/>
  <c r="E16" i="7"/>
  <c r="E17" i="7" s="1"/>
  <c r="E46" i="8" s="1"/>
  <c r="E45" i="8" s="1"/>
  <c r="F132" i="1"/>
  <c r="G128" i="1"/>
  <c r="G131" i="1" s="1"/>
  <c r="G132" i="1" s="1"/>
  <c r="G124" i="1"/>
  <c r="H121" i="1" s="1"/>
  <c r="R46" i="1"/>
  <c r="Q50" i="1"/>
  <c r="Q53" i="1" s="1"/>
  <c r="Q79" i="1" s="1"/>
  <c r="V35" i="1"/>
  <c r="V39" i="1" s="1"/>
  <c r="W30" i="1"/>
  <c r="F16" i="7"/>
  <c r="G143" i="1"/>
  <c r="G133" i="1"/>
  <c r="N103" i="1"/>
  <c r="N328" i="1"/>
  <c r="V36" i="1"/>
  <c r="V40" i="1" s="1"/>
  <c r="W31" i="1"/>
  <c r="W90" i="1"/>
  <c r="V93" i="1"/>
  <c r="U91" i="1" s="1"/>
  <c r="U111" i="1" s="1"/>
  <c r="V108" i="1"/>
  <c r="O85" i="1"/>
  <c r="O102" i="1" s="1"/>
  <c r="T28" i="1"/>
  <c r="T34" i="1"/>
  <c r="U29" i="1"/>
  <c r="Q69" i="1"/>
  <c r="P80" i="1"/>
  <c r="P83" i="1" s="1"/>
  <c r="S38" i="1"/>
  <c r="S41" i="1" s="1"/>
  <c r="U45" i="1"/>
  <c r="T113" i="1"/>
  <c r="T91" i="1"/>
  <c r="T111" i="1" s="1"/>
  <c r="W59" i="1"/>
  <c r="T62" i="1"/>
  <c r="T30" i="19" l="1"/>
  <c r="U43" i="19"/>
  <c r="U45" i="19"/>
  <c r="U46" i="19" s="1"/>
  <c r="U24" i="19"/>
  <c r="U31" i="19"/>
  <c r="U34" i="19"/>
  <c r="U32" i="19"/>
  <c r="U28" i="19"/>
  <c r="U21" i="19"/>
  <c r="U29" i="19" s="1"/>
  <c r="U105" i="19"/>
  <c r="U106" i="19"/>
  <c r="U107" i="19"/>
  <c r="I40" i="19"/>
  <c r="I41" i="19"/>
  <c r="I42" i="19" s="1"/>
  <c r="G56" i="19"/>
  <c r="G22" i="19" s="1"/>
  <c r="G60" i="19"/>
  <c r="G54" i="19" s="1"/>
  <c r="G64" i="19"/>
  <c r="G65" i="19"/>
  <c r="G76" i="19"/>
  <c r="H246" i="1"/>
  <c r="H247" i="1" s="1"/>
  <c r="H248" i="1" s="1"/>
  <c r="H250" i="1" s="1"/>
  <c r="H252" i="1" s="1"/>
  <c r="H255" i="1" s="1"/>
  <c r="H257" i="1" s="1"/>
  <c r="H122" i="1"/>
  <c r="S46" i="1"/>
  <c r="R50" i="1"/>
  <c r="R53" i="1" s="1"/>
  <c r="R79" i="1" s="1"/>
  <c r="H26" i="1"/>
  <c r="I26" i="1" s="1"/>
  <c r="X30" i="1"/>
  <c r="W35" i="1"/>
  <c r="W39" i="1" s="1"/>
  <c r="F17" i="7"/>
  <c r="F46" i="8" s="1"/>
  <c r="F45" i="8" s="1"/>
  <c r="G134" i="1"/>
  <c r="U113" i="1"/>
  <c r="O316" i="1"/>
  <c r="O336" i="1" s="1"/>
  <c r="O192" i="1"/>
  <c r="T38" i="1"/>
  <c r="T41" i="1" s="1"/>
  <c r="P85" i="1"/>
  <c r="W93" i="1"/>
  <c r="W108" i="1"/>
  <c r="X90" i="1"/>
  <c r="V45" i="1"/>
  <c r="R69" i="1"/>
  <c r="Q80" i="1"/>
  <c r="Q83" i="1" s="1"/>
  <c r="U28" i="1"/>
  <c r="U34" i="1"/>
  <c r="V29" i="1"/>
  <c r="X31" i="1"/>
  <c r="W36" i="1"/>
  <c r="W40" i="1" s="1"/>
  <c r="U62" i="1"/>
  <c r="X59" i="1"/>
  <c r="U30" i="19" l="1"/>
  <c r="I45" i="19"/>
  <c r="I46" i="19" s="1"/>
  <c r="I43" i="19"/>
  <c r="I31" i="19"/>
  <c r="G32" i="19"/>
  <c r="G77" i="19"/>
  <c r="G66" i="19"/>
  <c r="H62" i="19" s="1"/>
  <c r="H63" i="19" s="1"/>
  <c r="H249" i="1"/>
  <c r="G58" i="19"/>
  <c r="H53" i="19" s="1"/>
  <c r="H56" i="19" s="1"/>
  <c r="H22" i="19" s="1"/>
  <c r="G59" i="19"/>
  <c r="G89" i="19"/>
  <c r="G69" i="19"/>
  <c r="G70" i="19" s="1"/>
  <c r="G67" i="19"/>
  <c r="H253" i="1"/>
  <c r="H256" i="1" s="1"/>
  <c r="D174" i="1" s="1"/>
  <c r="H123" i="1"/>
  <c r="H125" i="1" s="1"/>
  <c r="T46" i="1"/>
  <c r="S50" i="1"/>
  <c r="S53" i="1" s="1"/>
  <c r="S79" i="1" s="1"/>
  <c r="Y30" i="1"/>
  <c r="X35" i="1"/>
  <c r="X39" i="1" s="1"/>
  <c r="E260" i="1"/>
  <c r="D172" i="1" s="1"/>
  <c r="E23" i="1" s="1"/>
  <c r="E261" i="1"/>
  <c r="D173" i="1" s="1"/>
  <c r="E24" i="1" s="1"/>
  <c r="E259" i="1"/>
  <c r="D171" i="1" s="1"/>
  <c r="E22" i="1" s="1"/>
  <c r="Q85" i="1"/>
  <c r="O210" i="1"/>
  <c r="O211" i="1" s="1"/>
  <c r="E212" i="1" s="1"/>
  <c r="F169" i="1" s="1"/>
  <c r="G20" i="1" s="1"/>
  <c r="W45" i="1"/>
  <c r="X93" i="1"/>
  <c r="Y90" i="1"/>
  <c r="X108" i="1"/>
  <c r="Y31" i="1"/>
  <c r="X36" i="1"/>
  <c r="X40" i="1" s="1"/>
  <c r="S69" i="1"/>
  <c r="R80" i="1"/>
  <c r="R83" i="1" s="1"/>
  <c r="V113" i="1"/>
  <c r="V91" i="1"/>
  <c r="V111" i="1" s="1"/>
  <c r="U38" i="1"/>
  <c r="U41" i="1" s="1"/>
  <c r="P46" i="19"/>
  <c r="O103" i="1"/>
  <c r="P42" i="19"/>
  <c r="P43" i="19" s="1"/>
  <c r="P45" i="19"/>
  <c r="O328" i="1"/>
  <c r="V34" i="1"/>
  <c r="V28" i="1"/>
  <c r="W29" i="1"/>
  <c r="P102" i="1"/>
  <c r="P103" i="1" s="1"/>
  <c r="Y59" i="1"/>
  <c r="V62" i="1"/>
  <c r="I47" i="19" l="1"/>
  <c r="I64" i="19" s="1"/>
  <c r="G78" i="19"/>
  <c r="G82" i="19" s="1"/>
  <c r="H32" i="19"/>
  <c r="H55" i="19"/>
  <c r="H57" i="19" s="1"/>
  <c r="H59" i="19" s="1"/>
  <c r="G96" i="19"/>
  <c r="G91" i="19"/>
  <c r="G90" i="19"/>
  <c r="H124" i="1"/>
  <c r="I121" i="1" s="1"/>
  <c r="I122" i="1" s="1"/>
  <c r="H127" i="1"/>
  <c r="H130" i="1" s="1"/>
  <c r="H128" i="1"/>
  <c r="H131" i="1" s="1"/>
  <c r="U46" i="1"/>
  <c r="T50" i="1"/>
  <c r="T53" i="1" s="1"/>
  <c r="T79" i="1" s="1"/>
  <c r="W91" i="1"/>
  <c r="W111" i="1" s="1"/>
  <c r="Y35" i="1"/>
  <c r="Y39" i="1" s="1"/>
  <c r="Z30" i="1"/>
  <c r="T69" i="1"/>
  <c r="S80" i="1"/>
  <c r="S83" i="1" s="1"/>
  <c r="V38" i="1"/>
  <c r="V41" i="1" s="1"/>
  <c r="X45" i="1"/>
  <c r="Z31" i="1"/>
  <c r="Y36" i="1"/>
  <c r="Y40" i="1" s="1"/>
  <c r="Y108" i="1"/>
  <c r="Z90" i="1"/>
  <c r="Y93" i="1"/>
  <c r="W28" i="1"/>
  <c r="W34" i="1"/>
  <c r="X29" i="1"/>
  <c r="R85" i="1"/>
  <c r="W113" i="1"/>
  <c r="Q102" i="1"/>
  <c r="Q103" i="1" s="1"/>
  <c r="W62" i="1"/>
  <c r="Z59" i="1"/>
  <c r="G79" i="19" l="1"/>
  <c r="H74" i="19" s="1"/>
  <c r="H75" i="19" s="1"/>
  <c r="G80" i="19"/>
  <c r="H60" i="19"/>
  <c r="H65" i="19"/>
  <c r="H58" i="19"/>
  <c r="I53" i="19" s="1"/>
  <c r="G92" i="19"/>
  <c r="G83" i="19"/>
  <c r="G84" i="19" s="1"/>
  <c r="G85" i="19" s="1"/>
  <c r="G16" i="7"/>
  <c r="G17" i="7" s="1"/>
  <c r="G46" i="8" s="1"/>
  <c r="G45" i="8" s="1"/>
  <c r="H133" i="1"/>
  <c r="H134" i="1" s="1"/>
  <c r="H132" i="1"/>
  <c r="H143" i="1"/>
  <c r="V46" i="1"/>
  <c r="U50" i="1"/>
  <c r="U53" i="1" s="1"/>
  <c r="U79" i="1" s="1"/>
  <c r="X91" i="1"/>
  <c r="X111" i="1" s="1"/>
  <c r="AA30" i="1"/>
  <c r="Z35" i="1"/>
  <c r="Z39" i="1" s="1"/>
  <c r="S85" i="1"/>
  <c r="Y45" i="1"/>
  <c r="U69" i="1"/>
  <c r="T80" i="1"/>
  <c r="T83" i="1" s="1"/>
  <c r="R102" i="1"/>
  <c r="R103" i="1" s="1"/>
  <c r="Z93" i="1"/>
  <c r="Z108" i="1"/>
  <c r="AA90" i="1"/>
  <c r="W38" i="1"/>
  <c r="W41" i="1" s="1"/>
  <c r="X28" i="1"/>
  <c r="X34" i="1"/>
  <c r="Y29" i="1"/>
  <c r="X113" i="1"/>
  <c r="Z36" i="1"/>
  <c r="Z40" i="1" s="1"/>
  <c r="AA31" i="1"/>
  <c r="X62" i="1"/>
  <c r="AA59" i="1"/>
  <c r="H81" i="19" l="1"/>
  <c r="H76" i="19"/>
  <c r="H54" i="19"/>
  <c r="H77" i="19"/>
  <c r="H69" i="19"/>
  <c r="H70" i="19" s="1"/>
  <c r="H66" i="19"/>
  <c r="I62" i="19" s="1"/>
  <c r="I63" i="19" s="1"/>
  <c r="H67" i="19"/>
  <c r="G93" i="19"/>
  <c r="G97" i="19" s="1"/>
  <c r="G98" i="19" s="1"/>
  <c r="G99" i="19" s="1"/>
  <c r="G100" i="19" s="1"/>
  <c r="G104" i="19" s="1"/>
  <c r="G21" i="19" s="1"/>
  <c r="G29" i="19" s="1"/>
  <c r="I56" i="19"/>
  <c r="I55" i="19"/>
  <c r="I57" i="19" s="1"/>
  <c r="W46" i="1"/>
  <c r="V50" i="1"/>
  <c r="V53" i="1" s="1"/>
  <c r="V79" i="1" s="1"/>
  <c r="Y91" i="1"/>
  <c r="Y111" i="1" s="1"/>
  <c r="AB30" i="1"/>
  <c r="AA35" i="1"/>
  <c r="AA39" i="1" s="1"/>
  <c r="AB31" i="1"/>
  <c r="AA36" i="1"/>
  <c r="AA40" i="1" s="1"/>
  <c r="Y34" i="1"/>
  <c r="Z29" i="1"/>
  <c r="Y28" i="1"/>
  <c r="S102" i="1"/>
  <c r="S103" i="1" s="1"/>
  <c r="AA93" i="1"/>
  <c r="AA108" i="1"/>
  <c r="AB90" i="1"/>
  <c r="Z45" i="1"/>
  <c r="X38" i="1"/>
  <c r="X41" i="1" s="1"/>
  <c r="T85" i="1"/>
  <c r="Y113" i="1"/>
  <c r="V69" i="1"/>
  <c r="U80" i="1"/>
  <c r="U83" i="1" s="1"/>
  <c r="AB59" i="1"/>
  <c r="Y62" i="1"/>
  <c r="H78" i="19" l="1"/>
  <c r="H80" i="19" s="1"/>
  <c r="I58" i="19"/>
  <c r="J53" i="19" s="1"/>
  <c r="J55" i="19" s="1"/>
  <c r="I60" i="19"/>
  <c r="I65" i="19"/>
  <c r="I32" i="19"/>
  <c r="I22" i="19"/>
  <c r="I59" i="19"/>
  <c r="G105" i="19"/>
  <c r="G28" i="19" s="1"/>
  <c r="G34" i="19" s="1"/>
  <c r="G24" i="19"/>
  <c r="G94" i="19"/>
  <c r="H89" i="19" s="1"/>
  <c r="H91" i="19" s="1"/>
  <c r="G95" i="19"/>
  <c r="X46" i="1"/>
  <c r="W50" i="1"/>
  <c r="W53" i="1" s="1"/>
  <c r="W79" i="1" s="1"/>
  <c r="Z91" i="1"/>
  <c r="Z111" i="1" s="1"/>
  <c r="AC30" i="1"/>
  <c r="AB35" i="1"/>
  <c r="AB39" i="1" s="1"/>
  <c r="W69" i="1"/>
  <c r="V80" i="1"/>
  <c r="V83" i="1" s="1"/>
  <c r="AB93" i="1"/>
  <c r="AA91" i="1" s="1"/>
  <c r="AA111" i="1" s="1"/>
  <c r="AC90" i="1"/>
  <c r="AB108" i="1"/>
  <c r="T102" i="1"/>
  <c r="T103" i="1" s="1"/>
  <c r="U85" i="1"/>
  <c r="AA45" i="1"/>
  <c r="Z113" i="1"/>
  <c r="Z34" i="1"/>
  <c r="Z28" i="1"/>
  <c r="AA29" i="1"/>
  <c r="AB36" i="1"/>
  <c r="AB40" i="1" s="1"/>
  <c r="AC31" i="1"/>
  <c r="Y38" i="1"/>
  <c r="Y41" i="1" s="1"/>
  <c r="Z62" i="1"/>
  <c r="AC59" i="1"/>
  <c r="G106" i="19" l="1"/>
  <c r="G107" i="19" s="1"/>
  <c r="G30" i="19"/>
  <c r="H79" i="19"/>
  <c r="I74" i="19" s="1"/>
  <c r="H82" i="19"/>
  <c r="H83" i="19" s="1"/>
  <c r="H84" i="19" s="1"/>
  <c r="H85" i="19" s="1"/>
  <c r="I77" i="19"/>
  <c r="I54" i="19"/>
  <c r="H96" i="19"/>
  <c r="H90" i="19"/>
  <c r="I67" i="19"/>
  <c r="I66" i="19"/>
  <c r="J62" i="19" s="1"/>
  <c r="J63" i="19" s="1"/>
  <c r="I69" i="19"/>
  <c r="I70" i="19" s="1"/>
  <c r="Y46" i="1"/>
  <c r="X50" i="1"/>
  <c r="X53" i="1" s="1"/>
  <c r="X79" i="1" s="1"/>
  <c r="AD30" i="1"/>
  <c r="AC35" i="1"/>
  <c r="AC39" i="1" s="1"/>
  <c r="AA28" i="1"/>
  <c r="AB29" i="1"/>
  <c r="AA34" i="1"/>
  <c r="AC108" i="1"/>
  <c r="AC93" i="1"/>
  <c r="AD90" i="1"/>
  <c r="U102" i="1"/>
  <c r="U103" i="1" s="1"/>
  <c r="AA113" i="1"/>
  <c r="AC36" i="1"/>
  <c r="AC40" i="1" s="1"/>
  <c r="AD31" i="1"/>
  <c r="Z38" i="1"/>
  <c r="Z41" i="1" s="1"/>
  <c r="V85" i="1"/>
  <c r="AB45" i="1"/>
  <c r="X69" i="1"/>
  <c r="W80" i="1"/>
  <c r="W83" i="1" s="1"/>
  <c r="AD59" i="1"/>
  <c r="AA62" i="1"/>
  <c r="H92" i="19" l="1"/>
  <c r="H93" i="19" s="1"/>
  <c r="H94" i="19" s="1"/>
  <c r="I89" i="19" s="1"/>
  <c r="I90" i="19" s="1"/>
  <c r="I75" i="19"/>
  <c r="I78" i="19" s="1"/>
  <c r="I81" i="19"/>
  <c r="I76" i="19"/>
  <c r="Z46" i="1"/>
  <c r="Y50" i="1"/>
  <c r="Y53" i="1" s="1"/>
  <c r="Y79" i="1" s="1"/>
  <c r="AD35" i="1"/>
  <c r="AD39" i="1" s="1"/>
  <c r="AE30" i="1"/>
  <c r="AC45" i="1"/>
  <c r="AD36" i="1"/>
  <c r="AD40" i="1" s="1"/>
  <c r="AE31" i="1"/>
  <c r="AB113" i="1"/>
  <c r="W85" i="1"/>
  <c r="AA38" i="1"/>
  <c r="AA41" i="1" s="1"/>
  <c r="Y69" i="1"/>
  <c r="X80" i="1"/>
  <c r="X83" i="1" s="1"/>
  <c r="V102" i="1"/>
  <c r="V103" i="1" s="1"/>
  <c r="AB28" i="1"/>
  <c r="AC29" i="1"/>
  <c r="AB34" i="1"/>
  <c r="AB91" i="1"/>
  <c r="AB111" i="1" s="1"/>
  <c r="AD108" i="1"/>
  <c r="AD93" i="1"/>
  <c r="AE90" i="1"/>
  <c r="AB62" i="1"/>
  <c r="AE59" i="1"/>
  <c r="I82" i="19" l="1"/>
  <c r="I83" i="19" s="1"/>
  <c r="I84" i="19" s="1"/>
  <c r="I85" i="19" s="1"/>
  <c r="I80" i="19"/>
  <c r="I79" i="19"/>
  <c r="J74" i="19" s="1"/>
  <c r="J75" i="19" s="1"/>
  <c r="I96" i="19"/>
  <c r="I91" i="19"/>
  <c r="H97" i="19"/>
  <c r="H98" i="19" s="1"/>
  <c r="H99" i="19" s="1"/>
  <c r="H100" i="19" s="1"/>
  <c r="H104" i="19" s="1"/>
  <c r="H95" i="19"/>
  <c r="AA46" i="1"/>
  <c r="Z50" i="1"/>
  <c r="Z53" i="1" s="1"/>
  <c r="Z79" i="1" s="1"/>
  <c r="AE35" i="1"/>
  <c r="AE39" i="1" s="1"/>
  <c r="AF30" i="1"/>
  <c r="AB38" i="1"/>
  <c r="AB41" i="1" s="1"/>
  <c r="Z69" i="1"/>
  <c r="Y80" i="1"/>
  <c r="Y83" i="1" s="1"/>
  <c r="AC34" i="1"/>
  <c r="AC28" i="1"/>
  <c r="AD29" i="1"/>
  <c r="AF31" i="1"/>
  <c r="AE36" i="1"/>
  <c r="AE40" i="1" s="1"/>
  <c r="AE108" i="1"/>
  <c r="AF90" i="1"/>
  <c r="AE93" i="1"/>
  <c r="AC113" i="1"/>
  <c r="X85" i="1"/>
  <c r="W102" i="1"/>
  <c r="W103" i="1" s="1"/>
  <c r="AC91" i="1"/>
  <c r="AC111" i="1" s="1"/>
  <c r="AD45" i="1"/>
  <c r="AF59" i="1"/>
  <c r="AC62" i="1"/>
  <c r="I92" i="19" l="1"/>
  <c r="I93" i="19" s="1"/>
  <c r="I97" i="19" s="1"/>
  <c r="I98" i="19" s="1"/>
  <c r="I99" i="19" s="1"/>
  <c r="I100" i="19" s="1"/>
  <c r="I104" i="19" s="1"/>
  <c r="I105" i="19" s="1"/>
  <c r="I28" i="19" s="1"/>
  <c r="I34" i="19" s="1"/>
  <c r="J81" i="19"/>
  <c r="H21" i="19"/>
  <c r="H105" i="19"/>
  <c r="H28" i="19" s="1"/>
  <c r="AB46" i="1"/>
  <c r="AA50" i="1"/>
  <c r="AA53" i="1" s="1"/>
  <c r="AA79" i="1" s="1"/>
  <c r="AG30" i="1"/>
  <c r="AF35" i="1"/>
  <c r="AF39" i="1" s="1"/>
  <c r="AC38" i="1"/>
  <c r="AC41" i="1" s="1"/>
  <c r="Y85" i="1"/>
  <c r="X102" i="1"/>
  <c r="X103" i="1" s="1"/>
  <c r="AD113" i="1"/>
  <c r="AG31" i="1"/>
  <c r="AF36" i="1"/>
  <c r="AF40" i="1" s="1"/>
  <c r="AA69" i="1"/>
  <c r="Z80" i="1"/>
  <c r="Z83" i="1" s="1"/>
  <c r="AE45" i="1"/>
  <c r="AD91" i="1"/>
  <c r="AD111" i="1" s="1"/>
  <c r="AF93" i="1"/>
  <c r="AG90" i="1"/>
  <c r="AF108" i="1"/>
  <c r="AD28" i="1"/>
  <c r="AD34" i="1"/>
  <c r="AE29" i="1"/>
  <c r="AG59" i="1"/>
  <c r="AD62" i="1"/>
  <c r="I95" i="19" l="1"/>
  <c r="I94" i="19"/>
  <c r="I21" i="19"/>
  <c r="I29" i="19" s="1"/>
  <c r="I30" i="19" s="1"/>
  <c r="I106" i="19"/>
  <c r="I107" i="19" s="1"/>
  <c r="H106" i="19"/>
  <c r="H107" i="19" s="1"/>
  <c r="H34" i="19"/>
  <c r="H24" i="19"/>
  <c r="H29" i="19"/>
  <c r="H30" i="19" s="1"/>
  <c r="AC46" i="1"/>
  <c r="AB50" i="1"/>
  <c r="AB53" i="1" s="1"/>
  <c r="AB79" i="1" s="1"/>
  <c r="AH30" i="1"/>
  <c r="AG35" i="1"/>
  <c r="AG39" i="1" s="1"/>
  <c r="AE113" i="1"/>
  <c r="AB69" i="1"/>
  <c r="AA80" i="1"/>
  <c r="AA83" i="1" s="1"/>
  <c r="AE34" i="1"/>
  <c r="AE28" i="1"/>
  <c r="AF29" i="1"/>
  <c r="AF45" i="1"/>
  <c r="AD38" i="1"/>
  <c r="AD41" i="1" s="1"/>
  <c r="AH31" i="1"/>
  <c r="AI31" i="1" s="1"/>
  <c r="AG36" i="1"/>
  <c r="AG40" i="1" s="1"/>
  <c r="AG108" i="1"/>
  <c r="AH90" i="1"/>
  <c r="AI90" i="1" s="1"/>
  <c r="AG93" i="1"/>
  <c r="Z85" i="1"/>
  <c r="AE91" i="1"/>
  <c r="AE111" i="1" s="1"/>
  <c r="Y102" i="1"/>
  <c r="Y103" i="1" s="1"/>
  <c r="AE62" i="1"/>
  <c r="AH59" i="1"/>
  <c r="AI59" i="1" s="1"/>
  <c r="I24" i="19" l="1"/>
  <c r="AD46" i="1"/>
  <c r="AC50" i="1"/>
  <c r="AC53" i="1" s="1"/>
  <c r="AC79" i="1" s="1"/>
  <c r="AI93" i="1"/>
  <c r="AJ90" i="1"/>
  <c r="AI108" i="1"/>
  <c r="AJ31" i="1"/>
  <c r="AJ36" i="1" s="1"/>
  <c r="AJ40" i="1" s="1"/>
  <c r="AI36" i="1"/>
  <c r="AI40" i="1" s="1"/>
  <c r="AI30" i="1"/>
  <c r="AH35" i="1"/>
  <c r="AH39" i="1" s="1"/>
  <c r="AJ59" i="1"/>
  <c r="AA85" i="1"/>
  <c r="AE38" i="1"/>
  <c r="AE41" i="1" s="1"/>
  <c r="Z102" i="1"/>
  <c r="Z103" i="1" s="1"/>
  <c r="AF34" i="1"/>
  <c r="AG29" i="1"/>
  <c r="AF28" i="1"/>
  <c r="AH108" i="1"/>
  <c r="AH93" i="1"/>
  <c r="AG45" i="1"/>
  <c r="AC69" i="1"/>
  <c r="AB80" i="1"/>
  <c r="AB83" i="1" s="1"/>
  <c r="AF113" i="1"/>
  <c r="AH36" i="1"/>
  <c r="AH40" i="1" s="1"/>
  <c r="AF91" i="1"/>
  <c r="AF111" i="1" s="1"/>
  <c r="AF62" i="1"/>
  <c r="AE46" i="1" l="1"/>
  <c r="AD50" i="1"/>
  <c r="AD53" i="1" s="1"/>
  <c r="AD79" i="1" s="1"/>
  <c r="AG91" i="1"/>
  <c r="AG111" i="1" s="1"/>
  <c r="AI91" i="1"/>
  <c r="AI111" i="1" s="1"/>
  <c r="AI35" i="1"/>
  <c r="AI39" i="1" s="1"/>
  <c r="AJ30" i="1"/>
  <c r="AJ35" i="1" s="1"/>
  <c r="AJ39" i="1" s="1"/>
  <c r="AJ93" i="1"/>
  <c r="AH113" i="1" s="1"/>
  <c r="AJ108" i="1"/>
  <c r="AH45" i="1"/>
  <c r="AI45" i="1" s="1"/>
  <c r="AG34" i="1"/>
  <c r="AH29" i="1"/>
  <c r="AI29" i="1" s="1"/>
  <c r="AG28" i="1"/>
  <c r="AB85" i="1"/>
  <c r="AD69" i="1"/>
  <c r="AC80" i="1"/>
  <c r="AC83" i="1" s="1"/>
  <c r="AG113" i="1"/>
  <c r="AF38" i="1"/>
  <c r="AF41" i="1" s="1"/>
  <c r="AA102" i="1"/>
  <c r="AA103" i="1" s="1"/>
  <c r="AG62" i="1"/>
  <c r="AF46" i="1" l="1"/>
  <c r="AE50" i="1"/>
  <c r="AE53" i="1" s="1"/>
  <c r="AE79" i="1" s="1"/>
  <c r="AJ91" i="1"/>
  <c r="AJ111" i="1" s="1"/>
  <c r="AH91" i="1"/>
  <c r="AH111" i="1" s="1"/>
  <c r="AJ29" i="1"/>
  <c r="AI28" i="1"/>
  <c r="AI34" i="1"/>
  <c r="AJ45" i="1"/>
  <c r="AB102" i="1"/>
  <c r="AB103" i="1" s="1"/>
  <c r="AH28" i="1"/>
  <c r="AH34" i="1"/>
  <c r="AC85" i="1"/>
  <c r="AE69" i="1"/>
  <c r="AD80" i="1"/>
  <c r="AD83" i="1" s="1"/>
  <c r="AG38" i="1"/>
  <c r="AG41" i="1" s="1"/>
  <c r="AH62" i="1"/>
  <c r="AI62" i="1" s="1"/>
  <c r="AG46" i="1" l="1"/>
  <c r="AF50" i="1"/>
  <c r="AF53" i="1" s="1"/>
  <c r="AF79" i="1" s="1"/>
  <c r="AI38" i="1"/>
  <c r="AI41" i="1" s="1"/>
  <c r="AJ28" i="1"/>
  <c r="AJ34" i="1"/>
  <c r="AJ38" i="1" s="1"/>
  <c r="AJ41" i="1" s="1"/>
  <c r="AJ62" i="1"/>
  <c r="AH38" i="1"/>
  <c r="AH41" i="1" s="1"/>
  <c r="AF69" i="1"/>
  <c r="AE80" i="1"/>
  <c r="AE83" i="1" s="1"/>
  <c r="AC102" i="1"/>
  <c r="AC103" i="1" s="1"/>
  <c r="AD85" i="1"/>
  <c r="AH46" i="1" l="1"/>
  <c r="AG50" i="1"/>
  <c r="AG53" i="1" s="1"/>
  <c r="AG79" i="1" s="1"/>
  <c r="AE85" i="1"/>
  <c r="AG69" i="1"/>
  <c r="AF80" i="1"/>
  <c r="AF83" i="1" s="1"/>
  <c r="AD102" i="1"/>
  <c r="AD103" i="1" s="1"/>
  <c r="AI46" i="1" l="1"/>
  <c r="AH50" i="1"/>
  <c r="AH53" i="1" s="1"/>
  <c r="AH79" i="1" s="1"/>
  <c r="AH69" i="1"/>
  <c r="AI69" i="1" s="1"/>
  <c r="AG80" i="1"/>
  <c r="AG83" i="1" s="1"/>
  <c r="AE102" i="1"/>
  <c r="AE103" i="1" s="1"/>
  <c r="AF85" i="1"/>
  <c r="AJ46" i="1" l="1"/>
  <c r="AJ50" i="1" s="1"/>
  <c r="AJ53" i="1" s="1"/>
  <c r="AJ79" i="1" s="1"/>
  <c r="AI50" i="1"/>
  <c r="AI53" i="1" s="1"/>
  <c r="AI79" i="1" s="1"/>
  <c r="AI80" i="1" s="1"/>
  <c r="AI83" i="1" s="1"/>
  <c r="AJ69" i="1"/>
  <c r="AG85" i="1"/>
  <c r="AH80" i="1"/>
  <c r="AH83" i="1" s="1"/>
  <c r="AF102" i="1"/>
  <c r="AF103" i="1" s="1"/>
  <c r="AJ80" i="1" l="1"/>
  <c r="AJ83" i="1" s="1"/>
  <c r="AJ85" i="1" s="1"/>
  <c r="AI85" i="1"/>
  <c r="AG102" i="1"/>
  <c r="AG103" i="1" s="1"/>
  <c r="AH85" i="1"/>
  <c r="AI102" i="1" l="1"/>
  <c r="AI103" i="1" s="1"/>
  <c r="AJ102" i="1"/>
  <c r="AJ112" i="1" s="1"/>
  <c r="AH102" i="1"/>
  <c r="AH103" i="1" s="1"/>
  <c r="AJ103" i="1" l="1"/>
  <c r="E66" i="22" l="1"/>
  <c r="E50" i="22" l="1"/>
  <c r="E53" i="22"/>
  <c r="E51" i="22"/>
  <c r="E52" i="22"/>
  <c r="E49" i="22" l="1"/>
  <c r="E70" i="22" s="1"/>
  <c r="D70" i="22"/>
  <c r="D71" i="22" l="1"/>
  <c r="D73" i="22"/>
  <c r="E71" i="22"/>
  <c r="E73" i="22"/>
  <c r="P93" i="1" l="1"/>
  <c r="O113" i="1" l="1"/>
  <c r="O335" i="1" s="1"/>
  <c r="O91" i="1"/>
  <c r="P91" i="1"/>
  <c r="P111" i="1" l="1"/>
  <c r="O111" i="1"/>
  <c r="I94" i="1" l="1"/>
  <c r="I104" i="1" l="1"/>
  <c r="I321" i="1"/>
  <c r="I99" i="1"/>
  <c r="I95" i="1"/>
  <c r="I98" i="1"/>
  <c r="H9" i="7"/>
  <c r="H11" i="7" s="1"/>
  <c r="I272" i="1"/>
  <c r="I322" i="1" l="1"/>
  <c r="I97" i="1"/>
  <c r="I273" i="1"/>
  <c r="I330" i="1"/>
  <c r="I281" i="1"/>
  <c r="J92" i="1" l="1"/>
  <c r="J93" i="1" s="1"/>
  <c r="I275" i="1"/>
  <c r="I324" i="1"/>
  <c r="I113" i="1" l="1"/>
  <c r="I91" i="1"/>
  <c r="J320" i="1"/>
  <c r="J271" i="1"/>
  <c r="J96" i="1"/>
  <c r="J270" i="1"/>
  <c r="J319" i="1"/>
  <c r="H13" i="7" l="1"/>
  <c r="H14" i="7" s="1"/>
  <c r="I335" i="1"/>
  <c r="I338" i="1" s="1"/>
  <c r="I286" i="1"/>
  <c r="I289" i="1" s="1"/>
  <c r="J141" i="1"/>
  <c r="J323" i="1"/>
  <c r="J274" i="1"/>
  <c r="I297" i="1" l="1"/>
  <c r="I298" i="1" s="1"/>
  <c r="J295" i="1" s="1"/>
  <c r="J296" i="1" s="1"/>
  <c r="I346" i="1"/>
  <c r="I347" i="1" s="1"/>
  <c r="J344" i="1" s="1"/>
  <c r="J345" i="1" s="1"/>
  <c r="I299" i="1" l="1"/>
  <c r="I302" i="1" s="1"/>
  <c r="I305" i="1" s="1"/>
  <c r="I348" i="1"/>
  <c r="I301" i="1" l="1"/>
  <c r="I304" i="1" s="1"/>
  <c r="I306" i="1" s="1"/>
  <c r="I350" i="1"/>
  <c r="I353" i="1" s="1"/>
  <c r="I355" i="1" s="1"/>
  <c r="I351" i="1"/>
  <c r="I354" i="1" s="1"/>
  <c r="J94" i="1" l="1"/>
  <c r="I111" i="1"/>
  <c r="I115" i="1" s="1"/>
  <c r="I116" i="1" l="1"/>
  <c r="I117" i="1" s="1"/>
  <c r="J39" i="19"/>
  <c r="I123" i="1"/>
  <c r="I124" i="1" s="1"/>
  <c r="J121" i="1" s="1"/>
  <c r="J122" i="1" s="1"/>
  <c r="J321" i="1"/>
  <c r="I9" i="7"/>
  <c r="I11" i="7" s="1"/>
  <c r="J99" i="1"/>
  <c r="J98" i="1"/>
  <c r="J104" i="1"/>
  <c r="J272" i="1"/>
  <c r="J95" i="1"/>
  <c r="I125" i="1" l="1"/>
  <c r="I128" i="1" s="1"/>
  <c r="I131" i="1" s="1"/>
  <c r="J273" i="1"/>
  <c r="J97" i="1"/>
  <c r="J322" i="1"/>
  <c r="J19" i="19"/>
  <c r="J40" i="19"/>
  <c r="J41" i="19"/>
  <c r="J42" i="19" s="1"/>
  <c r="J330" i="1"/>
  <c r="J281" i="1"/>
  <c r="I127" i="1" l="1"/>
  <c r="I130" i="1" s="1"/>
  <c r="I143" i="1" s="1"/>
  <c r="J31" i="19"/>
  <c r="J43" i="19"/>
  <c r="J45" i="19"/>
  <c r="J46" i="19" s="1"/>
  <c r="K92" i="1"/>
  <c r="K93" i="1" s="1"/>
  <c r="J275" i="1"/>
  <c r="J288" i="1" s="1"/>
  <c r="J289" i="1" s="1"/>
  <c r="J324" i="1"/>
  <c r="I132" i="1" l="1"/>
  <c r="H16" i="7"/>
  <c r="H17" i="7" s="1"/>
  <c r="H46" i="8" s="1"/>
  <c r="H45" i="8" s="1"/>
  <c r="I133" i="1"/>
  <c r="I134" i="1" s="1"/>
  <c r="K320" i="1"/>
  <c r="J91" i="1"/>
  <c r="J113" i="1"/>
  <c r="J47" i="19"/>
  <c r="J76" i="19" s="1"/>
  <c r="E291" i="1"/>
  <c r="E170" i="1" s="1"/>
  <c r="F21" i="1" s="1"/>
  <c r="J297" i="1"/>
  <c r="J298" i="1" s="1"/>
  <c r="K319" i="1"/>
  <c r="K96" i="1"/>
  <c r="J64" i="19" l="1"/>
  <c r="J335" i="1"/>
  <c r="J338" i="1" s="1"/>
  <c r="I13" i="7"/>
  <c r="I14" i="7" s="1"/>
  <c r="J56" i="19"/>
  <c r="J22" i="19" s="1"/>
  <c r="J57" i="19"/>
  <c r="J60" i="19" s="1"/>
  <c r="J299" i="1"/>
  <c r="J301" i="1" s="1"/>
  <c r="J304" i="1" s="1"/>
  <c r="J306" i="1" s="1"/>
  <c r="K141" i="1"/>
  <c r="K323" i="1"/>
  <c r="J32" i="19" l="1"/>
  <c r="J302" i="1"/>
  <c r="J305" i="1" s="1"/>
  <c r="E311" i="1" s="1"/>
  <c r="E174" i="1" s="1"/>
  <c r="J59" i="19"/>
  <c r="J58" i="19"/>
  <c r="K53" i="19" s="1"/>
  <c r="K55" i="19" s="1"/>
  <c r="J65" i="19"/>
  <c r="J67" i="19" s="1"/>
  <c r="J346" i="1"/>
  <c r="J347" i="1" s="1"/>
  <c r="K344" i="1" s="1"/>
  <c r="K345" i="1" s="1"/>
  <c r="J54" i="19"/>
  <c r="J77" i="19"/>
  <c r="E308" i="1"/>
  <c r="E171" i="1" s="1"/>
  <c r="F22" i="1" s="1"/>
  <c r="E309" i="1"/>
  <c r="E172" i="1" s="1"/>
  <c r="F23" i="1" s="1"/>
  <c r="E310" i="1"/>
  <c r="E173" i="1" s="1"/>
  <c r="F24" i="1" s="1"/>
  <c r="J69" i="19" l="1"/>
  <c r="J70" i="19" s="1"/>
  <c r="J78" i="19" s="1"/>
  <c r="J82" i="19" s="1"/>
  <c r="J89" i="19"/>
  <c r="J96" i="19" s="1"/>
  <c r="J66" i="19"/>
  <c r="K62" i="19" s="1"/>
  <c r="K63" i="19" s="1"/>
  <c r="J348" i="1"/>
  <c r="J351" i="1" s="1"/>
  <c r="J354" i="1" s="1"/>
  <c r="J90" i="19" l="1"/>
  <c r="J350" i="1"/>
  <c r="J353" i="1" s="1"/>
  <c r="J355" i="1" s="1"/>
  <c r="J91" i="19"/>
  <c r="J80" i="19"/>
  <c r="J79" i="19"/>
  <c r="K74" i="19" s="1"/>
  <c r="K75" i="19" s="1"/>
  <c r="J92" i="19"/>
  <c r="J83" i="19"/>
  <c r="K81" i="19" l="1"/>
  <c r="J84" i="19"/>
  <c r="J85" i="19" s="1"/>
  <c r="J93" i="19" s="1"/>
  <c r="J97" i="19" s="1"/>
  <c r="L93" i="1"/>
  <c r="K91" i="1" s="1"/>
  <c r="K94" i="1" l="1"/>
  <c r="E51" i="8"/>
  <c r="J111" i="1"/>
  <c r="J115" i="1" s="1"/>
  <c r="J94" i="19"/>
  <c r="J95" i="19"/>
  <c r="J98" i="19"/>
  <c r="L320" i="1"/>
  <c r="K113" i="1"/>
  <c r="J116" i="1" l="1"/>
  <c r="J117" i="1" s="1"/>
  <c r="K39" i="19"/>
  <c r="J123" i="1"/>
  <c r="J124" i="1" s="1"/>
  <c r="K121" i="1" s="1"/>
  <c r="K122" i="1" s="1"/>
  <c r="K95" i="1"/>
  <c r="J9" i="7"/>
  <c r="J11" i="7" s="1"/>
  <c r="K99" i="1"/>
  <c r="K98" i="1"/>
  <c r="K321" i="1"/>
  <c r="K104" i="1"/>
  <c r="K330" i="1" s="1"/>
  <c r="J99" i="19"/>
  <c r="J100" i="19" s="1"/>
  <c r="J104" i="19" s="1"/>
  <c r="J13" i="7"/>
  <c r="K335" i="1"/>
  <c r="J125" i="1" l="1"/>
  <c r="J128" i="1" s="1"/>
  <c r="J131" i="1" s="1"/>
  <c r="D137" i="1" s="1"/>
  <c r="K338" i="1"/>
  <c r="K346" i="1" s="1"/>
  <c r="K347" i="1" s="1"/>
  <c r="L344" i="1" s="1"/>
  <c r="L345" i="1" s="1"/>
  <c r="K97" i="1"/>
  <c r="K322" i="1"/>
  <c r="J14" i="7"/>
  <c r="K40" i="19"/>
  <c r="K19" i="19"/>
  <c r="K41" i="19"/>
  <c r="K42" i="19" s="1"/>
  <c r="J105" i="19"/>
  <c r="J28" i="19" s="1"/>
  <c r="J21" i="19"/>
  <c r="J127" i="1" l="1"/>
  <c r="J130" i="1" s="1"/>
  <c r="B22" i="7" s="1"/>
  <c r="K31" i="19"/>
  <c r="J106" i="19"/>
  <c r="J107" i="19" s="1"/>
  <c r="K43" i="19"/>
  <c r="K45" i="19"/>
  <c r="K46" i="19" s="1"/>
  <c r="K324" i="1"/>
  <c r="L92" i="1"/>
  <c r="J29" i="19"/>
  <c r="J30" i="19" s="1"/>
  <c r="J24" i="19"/>
  <c r="J34" i="19"/>
  <c r="K348" i="1"/>
  <c r="M93" i="1"/>
  <c r="L91" i="1" s="1"/>
  <c r="I16" i="7" l="1"/>
  <c r="B23" i="7" s="1"/>
  <c r="D136" i="1"/>
  <c r="F34" i="8" s="1"/>
  <c r="J143" i="1"/>
  <c r="J132" i="1"/>
  <c r="J133" i="1"/>
  <c r="J134" i="1" s="1"/>
  <c r="C24" i="1" s="1"/>
  <c r="K47" i="19"/>
  <c r="K64" i="19" s="1"/>
  <c r="L319" i="1"/>
  <c r="L96" i="1"/>
  <c r="L111" i="1"/>
  <c r="L94" i="1"/>
  <c r="AC94" i="1"/>
  <c r="AJ94" i="1"/>
  <c r="N94" i="1"/>
  <c r="AA94" i="1"/>
  <c r="M94" i="1"/>
  <c r="AE94" i="1"/>
  <c r="AB94" i="1"/>
  <c r="AI94" i="1"/>
  <c r="AF94" i="1"/>
  <c r="AD94" i="1"/>
  <c r="U94" i="1"/>
  <c r="X94" i="1"/>
  <c r="R94" i="1"/>
  <c r="AH94" i="1"/>
  <c r="AG94" i="1"/>
  <c r="P94" i="1"/>
  <c r="Q94" i="1"/>
  <c r="Y94" i="1"/>
  <c r="Z94" i="1"/>
  <c r="S94" i="1"/>
  <c r="O94" i="1"/>
  <c r="W94" i="1"/>
  <c r="V94" i="1"/>
  <c r="T94" i="1"/>
  <c r="K111" i="1"/>
  <c r="K115" i="1" s="1"/>
  <c r="K350" i="1"/>
  <c r="K353" i="1" s="1"/>
  <c r="K355" i="1" s="1"/>
  <c r="K351" i="1"/>
  <c r="K354" i="1" s="1"/>
  <c r="M320" i="1"/>
  <c r="L113" i="1"/>
  <c r="M91" i="1"/>
  <c r="M111" i="1" s="1"/>
  <c r="I17" i="7" l="1"/>
  <c r="I46" i="8" s="1"/>
  <c r="I45" i="8" s="1"/>
  <c r="E50" i="8" s="1"/>
  <c r="E52" i="8" s="1"/>
  <c r="E53" i="8" s="1"/>
  <c r="K76" i="19"/>
  <c r="K56" i="19"/>
  <c r="K32" i="19" s="1"/>
  <c r="K57" i="19"/>
  <c r="K65" i="19" s="1"/>
  <c r="L141" i="1"/>
  <c r="L323" i="1"/>
  <c r="R99" i="1"/>
  <c r="R98" i="1"/>
  <c r="R112" i="1"/>
  <c r="R104" i="1"/>
  <c r="M104" i="1"/>
  <c r="M330" i="1" s="1"/>
  <c r="M338" i="1" s="1"/>
  <c r="M98" i="1"/>
  <c r="M321" i="1"/>
  <c r="M99" i="1"/>
  <c r="AE104" i="1"/>
  <c r="AE112" i="1"/>
  <c r="AE99" i="1"/>
  <c r="AE98" i="1"/>
  <c r="S98" i="1"/>
  <c r="S99" i="1"/>
  <c r="S112" i="1"/>
  <c r="S104" i="1"/>
  <c r="X98" i="1"/>
  <c r="X112" i="1"/>
  <c r="X104" i="1"/>
  <c r="X99" i="1"/>
  <c r="AA99" i="1"/>
  <c r="AA112" i="1"/>
  <c r="AA104" i="1"/>
  <c r="AA98" i="1"/>
  <c r="L39" i="19"/>
  <c r="K116" i="1"/>
  <c r="K117" i="1" s="1"/>
  <c r="K123" i="1"/>
  <c r="K124" i="1" s="1"/>
  <c r="L121" i="1" s="1"/>
  <c r="L122" i="1" s="1"/>
  <c r="W99" i="1"/>
  <c r="W98" i="1"/>
  <c r="W112" i="1"/>
  <c r="W104" i="1"/>
  <c r="O98" i="1"/>
  <c r="O321" i="1"/>
  <c r="O104" i="1"/>
  <c r="O99" i="1"/>
  <c r="Z98" i="1"/>
  <c r="Z112" i="1"/>
  <c r="Z99" i="1"/>
  <c r="Z104" i="1"/>
  <c r="U98" i="1"/>
  <c r="U104" i="1"/>
  <c r="U99" i="1"/>
  <c r="U112" i="1"/>
  <c r="N99" i="1"/>
  <c r="N321" i="1"/>
  <c r="N104" i="1"/>
  <c r="N98" i="1"/>
  <c r="AH99" i="1"/>
  <c r="AH104" i="1"/>
  <c r="AH98" i="1"/>
  <c r="AH112" i="1"/>
  <c r="Y104" i="1"/>
  <c r="Y112" i="1"/>
  <c r="Y99" i="1"/>
  <c r="Y98" i="1"/>
  <c r="AD112" i="1"/>
  <c r="AD104" i="1"/>
  <c r="AD99" i="1"/>
  <c r="AD98" i="1"/>
  <c r="AJ99" i="1"/>
  <c r="AJ104" i="1"/>
  <c r="AJ98" i="1"/>
  <c r="Q104" i="1"/>
  <c r="Q99" i="1"/>
  <c r="Q98" i="1"/>
  <c r="Q112" i="1"/>
  <c r="AF112" i="1"/>
  <c r="AF99" i="1"/>
  <c r="AF98" i="1"/>
  <c r="AF104" i="1"/>
  <c r="AC104" i="1"/>
  <c r="AC112" i="1"/>
  <c r="AC99" i="1"/>
  <c r="AC98" i="1"/>
  <c r="P99" i="1"/>
  <c r="P112" i="1"/>
  <c r="P98" i="1"/>
  <c r="P104" i="1"/>
  <c r="AI98" i="1"/>
  <c r="AI104" i="1"/>
  <c r="AI99" i="1"/>
  <c r="AI112" i="1"/>
  <c r="L321" i="1"/>
  <c r="L98" i="1"/>
  <c r="L104" i="1"/>
  <c r="L330" i="1" s="1"/>
  <c r="L99" i="1"/>
  <c r="L95" i="1"/>
  <c r="T99" i="1"/>
  <c r="T112" i="1"/>
  <c r="T104" i="1"/>
  <c r="T98" i="1"/>
  <c r="V104" i="1"/>
  <c r="V98" i="1"/>
  <c r="V112" i="1"/>
  <c r="V99" i="1"/>
  <c r="AG98" i="1"/>
  <c r="AG104" i="1"/>
  <c r="AG112" i="1"/>
  <c r="AG99" i="1"/>
  <c r="AB112" i="1"/>
  <c r="AB99" i="1"/>
  <c r="AB104" i="1"/>
  <c r="AB98" i="1"/>
  <c r="L335" i="1"/>
  <c r="K66" i="19" l="1"/>
  <c r="L62" i="19" s="1"/>
  <c r="L63" i="19" s="1"/>
  <c r="K67" i="19"/>
  <c r="K60" i="19"/>
  <c r="K77" i="19" s="1"/>
  <c r="K59" i="19"/>
  <c r="K22" i="19"/>
  <c r="K58" i="19"/>
  <c r="L53" i="19" s="1"/>
  <c r="L55" i="19" s="1"/>
  <c r="AA115" i="1"/>
  <c r="AA116" i="1" s="1"/>
  <c r="L115" i="1"/>
  <c r="M39" i="19" s="1"/>
  <c r="AB115" i="1"/>
  <c r="AB116" i="1" s="1"/>
  <c r="P115" i="1"/>
  <c r="P116" i="1" s="1"/>
  <c r="K89" i="19"/>
  <c r="AH115" i="1"/>
  <c r="AH116" i="1" s="1"/>
  <c r="L338" i="1"/>
  <c r="L346" i="1" s="1"/>
  <c r="L347" i="1" s="1"/>
  <c r="M344" i="1" s="1"/>
  <c r="AG115" i="1"/>
  <c r="AG116" i="1" s="1"/>
  <c r="AD115" i="1"/>
  <c r="AD116" i="1" s="1"/>
  <c r="U115" i="1"/>
  <c r="U116" i="1" s="1"/>
  <c r="AF115" i="1"/>
  <c r="AF116" i="1" s="1"/>
  <c r="K125" i="1"/>
  <c r="K128" i="1" s="1"/>
  <c r="K131" i="1" s="1"/>
  <c r="AI115" i="1"/>
  <c r="AI116" i="1" s="1"/>
  <c r="N115" i="1"/>
  <c r="N330" i="1"/>
  <c r="N338" i="1" s="1"/>
  <c r="V115" i="1"/>
  <c r="V116" i="1" s="1"/>
  <c r="Y115" i="1"/>
  <c r="Y116" i="1" s="1"/>
  <c r="T115" i="1"/>
  <c r="T116" i="1" s="1"/>
  <c r="O115" i="1"/>
  <c r="O330" i="1"/>
  <c r="X115" i="1"/>
  <c r="X116" i="1" s="1"/>
  <c r="R115" i="1"/>
  <c r="R116" i="1" s="1"/>
  <c r="L40" i="19"/>
  <c r="L41" i="19"/>
  <c r="L42" i="19" s="1"/>
  <c r="L19" i="19"/>
  <c r="AE115" i="1"/>
  <c r="AE116" i="1" s="1"/>
  <c r="L322" i="1"/>
  <c r="L97" i="1"/>
  <c r="AC115" i="1"/>
  <c r="AC116" i="1" s="1"/>
  <c r="Q115" i="1"/>
  <c r="Q116" i="1" s="1"/>
  <c r="Z115" i="1"/>
  <c r="Z116" i="1" s="1"/>
  <c r="W115" i="1"/>
  <c r="W116" i="1" s="1"/>
  <c r="S115" i="1"/>
  <c r="S116" i="1" s="1"/>
  <c r="M115" i="1"/>
  <c r="K69" i="19" l="1"/>
  <c r="K70" i="19" s="1"/>
  <c r="K78" i="19" s="1"/>
  <c r="K79" i="19" s="1"/>
  <c r="L74" i="19" s="1"/>
  <c r="K54" i="19"/>
  <c r="L123" i="1"/>
  <c r="L124" i="1" s="1"/>
  <c r="M121" i="1" s="1"/>
  <c r="M122" i="1" s="1"/>
  <c r="L116" i="1"/>
  <c r="L117" i="1" s="1"/>
  <c r="K96" i="19"/>
  <c r="K91" i="19"/>
  <c r="K90" i="19"/>
  <c r="K127" i="1"/>
  <c r="K130" i="1" s="1"/>
  <c r="K143" i="1" s="1"/>
  <c r="L31" i="19"/>
  <c r="L45" i="19"/>
  <c r="L46" i="19" s="1"/>
  <c r="L43" i="19"/>
  <c r="P39" i="19"/>
  <c r="O116" i="1"/>
  <c r="M116" i="1"/>
  <c r="N39" i="19"/>
  <c r="M92" i="1"/>
  <c r="L324" i="1"/>
  <c r="O39" i="19"/>
  <c r="N116" i="1"/>
  <c r="M345" i="1"/>
  <c r="M346" i="1" s="1"/>
  <c r="M348" i="1" s="1"/>
  <c r="M19" i="19"/>
  <c r="M41" i="19"/>
  <c r="M42" i="19" s="1"/>
  <c r="M40" i="19"/>
  <c r="L348" i="1"/>
  <c r="M117" i="1" l="1"/>
  <c r="L125" i="1"/>
  <c r="L128" i="1" s="1"/>
  <c r="L131" i="1" s="1"/>
  <c r="K132" i="1"/>
  <c r="K133" i="1"/>
  <c r="K134" i="1" s="1"/>
  <c r="AC117" i="1"/>
  <c r="J16" i="7"/>
  <c r="J17" i="7" s="1"/>
  <c r="K80" i="19"/>
  <c r="K82" i="19"/>
  <c r="L75" i="19"/>
  <c r="L81" i="19"/>
  <c r="X117" i="1"/>
  <c r="L47" i="19"/>
  <c r="L64" i="19" s="1"/>
  <c r="U117" i="1"/>
  <c r="AB117" i="1"/>
  <c r="R117" i="1"/>
  <c r="AG117" i="1"/>
  <c r="W117" i="1"/>
  <c r="V117" i="1"/>
  <c r="AH117" i="1"/>
  <c r="S117" i="1"/>
  <c r="AD117" i="1"/>
  <c r="Z117" i="1"/>
  <c r="Q117" i="1"/>
  <c r="N117" i="1"/>
  <c r="AI117" i="1"/>
  <c r="AF117" i="1"/>
  <c r="P117" i="1"/>
  <c r="T117" i="1"/>
  <c r="O117" i="1"/>
  <c r="P41" i="19"/>
  <c r="P40" i="19"/>
  <c r="O41" i="19"/>
  <c r="O42" i="19" s="1"/>
  <c r="O40" i="19"/>
  <c r="Y117" i="1"/>
  <c r="AE117" i="1"/>
  <c r="AA117" i="1"/>
  <c r="M319" i="1"/>
  <c r="M96" i="1"/>
  <c r="N41" i="19"/>
  <c r="N42" i="19" s="1"/>
  <c r="N40" i="19"/>
  <c r="M123" i="1"/>
  <c r="M125" i="1" s="1"/>
  <c r="M127" i="1" s="1"/>
  <c r="M130" i="1" s="1"/>
  <c r="M351" i="1"/>
  <c r="M354" i="1" s="1"/>
  <c r="M350" i="1"/>
  <c r="M353" i="1" s="1"/>
  <c r="M355" i="1" s="1"/>
  <c r="M347" i="1"/>
  <c r="N344" i="1" s="1"/>
  <c r="M31" i="19"/>
  <c r="N19" i="19"/>
  <c r="M45" i="19"/>
  <c r="M46" i="19" s="1"/>
  <c r="M43" i="19"/>
  <c r="L351" i="1"/>
  <c r="L354" i="1" s="1"/>
  <c r="L350" i="1"/>
  <c r="L353" i="1" s="1"/>
  <c r="L355" i="1" s="1"/>
  <c r="L127" i="1" l="1"/>
  <c r="L130" i="1" s="1"/>
  <c r="L132" i="1" s="1"/>
  <c r="L76" i="19"/>
  <c r="P47" i="19"/>
  <c r="P64" i="19" s="1"/>
  <c r="L57" i="19"/>
  <c r="L65" i="19" s="1"/>
  <c r="L66" i="19" s="1"/>
  <c r="M62" i="19" s="1"/>
  <c r="M63" i="19" s="1"/>
  <c r="L56" i="19"/>
  <c r="L32" i="19" s="1"/>
  <c r="K83" i="19"/>
  <c r="K84" i="19" s="1"/>
  <c r="K85" i="19" s="1"/>
  <c r="K92" i="19"/>
  <c r="N45" i="19"/>
  <c r="N46" i="19" s="1"/>
  <c r="N43" i="19"/>
  <c r="O43" i="19"/>
  <c r="O45" i="19"/>
  <c r="O46" i="19" s="1"/>
  <c r="M323" i="1"/>
  <c r="M141" i="1"/>
  <c r="M95" i="1"/>
  <c r="M128" i="1"/>
  <c r="M131" i="1" s="1"/>
  <c r="M132" i="1" s="1"/>
  <c r="M124" i="1"/>
  <c r="N121" i="1" s="1"/>
  <c r="N122" i="1" s="1"/>
  <c r="N123" i="1" s="1"/>
  <c r="N125" i="1" s="1"/>
  <c r="N127" i="1" s="1"/>
  <c r="N130" i="1" s="1"/>
  <c r="M47" i="19"/>
  <c r="N31" i="19"/>
  <c r="O19" i="19"/>
  <c r="N345" i="1"/>
  <c r="N346" i="1" s="1"/>
  <c r="N348" i="1" s="1"/>
  <c r="M133" i="1"/>
  <c r="M143" i="1"/>
  <c r="L133" i="1" l="1"/>
  <c r="L134" i="1" s="1"/>
  <c r="L143" i="1"/>
  <c r="L60" i="19"/>
  <c r="L77" i="19" s="1"/>
  <c r="L58" i="19"/>
  <c r="M53" i="19" s="1"/>
  <c r="M55" i="19" s="1"/>
  <c r="L22" i="19"/>
  <c r="L59" i="19"/>
  <c r="N47" i="19"/>
  <c r="N64" i="19" s="1"/>
  <c r="K93" i="19"/>
  <c r="K97" i="19" s="1"/>
  <c r="K98" i="19" s="1"/>
  <c r="K99" i="19" s="1"/>
  <c r="K100" i="19" s="1"/>
  <c r="K104" i="19" s="1"/>
  <c r="L67" i="19"/>
  <c r="O47" i="19"/>
  <c r="O64" i="19" s="1"/>
  <c r="M322" i="1"/>
  <c r="M97" i="1"/>
  <c r="N128" i="1"/>
  <c r="N131" i="1" s="1"/>
  <c r="N132" i="1" s="1"/>
  <c r="M64" i="19"/>
  <c r="N124" i="1"/>
  <c r="O121" i="1" s="1"/>
  <c r="O122" i="1" s="1"/>
  <c r="O123" i="1" s="1"/>
  <c r="O125" i="1" s="1"/>
  <c r="O128" i="1" s="1"/>
  <c r="O131" i="1" s="1"/>
  <c r="N347" i="1"/>
  <c r="O344" i="1" s="1"/>
  <c r="O345" i="1" s="1"/>
  <c r="N351" i="1"/>
  <c r="N354" i="1" s="1"/>
  <c r="N350" i="1"/>
  <c r="N353" i="1" s="1"/>
  <c r="N355" i="1" s="1"/>
  <c r="N143" i="1"/>
  <c r="N133" i="1"/>
  <c r="O31" i="19"/>
  <c r="P19" i="19"/>
  <c r="M134" i="1" l="1"/>
  <c r="N134" i="1"/>
  <c r="F49" i="19"/>
  <c r="L69" i="19"/>
  <c r="L70" i="19" s="1"/>
  <c r="L78" i="19" s="1"/>
  <c r="L82" i="19" s="1"/>
  <c r="L83" i="19" s="1"/>
  <c r="L84" i="19" s="1"/>
  <c r="L85" i="19" s="1"/>
  <c r="L54" i="19"/>
  <c r="M57" i="19"/>
  <c r="M60" i="19" s="1"/>
  <c r="M77" i="19" s="1"/>
  <c r="M56" i="19"/>
  <c r="M32" i="19" s="1"/>
  <c r="D10" i="19"/>
  <c r="D9" i="19" s="1"/>
  <c r="K95" i="19"/>
  <c r="K94" i="19"/>
  <c r="L89" i="19" s="1"/>
  <c r="L96" i="19" s="1"/>
  <c r="L10" i="19"/>
  <c r="F48" i="19"/>
  <c r="K21" i="19"/>
  <c r="K105" i="19"/>
  <c r="K28" i="19" s="1"/>
  <c r="N92" i="1"/>
  <c r="M324" i="1"/>
  <c r="O127" i="1"/>
  <c r="O130" i="1" s="1"/>
  <c r="O143" i="1" s="1"/>
  <c r="O124" i="1"/>
  <c r="P121" i="1" s="1"/>
  <c r="P122" i="1" s="1"/>
  <c r="P123" i="1" s="1"/>
  <c r="P125" i="1" s="1"/>
  <c r="P127" i="1" s="1"/>
  <c r="P130" i="1" s="1"/>
  <c r="P31" i="19"/>
  <c r="D31" i="19" s="1"/>
  <c r="L91" i="19" l="1"/>
  <c r="L90" i="19"/>
  <c r="D8" i="19"/>
  <c r="M59" i="19"/>
  <c r="M22" i="19"/>
  <c r="M58" i="19"/>
  <c r="N53" i="19" s="1"/>
  <c r="N56" i="19" s="1"/>
  <c r="N22" i="19" s="1"/>
  <c r="M65" i="19"/>
  <c r="M67" i="19" s="1"/>
  <c r="K106" i="19"/>
  <c r="K107" i="19" s="1"/>
  <c r="K34" i="19"/>
  <c r="K29" i="19"/>
  <c r="K30" i="19" s="1"/>
  <c r="K24" i="19"/>
  <c r="M54" i="19"/>
  <c r="L79" i="19"/>
  <c r="M74" i="19" s="1"/>
  <c r="L80" i="19"/>
  <c r="N96" i="1"/>
  <c r="N319" i="1"/>
  <c r="L92" i="19"/>
  <c r="O133" i="1"/>
  <c r="O134" i="1" s="1"/>
  <c r="O132" i="1"/>
  <c r="P128" i="1"/>
  <c r="P131" i="1" s="1"/>
  <c r="P132" i="1" s="1"/>
  <c r="P124" i="1"/>
  <c r="Q121" i="1" s="1"/>
  <c r="Q122" i="1" s="1"/>
  <c r="Q123" i="1" s="1"/>
  <c r="Q125" i="1" s="1"/>
  <c r="Q128" i="1" s="1"/>
  <c r="Q131" i="1" s="1"/>
  <c r="P143" i="1"/>
  <c r="P133" i="1"/>
  <c r="L93" i="19" l="1"/>
  <c r="L94" i="19" s="1"/>
  <c r="M89" i="19" s="1"/>
  <c r="N55" i="19"/>
  <c r="N57" i="19" s="1"/>
  <c r="N65" i="19" s="1"/>
  <c r="N67" i="19" s="1"/>
  <c r="M66" i="19"/>
  <c r="N62" i="19" s="1"/>
  <c r="N63" i="19" s="1"/>
  <c r="M69" i="19"/>
  <c r="M70" i="19" s="1"/>
  <c r="N32" i="19"/>
  <c r="N323" i="1"/>
  <c r="N95" i="1"/>
  <c r="N141" i="1"/>
  <c r="M76" i="19"/>
  <c r="M81" i="19"/>
  <c r="M75" i="19"/>
  <c r="Q127" i="1"/>
  <c r="Q130" i="1" s="1"/>
  <c r="Q133" i="1" s="1"/>
  <c r="Q134" i="1" s="1"/>
  <c r="Q124" i="1"/>
  <c r="R121" i="1" s="1"/>
  <c r="R122" i="1" s="1"/>
  <c r="R123" i="1" s="1"/>
  <c r="R125" i="1" s="1"/>
  <c r="P134" i="1"/>
  <c r="N59" i="19" l="1"/>
  <c r="L97" i="19"/>
  <c r="L98" i="19" s="1"/>
  <c r="L99" i="19" s="1"/>
  <c r="L100" i="19" s="1"/>
  <c r="L104" i="19" s="1"/>
  <c r="L21" i="19" s="1"/>
  <c r="L24" i="19" s="1"/>
  <c r="N58" i="19"/>
  <c r="O53" i="19" s="1"/>
  <c r="O55" i="19" s="1"/>
  <c r="O57" i="19" s="1"/>
  <c r="O65" i="19" s="1"/>
  <c r="O67" i="19" s="1"/>
  <c r="L95" i="19"/>
  <c r="N66" i="19"/>
  <c r="O62" i="19" s="1"/>
  <c r="O63" i="19" s="1"/>
  <c r="N60" i="19"/>
  <c r="M78" i="19"/>
  <c r="M82" i="19" s="1"/>
  <c r="M83" i="19" s="1"/>
  <c r="M84" i="19" s="1"/>
  <c r="M85" i="19" s="1"/>
  <c r="Q132" i="1"/>
  <c r="Q143" i="1"/>
  <c r="N322" i="1"/>
  <c r="N97" i="1"/>
  <c r="M90" i="19"/>
  <c r="M96" i="19"/>
  <c r="M91" i="19"/>
  <c r="R124" i="1"/>
  <c r="S121" i="1" s="1"/>
  <c r="S122" i="1" s="1"/>
  <c r="S123" i="1" s="1"/>
  <c r="S125" i="1" s="1"/>
  <c r="R127" i="1"/>
  <c r="R130" i="1" s="1"/>
  <c r="R128" i="1"/>
  <c r="R131" i="1" s="1"/>
  <c r="L29" i="19" l="1"/>
  <c r="O60" i="19"/>
  <c r="O54" i="19" s="1"/>
  <c r="O66" i="19"/>
  <c r="P62" i="19" s="1"/>
  <c r="P63" i="19" s="1"/>
  <c r="L105" i="19"/>
  <c r="L28" i="19" s="1"/>
  <c r="L34" i="19" s="1"/>
  <c r="O56" i="19"/>
  <c r="O32" i="19" s="1"/>
  <c r="M80" i="19"/>
  <c r="M79" i="19"/>
  <c r="N74" i="19" s="1"/>
  <c r="N76" i="19" s="1"/>
  <c r="M92" i="19"/>
  <c r="M93" i="19" s="1"/>
  <c r="M97" i="19" s="1"/>
  <c r="N77" i="19"/>
  <c r="N69" i="19"/>
  <c r="N70" i="19" s="1"/>
  <c r="N54" i="19"/>
  <c r="N324" i="1"/>
  <c r="O92" i="1"/>
  <c r="S127" i="1"/>
  <c r="S130" i="1" s="1"/>
  <c r="S128" i="1"/>
  <c r="S131" i="1" s="1"/>
  <c r="R132" i="1"/>
  <c r="R133" i="1"/>
  <c r="R143" i="1"/>
  <c r="S124" i="1"/>
  <c r="T121" i="1" s="1"/>
  <c r="O69" i="19" l="1"/>
  <c r="O70" i="19" s="1"/>
  <c r="L30" i="19"/>
  <c r="O77" i="19"/>
  <c r="O59" i="19"/>
  <c r="L106" i="19"/>
  <c r="L107" i="19" s="1"/>
  <c r="O22" i="19"/>
  <c r="O58" i="19"/>
  <c r="P53" i="19" s="1"/>
  <c r="P55" i="19" s="1"/>
  <c r="P57" i="19" s="1"/>
  <c r="N75" i="19"/>
  <c r="N78" i="19" s="1"/>
  <c r="N82" i="19" s="1"/>
  <c r="N83" i="19" s="1"/>
  <c r="N81" i="19"/>
  <c r="O319" i="1"/>
  <c r="O96" i="1"/>
  <c r="M95" i="19"/>
  <c r="R134" i="1"/>
  <c r="S133" i="1"/>
  <c r="S134" i="1" s="1"/>
  <c r="S132" i="1"/>
  <c r="S143" i="1"/>
  <c r="M94" i="19"/>
  <c r="N89" i="19" s="1"/>
  <c r="T122" i="1"/>
  <c r="T123" i="1" s="1"/>
  <c r="T125" i="1" s="1"/>
  <c r="M98" i="19"/>
  <c r="M99" i="19" s="1"/>
  <c r="M100" i="19" s="1"/>
  <c r="M104" i="19" s="1"/>
  <c r="M21" i="19" s="1"/>
  <c r="P56" i="19" l="1"/>
  <c r="P32" i="19" s="1"/>
  <c r="D32" i="19" s="1"/>
  <c r="N79" i="19"/>
  <c r="O74" i="19" s="1"/>
  <c r="O75" i="19" s="1"/>
  <c r="N80" i="19"/>
  <c r="P60" i="19"/>
  <c r="P65" i="19"/>
  <c r="O95" i="1"/>
  <c r="O141" i="1"/>
  <c r="O323" i="1"/>
  <c r="M29" i="19"/>
  <c r="M24" i="19"/>
  <c r="T128" i="1"/>
  <c r="T131" i="1" s="1"/>
  <c r="T127" i="1"/>
  <c r="T130" i="1" s="1"/>
  <c r="N90" i="19"/>
  <c r="N91" i="19"/>
  <c r="N96" i="19"/>
  <c r="N92" i="19"/>
  <c r="M105" i="19"/>
  <c r="M28" i="19" s="1"/>
  <c r="T124" i="1"/>
  <c r="U121" i="1" s="1"/>
  <c r="N84" i="19"/>
  <c r="N85" i="19" s="1"/>
  <c r="P22" i="19" l="1"/>
  <c r="D22" i="19" s="1"/>
  <c r="P59" i="19"/>
  <c r="E59" i="19" s="1"/>
  <c r="P58" i="19"/>
  <c r="O81" i="19"/>
  <c r="O76" i="19"/>
  <c r="P77" i="19"/>
  <c r="P54" i="19"/>
  <c r="F54" i="19" s="1"/>
  <c r="P67" i="19"/>
  <c r="E67" i="19" s="1"/>
  <c r="P69" i="19"/>
  <c r="P70" i="19" s="1"/>
  <c r="P66" i="19"/>
  <c r="O322" i="1"/>
  <c r="O97" i="1"/>
  <c r="M30" i="19"/>
  <c r="N93" i="19"/>
  <c r="N97" i="19" s="1"/>
  <c r="N98" i="19" s="1"/>
  <c r="M106" i="19"/>
  <c r="M107" i="19" s="1"/>
  <c r="O78" i="19"/>
  <c r="T132" i="1"/>
  <c r="T143" i="1"/>
  <c r="T133" i="1"/>
  <c r="M34" i="19"/>
  <c r="U122" i="1"/>
  <c r="U123" i="1" s="1"/>
  <c r="U125" i="1" s="1"/>
  <c r="O79" i="19" l="1"/>
  <c r="P74" i="19" s="1"/>
  <c r="P76" i="19" s="1"/>
  <c r="N95" i="19"/>
  <c r="N94" i="19"/>
  <c r="O89" i="19" s="1"/>
  <c r="O91" i="19" s="1"/>
  <c r="O324" i="1"/>
  <c r="O337" i="1" s="1"/>
  <c r="O338" i="1" s="1"/>
  <c r="P92" i="1"/>
  <c r="P96" i="1" s="1"/>
  <c r="U124" i="1"/>
  <c r="V121" i="1" s="1"/>
  <c r="V122" i="1" s="1"/>
  <c r="V123" i="1" s="1"/>
  <c r="V125" i="1" s="1"/>
  <c r="O82" i="19"/>
  <c r="O83" i="19" s="1"/>
  <c r="O84" i="19" s="1"/>
  <c r="O85" i="19" s="1"/>
  <c r="O80" i="19"/>
  <c r="T134" i="1"/>
  <c r="U127" i="1"/>
  <c r="U130" i="1" s="1"/>
  <c r="U128" i="1"/>
  <c r="U131" i="1" s="1"/>
  <c r="N99" i="19"/>
  <c r="N100" i="19" s="1"/>
  <c r="N104" i="19" s="1"/>
  <c r="P75" i="19" l="1"/>
  <c r="P78" i="19" s="1"/>
  <c r="P82" i="19" s="1"/>
  <c r="P83" i="19" s="1"/>
  <c r="P84" i="19" s="1"/>
  <c r="P85" i="19" s="1"/>
  <c r="P81" i="19"/>
  <c r="O96" i="19"/>
  <c r="O90" i="19"/>
  <c r="P95" i="1"/>
  <c r="P97" i="1" s="1"/>
  <c r="Q92" i="1" s="1"/>
  <c r="Q96" i="1" s="1"/>
  <c r="P141" i="1"/>
  <c r="E340" i="1"/>
  <c r="F170" i="1" s="1"/>
  <c r="G21" i="1" s="1"/>
  <c r="O346" i="1"/>
  <c r="O347" i="1" s="1"/>
  <c r="O92" i="19"/>
  <c r="U143" i="1"/>
  <c r="U133" i="1"/>
  <c r="U132" i="1"/>
  <c r="V124" i="1"/>
  <c r="W121" i="1" s="1"/>
  <c r="V127" i="1"/>
  <c r="V130" i="1" s="1"/>
  <c r="V128" i="1"/>
  <c r="V131" i="1" s="1"/>
  <c r="N105" i="19"/>
  <c r="N28" i="19" s="1"/>
  <c r="N21" i="19"/>
  <c r="P80" i="19" l="1"/>
  <c r="E80" i="19" s="1"/>
  <c r="P79" i="19"/>
  <c r="O348" i="1"/>
  <c r="O351" i="1" s="1"/>
  <c r="O354" i="1" s="1"/>
  <c r="E360" i="1" s="1"/>
  <c r="F174" i="1" s="1"/>
  <c r="Q141" i="1"/>
  <c r="Q95" i="1"/>
  <c r="Q97" i="1" s="1"/>
  <c r="R92" i="1" s="1"/>
  <c r="R96" i="1" s="1"/>
  <c r="O93" i="19"/>
  <c r="O97" i="19" s="1"/>
  <c r="W122" i="1"/>
  <c r="W123" i="1" s="1"/>
  <c r="W125" i="1" s="1"/>
  <c r="U134" i="1"/>
  <c r="N34" i="19"/>
  <c r="N29" i="19"/>
  <c r="N30" i="19" s="1"/>
  <c r="N24" i="19"/>
  <c r="V133" i="1"/>
  <c r="V132" i="1"/>
  <c r="V143" i="1"/>
  <c r="N106" i="19"/>
  <c r="N107" i="19" s="1"/>
  <c r="O350" i="1" l="1"/>
  <c r="O353" i="1" s="1"/>
  <c r="O355" i="1" s="1"/>
  <c r="E358" i="1" s="1"/>
  <c r="F172" i="1" s="1"/>
  <c r="G23" i="1" s="1"/>
  <c r="R141" i="1"/>
  <c r="R95" i="1"/>
  <c r="R97" i="1" s="1"/>
  <c r="S92" i="1" s="1"/>
  <c r="S96" i="1" s="1"/>
  <c r="O94" i="19"/>
  <c r="P89" i="19" s="1"/>
  <c r="O95" i="19"/>
  <c r="O98" i="19"/>
  <c r="O99" i="19" s="1"/>
  <c r="O100" i="19" s="1"/>
  <c r="O104" i="19" s="1"/>
  <c r="W128" i="1"/>
  <c r="W131" i="1" s="1"/>
  <c r="W127" i="1"/>
  <c r="W130" i="1" s="1"/>
  <c r="V134" i="1"/>
  <c r="W124" i="1"/>
  <c r="X121" i="1" s="1"/>
  <c r="E359" i="1" l="1"/>
  <c r="F173" i="1" s="1"/>
  <c r="G24" i="1" s="1"/>
  <c r="E357" i="1"/>
  <c r="F171" i="1" s="1"/>
  <c r="G22" i="1" s="1"/>
  <c r="S141" i="1"/>
  <c r="S95" i="1"/>
  <c r="S97" i="1" s="1"/>
  <c r="T92" i="1" s="1"/>
  <c r="T96" i="1" s="1"/>
  <c r="O105" i="19"/>
  <c r="O28" i="19" s="1"/>
  <c r="P92" i="19"/>
  <c r="P96" i="19"/>
  <c r="P91" i="19"/>
  <c r="P90" i="19"/>
  <c r="O21" i="19"/>
  <c r="X122" i="1"/>
  <c r="X123" i="1" s="1"/>
  <c r="X125" i="1" s="1"/>
  <c r="W133" i="1"/>
  <c r="W132" i="1"/>
  <c r="W143" i="1"/>
  <c r="P93" i="19" l="1"/>
  <c r="P97" i="19" s="1"/>
  <c r="P98" i="19" s="1"/>
  <c r="P99" i="19" s="1"/>
  <c r="P100" i="19" s="1"/>
  <c r="P104" i="19" s="1"/>
  <c r="P105" i="19" s="1"/>
  <c r="P28" i="19" s="1"/>
  <c r="T141" i="1"/>
  <c r="T95" i="1"/>
  <c r="T97" i="1" s="1"/>
  <c r="U92" i="1" s="1"/>
  <c r="U96" i="1" s="1"/>
  <c r="O106" i="19"/>
  <c r="O107" i="19" s="1"/>
  <c r="O34" i="19"/>
  <c r="O24" i="19"/>
  <c r="O29" i="19"/>
  <c r="O30" i="19" s="1"/>
  <c r="X128" i="1"/>
  <c r="X131" i="1" s="1"/>
  <c r="X127" i="1"/>
  <c r="X130" i="1" s="1"/>
  <c r="W134" i="1"/>
  <c r="X124" i="1"/>
  <c r="Y121" i="1" s="1"/>
  <c r="D28" i="19" l="1"/>
  <c r="D33" i="19" s="1"/>
  <c r="P34" i="19"/>
  <c r="D34" i="19" s="1"/>
  <c r="P21" i="19"/>
  <c r="P29" i="19" s="1"/>
  <c r="P30" i="19" s="1"/>
  <c r="P94" i="19"/>
  <c r="P95" i="19"/>
  <c r="E95" i="19" s="1"/>
  <c r="P106" i="19"/>
  <c r="P107" i="19" s="1"/>
  <c r="U141" i="1"/>
  <c r="U95" i="1"/>
  <c r="U97" i="1" s="1"/>
  <c r="V92" i="1" s="1"/>
  <c r="V96" i="1" s="1"/>
  <c r="Y122" i="1"/>
  <c r="Y123" i="1" s="1"/>
  <c r="Y125" i="1" s="1"/>
  <c r="X133" i="1"/>
  <c r="X132" i="1"/>
  <c r="X143" i="1"/>
  <c r="P24" i="19" l="1"/>
  <c r="D24" i="19" s="1"/>
  <c r="D21" i="19"/>
  <c r="D25" i="19" s="1"/>
  <c r="D35" i="19"/>
  <c r="V141" i="1"/>
  <c r="V95" i="1"/>
  <c r="V97" i="1" s="1"/>
  <c r="W92" i="1" s="1"/>
  <c r="W96" i="1" s="1"/>
  <c r="Y124" i="1"/>
  <c r="Z121" i="1" s="1"/>
  <c r="X134" i="1"/>
  <c r="Y127" i="1"/>
  <c r="Y130" i="1" s="1"/>
  <c r="Y128" i="1"/>
  <c r="Y131" i="1" s="1"/>
  <c r="D23" i="19" l="1"/>
  <c r="L9" i="19" s="1"/>
  <c r="L8" i="19" s="1"/>
  <c r="W141" i="1"/>
  <c r="W95" i="1"/>
  <c r="W97" i="1" s="1"/>
  <c r="X92" i="1" s="1"/>
  <c r="X96" i="1" s="1"/>
  <c r="Y132" i="1"/>
  <c r="Y143" i="1"/>
  <c r="Y133" i="1"/>
  <c r="Z122" i="1"/>
  <c r="Z123" i="1" s="1"/>
  <c r="Z125" i="1" s="1"/>
  <c r="X141" i="1" l="1"/>
  <c r="X95" i="1"/>
  <c r="X97" i="1" s="1"/>
  <c r="Y92" i="1" s="1"/>
  <c r="Y96" i="1" s="1"/>
  <c r="Z128" i="1"/>
  <c r="Z131" i="1" s="1"/>
  <c r="Z127" i="1"/>
  <c r="Z130" i="1" s="1"/>
  <c r="Z124" i="1"/>
  <c r="AA121" i="1" s="1"/>
  <c r="Y134" i="1"/>
  <c r="Y95" i="1" l="1"/>
  <c r="Y97" i="1" s="1"/>
  <c r="Z92" i="1" s="1"/>
  <c r="Z96" i="1" s="1"/>
  <c r="Y141" i="1"/>
  <c r="AA122" i="1"/>
  <c r="AA123" i="1" s="1"/>
  <c r="AA125" i="1" s="1"/>
  <c r="Z143" i="1"/>
  <c r="Z132" i="1"/>
  <c r="Z133" i="1"/>
  <c r="Z95" i="1" l="1"/>
  <c r="Z97" i="1" s="1"/>
  <c r="AA92" i="1" s="1"/>
  <c r="AA96" i="1" s="1"/>
  <c r="Z141" i="1"/>
  <c r="Z134" i="1"/>
  <c r="AA124" i="1"/>
  <c r="AB121" i="1" s="1"/>
  <c r="AA128" i="1"/>
  <c r="AA131" i="1" s="1"/>
  <c r="AA127" i="1"/>
  <c r="AA130" i="1" s="1"/>
  <c r="AA141" i="1" l="1"/>
  <c r="AA95" i="1"/>
  <c r="AA97" i="1" s="1"/>
  <c r="AB92" i="1" s="1"/>
  <c r="AB96" i="1" s="1"/>
  <c r="AB122" i="1"/>
  <c r="AB123" i="1" s="1"/>
  <c r="AB125" i="1" s="1"/>
  <c r="AA133" i="1"/>
  <c r="AA143" i="1"/>
  <c r="AA132" i="1"/>
  <c r="AB141" i="1" l="1"/>
  <c r="AB95" i="1"/>
  <c r="AB97" i="1" s="1"/>
  <c r="AC92" i="1" s="1"/>
  <c r="AC96" i="1" s="1"/>
  <c r="AB127" i="1"/>
  <c r="AB130" i="1" s="1"/>
  <c r="AB128" i="1"/>
  <c r="AB131" i="1" s="1"/>
  <c r="AB124" i="1"/>
  <c r="AC121" i="1" s="1"/>
  <c r="AA134" i="1"/>
  <c r="AC141" i="1" l="1"/>
  <c r="AC95" i="1"/>
  <c r="AC97" i="1" s="1"/>
  <c r="AD92" i="1" s="1"/>
  <c r="AD96" i="1" s="1"/>
  <c r="AB132" i="1"/>
  <c r="AB133" i="1"/>
  <c r="AB143" i="1"/>
  <c r="AC122" i="1"/>
  <c r="AC123" i="1" s="1"/>
  <c r="AC125" i="1" s="1"/>
  <c r="AD141" i="1" l="1"/>
  <c r="AD95" i="1"/>
  <c r="AD97" i="1" s="1"/>
  <c r="AE92" i="1" s="1"/>
  <c r="AE96" i="1" s="1"/>
  <c r="AC124" i="1"/>
  <c r="AD121" i="1" s="1"/>
  <c r="AC128" i="1"/>
  <c r="AC131" i="1" s="1"/>
  <c r="AC127" i="1"/>
  <c r="AC130" i="1" s="1"/>
  <c r="AB134" i="1"/>
  <c r="AE141" i="1" l="1"/>
  <c r="AE95" i="1"/>
  <c r="AE97" i="1" s="1"/>
  <c r="AF92" i="1" s="1"/>
  <c r="AF96" i="1" s="1"/>
  <c r="AC133" i="1"/>
  <c r="AC134" i="1" s="1"/>
  <c r="AC143" i="1"/>
  <c r="AC132" i="1"/>
  <c r="AD122" i="1"/>
  <c r="AD123" i="1" s="1"/>
  <c r="AD125" i="1" s="1"/>
  <c r="AF141" i="1" l="1"/>
  <c r="AF95" i="1"/>
  <c r="AF97" i="1" s="1"/>
  <c r="AG92" i="1" s="1"/>
  <c r="AG96" i="1" s="1"/>
  <c r="AD128" i="1"/>
  <c r="AD131" i="1" s="1"/>
  <c r="AD127" i="1"/>
  <c r="AD130" i="1" s="1"/>
  <c r="AD124" i="1"/>
  <c r="AE121" i="1" s="1"/>
  <c r="AG95" i="1" l="1"/>
  <c r="AG97" i="1" s="1"/>
  <c r="AH92" i="1" s="1"/>
  <c r="AH96" i="1" s="1"/>
  <c r="AH141" i="1" s="1"/>
  <c r="AG141" i="1"/>
  <c r="AE122" i="1"/>
  <c r="AE123" i="1" s="1"/>
  <c r="AE125" i="1" s="1"/>
  <c r="AD143" i="1"/>
  <c r="AD133" i="1"/>
  <c r="AD134" i="1" s="1"/>
  <c r="AD132" i="1"/>
  <c r="AH95" i="1" l="1"/>
  <c r="AH97" i="1" s="1"/>
  <c r="AI92" i="1" s="1"/>
  <c r="AI96" i="1" s="1"/>
  <c r="AE124" i="1"/>
  <c r="AF121" i="1" s="1"/>
  <c r="AE128" i="1"/>
  <c r="AE131" i="1" s="1"/>
  <c r="AE127" i="1"/>
  <c r="AE130" i="1" s="1"/>
  <c r="AE143" i="1" l="1"/>
  <c r="AE133" i="1"/>
  <c r="AE134" i="1" s="1"/>
  <c r="AE132" i="1"/>
  <c r="AF122" i="1"/>
  <c r="AF123" i="1" s="1"/>
  <c r="AF125" i="1" s="1"/>
  <c r="AI141" i="1"/>
  <c r="AI95" i="1"/>
  <c r="AI97" i="1" s="1"/>
  <c r="AJ92" i="1" s="1"/>
  <c r="AF124" i="1" l="1"/>
  <c r="AG121" i="1" s="1"/>
  <c r="AG122" i="1" s="1"/>
  <c r="AG123" i="1" s="1"/>
  <c r="AG125" i="1" s="1"/>
  <c r="AF128" i="1"/>
  <c r="AF131" i="1" s="1"/>
  <c r="AF127" i="1"/>
  <c r="AF130" i="1" s="1"/>
  <c r="AJ96" i="1"/>
  <c r="AF143" i="1" l="1"/>
  <c r="AF132" i="1"/>
  <c r="AF133" i="1"/>
  <c r="AF134" i="1" s="1"/>
  <c r="AG124" i="1"/>
  <c r="AH121" i="1" s="1"/>
  <c r="AG128" i="1"/>
  <c r="AG131" i="1" s="1"/>
  <c r="AG127" i="1"/>
  <c r="AG130" i="1" s="1"/>
  <c r="AJ141" i="1"/>
  <c r="AJ95" i="1"/>
  <c r="AJ97" i="1" s="1"/>
  <c r="AJ114" i="1" s="1"/>
  <c r="AJ115" i="1" s="1"/>
  <c r="AG133" i="1" l="1"/>
  <c r="AG134" i="1" s="1"/>
  <c r="AG132" i="1"/>
  <c r="AG143" i="1"/>
  <c r="AH122" i="1"/>
  <c r="AH123" i="1" s="1"/>
  <c r="AH125" i="1" s="1"/>
  <c r="AJ116" i="1"/>
  <c r="AJ117" i="1" s="1"/>
  <c r="D117" i="1"/>
  <c r="C20" i="1" s="1"/>
  <c r="AH124" i="1" l="1"/>
  <c r="AI121" i="1" s="1"/>
  <c r="AI122" i="1" s="1"/>
  <c r="AI123" i="1" s="1"/>
  <c r="AI125" i="1" s="1"/>
  <c r="AH127" i="1"/>
  <c r="AH130" i="1" s="1"/>
  <c r="AH128" i="1"/>
  <c r="AH131" i="1" s="1"/>
  <c r="AH132" i="1" l="1"/>
  <c r="AH133" i="1"/>
  <c r="AH134" i="1" s="1"/>
  <c r="AH143" i="1"/>
  <c r="AI124" i="1"/>
  <c r="AJ121" i="1" s="1"/>
  <c r="AI128" i="1"/>
  <c r="AI131" i="1" s="1"/>
  <c r="AI127" i="1"/>
  <c r="AI130" i="1" s="1"/>
  <c r="AI143" i="1" l="1"/>
  <c r="AI133" i="1"/>
  <c r="AI134" i="1" s="1"/>
  <c r="AI132" i="1"/>
  <c r="AJ122" i="1"/>
  <c r="AJ123" i="1" s="1"/>
  <c r="AJ125" i="1" s="1"/>
  <c r="AJ127" i="1" l="1"/>
  <c r="AJ130" i="1" s="1"/>
  <c r="AJ128" i="1"/>
  <c r="AJ131" i="1" s="1"/>
  <c r="D131" i="1" s="1"/>
  <c r="AJ124" i="1"/>
  <c r="AJ143" i="1" l="1"/>
  <c r="D144" i="1" s="1"/>
  <c r="I51" i="8" s="1"/>
  <c r="D134" i="1"/>
  <c r="D130" i="1"/>
  <c r="AJ133" i="1"/>
  <c r="AJ134" i="1" s="1"/>
  <c r="AJ132" i="1"/>
  <c r="I9" i="8" l="1"/>
  <c r="I50" i="8"/>
  <c r="C21" i="1"/>
  <c r="B21" i="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Brian</author>
    <author>Alan Stevenson</author>
  </authors>
  <commentList>
    <comment ref="E38" authorId="0" shapeId="0" xr:uid="{2DC058A8-E2F4-4FF5-AE5F-328E040CFE24}">
      <text>
        <r>
          <rPr>
            <b/>
            <sz val="9"/>
            <color indexed="81"/>
            <rFont val="Tahoma"/>
            <family val="2"/>
          </rPr>
          <t>Brian:</t>
        </r>
        <r>
          <rPr>
            <sz val="9"/>
            <color indexed="81"/>
            <rFont val="Tahoma"/>
            <family val="2"/>
          </rPr>
          <t xml:space="preserve">
This is a minimum vacancy rate and homes will stop being filled once they get at this number</t>
        </r>
      </text>
    </comment>
    <comment ref="D159" authorId="1" shapeId="0" xr:uid="{5EBD8AD3-AAF1-4DFA-9E4D-722B92D78EDD}">
      <text>
        <r>
          <rPr>
            <b/>
            <sz val="9"/>
            <color indexed="81"/>
            <rFont val="Tahoma"/>
            <family val="2"/>
          </rPr>
          <t>Alan Stevenson:</t>
        </r>
        <r>
          <rPr>
            <sz val="9"/>
            <color indexed="81"/>
            <rFont val="Tahoma"/>
            <family val="2"/>
          </rPr>
          <t xml:space="preserve">
Needs to be determined as accurately as easily possible to show the most recent month's income.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Alan Stevenson</author>
  </authors>
  <commentList>
    <comment ref="C35" authorId="0" shapeId="0" xr:uid="{F758383A-CFB2-4106-AE0F-4869820BE755}">
      <text>
        <r>
          <rPr>
            <b/>
            <sz val="9"/>
            <color indexed="81"/>
            <rFont val="Tahoma"/>
            <family val="2"/>
          </rPr>
          <t xml:space="preserve">Fill in Assessed Property Value from Tax Bill (for California).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tc={4A5875FD-6FE4-41FD-AAD3-38CC87E06ECE}</author>
    <author>tc={8D5A141D-9A3A-44F8-800C-FF25B58CEFF3}</author>
  </authors>
  <commentList>
    <comment ref="C27" authorId="0" shapeId="0" xr:uid="{4A5875FD-6FE4-41FD-AAD3-38CC87E06ECE}">
      <text>
        <t>[Threaded comment]
Your version of Excel allows you to read this threaded comment; however, any edits to it will get removed if the file is opened in a newer version of Excel. Learn more: https://go.microsoft.com/fwlink/?linkid=870924
Comment:
    Alan Stevenson:
For historicals, this is the total summed up vacancy (i.e. we do not break out vacancy between the three bvg categories)</t>
      </text>
    </comment>
    <comment ref="C39" authorId="1" shapeId="0" xr:uid="{8D5A141D-9A3A-44F8-800C-FF25B58CEFF3}">
      <text>
        <t>[Threaded comment]
Your version of Excel allows you to read this threaded comment; however, any edits to it will get removed if the file is opened in a newer version of Excel. Learn more: https://go.microsoft.com/fwlink/?linkid=870924
Comment:
    like Vacancy, this is a total number for the historicals column (since the historical categoties are not going to match the bvg categories)</t>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Alan Stevenson</author>
  </authors>
  <commentList>
    <comment ref="I9" authorId="0" shapeId="0" xr:uid="{9DA143A7-A5EA-4BCB-AD16-4BA507BBFF49}">
      <text>
        <r>
          <rPr>
            <b/>
            <sz val="9"/>
            <color indexed="81"/>
            <rFont val="Tahoma"/>
            <family val="2"/>
          </rPr>
          <t>Alan Stevenson:</t>
        </r>
        <r>
          <rPr>
            <sz val="9"/>
            <color indexed="81"/>
            <rFont val="Tahoma"/>
            <family val="2"/>
          </rPr>
          <t xml:space="preserve">
if available as part of an offering package.</t>
        </r>
      </text>
    </comment>
    <comment ref="I29" authorId="0" shapeId="0" xr:uid="{DA513931-2003-463D-A4FB-721D5CF17826}">
      <text>
        <r>
          <rPr>
            <b/>
            <sz val="9"/>
            <color indexed="81"/>
            <rFont val="Tahoma"/>
            <family val="2"/>
          </rPr>
          <t>Alan Stevenson:</t>
        </r>
        <r>
          <rPr>
            <sz val="9"/>
            <color indexed="81"/>
            <rFont val="Tahoma"/>
            <family val="2"/>
          </rPr>
          <t xml:space="preserve">
if available as part of an offering package.</t>
        </r>
      </text>
    </comment>
  </commentList>
</comments>
</file>

<file path=xl/sharedStrings.xml><?xml version="1.0" encoding="utf-8"?>
<sst xmlns="http://schemas.openxmlformats.org/spreadsheetml/2006/main" count="1121" uniqueCount="766">
  <si>
    <t>Price</t>
  </si>
  <si>
    <t># of spaces
MH/RV/other</t>
  </si>
  <si>
    <t>Price/space</t>
  </si>
  <si>
    <t>Additional Cash needs</t>
  </si>
  <si>
    <t>Vacancy</t>
  </si>
  <si>
    <t>Park owned homes</t>
  </si>
  <si>
    <t>Entry Cap rate</t>
  </si>
  <si>
    <t>Target IRR</t>
  </si>
  <si>
    <t>Key Attributes</t>
  </si>
  <si>
    <t>Highly attractive price per space</t>
  </si>
  <si>
    <t>Well maintained and upgraded infrastructure</t>
  </si>
  <si>
    <t>Very high quality 55+ park</t>
  </si>
  <si>
    <t>Below market rents</t>
  </si>
  <si>
    <t>Easy infill upside with strong market demand</t>
  </si>
  <si>
    <t>Management efficiency</t>
  </si>
  <si>
    <t>What makes this property an attractive investment?</t>
  </si>
  <si>
    <t>Uses of additional cash</t>
  </si>
  <si>
    <t>Summary explanation of changes of value</t>
  </si>
  <si>
    <t>Value at year 5</t>
  </si>
  <si>
    <t>Value/space</t>
  </si>
  <si>
    <t>Refi Cap rate</t>
  </si>
  <si>
    <t>5 YR ROI (cash only)</t>
  </si>
  <si>
    <r>
      <t xml:space="preserve">INVESTMENT STRUCTURE </t>
    </r>
    <r>
      <rPr>
        <b/>
        <sz val="10"/>
        <color theme="0"/>
        <rFont val="Arial"/>
        <family val="2"/>
      </rPr>
      <t>(projected returns)</t>
    </r>
  </si>
  <si>
    <t>Cash Infusion Required</t>
  </si>
  <si>
    <r>
      <t>Investment Amount</t>
    </r>
    <r>
      <rPr>
        <b/>
        <sz val="11"/>
        <rFont val="Calibri"/>
        <family val="2"/>
        <scheme val="minor"/>
      </rPr>
      <t xml:space="preserve"> </t>
    </r>
    <r>
      <rPr>
        <b/>
        <sz val="11"/>
        <color rgb="FFC00000"/>
        <rFont val="Calibri"/>
        <family val="2"/>
        <scheme val="minor"/>
      </rPr>
      <t>(</t>
    </r>
    <r>
      <rPr>
        <b/>
        <i/>
        <sz val="11"/>
        <color rgb="FFC00000"/>
        <rFont val="Calibri"/>
        <family val="2"/>
        <scheme val="minor"/>
      </rPr>
      <t>enter amt</t>
    </r>
    <r>
      <rPr>
        <b/>
        <sz val="11"/>
        <color rgb="FFC00000"/>
        <rFont val="Calibri"/>
        <family val="2"/>
        <scheme val="minor"/>
      </rPr>
      <t>)</t>
    </r>
  </si>
  <si>
    <t>Number of Units/of 10,000 total</t>
  </si>
  <si>
    <t>% of ownership</t>
  </si>
  <si>
    <t>Projected Cash Return</t>
  </si>
  <si>
    <t>Year 1</t>
  </si>
  <si>
    <t>Year 2</t>
  </si>
  <si>
    <t>Year 3</t>
  </si>
  <si>
    <t>Year 4</t>
  </si>
  <si>
    <t xml:space="preserve">        Year 5</t>
  </si>
  <si>
    <t>Projected Depreciation</t>
  </si>
  <si>
    <t>Projected total cash returned through year 5</t>
  </si>
  <si>
    <t>Investor IRR (30 Year Hold)</t>
  </si>
  <si>
    <t>Projected value of equity remaining at year 5</t>
  </si>
  <si>
    <t>Investor IRR with Tax Shield (30 Year Hold)</t>
  </si>
  <si>
    <t>Total of cash returned plus retained equity</t>
  </si>
  <si>
    <t>Equity multiple on cash plus retained equity</t>
  </si>
  <si>
    <t xml:space="preserve"> Eli Weiner    530.400.2354</t>
  </si>
  <si>
    <t xml:space="preserve">For information contact: </t>
  </si>
  <si>
    <t>eli@boavidacommunities.com</t>
  </si>
  <si>
    <t>Purchase Price</t>
  </si>
  <si>
    <t>Projections</t>
  </si>
  <si>
    <t>Year 5</t>
  </si>
  <si>
    <t>Year 6</t>
  </si>
  <si>
    <t>Acquisition Cost</t>
  </si>
  <si>
    <t>Total</t>
  </si>
  <si>
    <t>Gross Income</t>
  </si>
  <si>
    <t>Operating Expense</t>
  </si>
  <si>
    <t>Additional Capital / Closing</t>
  </si>
  <si>
    <t>Net Income</t>
  </si>
  <si>
    <t>Total Acquisition Cost</t>
  </si>
  <si>
    <t>Gross Profit</t>
  </si>
  <si>
    <t>All In Entrance Cap Rate</t>
  </si>
  <si>
    <t>Debt Service</t>
  </si>
  <si>
    <t>Equity</t>
  </si>
  <si>
    <t xml:space="preserve">Debt </t>
  </si>
  <si>
    <t>Net Cash Flow after Debt Service</t>
  </si>
  <si>
    <t>Cash from Sale of POH</t>
  </si>
  <si>
    <t>Return of Capital from Refinance</t>
  </si>
  <si>
    <t>Cash Available for Distribution</t>
  </si>
  <si>
    <t>Total Equity Investment</t>
  </si>
  <si>
    <t>Cash Flow to Investor</t>
  </si>
  <si>
    <t>Number of Spaces</t>
  </si>
  <si>
    <t>ROE</t>
  </si>
  <si>
    <t>Price/Space</t>
  </si>
  <si>
    <t>Returns</t>
  </si>
  <si>
    <t>Investor Target IRR</t>
  </si>
  <si>
    <t>Cash on Cash (5 Years)</t>
  </si>
  <si>
    <t>Distributions (5 Years)</t>
  </si>
  <si>
    <t xml:space="preserve">Echo Hills Estates - 1700 S State Street, Hemet, CA </t>
  </si>
  <si>
    <t>Cell T1 is used for the AutoSave Function</t>
  </si>
  <si>
    <t>Acquisition Summary</t>
  </si>
  <si>
    <t>Per Space</t>
  </si>
  <si>
    <t>Inputs / Assumptions</t>
  </si>
  <si>
    <t>Inflation</t>
  </si>
  <si>
    <t>Historical Expense Inputs To Fill</t>
  </si>
  <si>
    <r>
      <t xml:space="preserve">Addl Capital / Closing Costs </t>
    </r>
    <r>
      <rPr>
        <b/>
        <sz val="10"/>
        <rFont val="Arial"/>
        <family val="2"/>
      </rPr>
      <t>(see Notes)</t>
    </r>
  </si>
  <si>
    <t>Management Fee</t>
  </si>
  <si>
    <t>Recourse Loan</t>
  </si>
  <si>
    <t>No</t>
  </si>
  <si>
    <t>Trailing 12</t>
  </si>
  <si>
    <t>Total Investment</t>
  </si>
  <si>
    <t>Management Fee Limit</t>
  </si>
  <si>
    <t>Acquisition Fee</t>
  </si>
  <si>
    <t>2018 Annualized</t>
  </si>
  <si>
    <t>Going In Cap Rate</t>
  </si>
  <si>
    <t>Vacant Spaces Filled/Year</t>
  </si>
  <si>
    <t>Asset Management Fee</t>
  </si>
  <si>
    <t>Brkr Projection</t>
  </si>
  <si>
    <t>Projected Year 1 Cap Rate</t>
  </si>
  <si>
    <t>Maintenance / Capital Reserve</t>
  </si>
  <si>
    <t>/space/yr</t>
  </si>
  <si>
    <t>Refinance Fee</t>
  </si>
  <si>
    <t>Refinance Cap Rate Assumption</t>
  </si>
  <si>
    <t>Disposition Fee</t>
  </si>
  <si>
    <t>Space Rent to Acq $ Per Pad Ratio</t>
  </si>
  <si>
    <t>Occupied</t>
  </si>
  <si>
    <t>Vacant</t>
  </si>
  <si>
    <t>Vacancy Rate</t>
  </si>
  <si>
    <t xml:space="preserve">MH </t>
  </si>
  <si>
    <t>New MH</t>
  </si>
  <si>
    <t>Other</t>
  </si>
  <si>
    <t>Park Owned Homes (POH)</t>
  </si>
  <si>
    <t>--&gt; POH to be sold</t>
  </si>
  <si>
    <t>Return Metrics Summary</t>
  </si>
  <si>
    <t>3 Year</t>
  </si>
  <si>
    <t>5 Year</t>
  </si>
  <si>
    <t>10 Year</t>
  </si>
  <si>
    <t>Investor BVG Split</t>
  </si>
  <si>
    <t>Park Owned Home NOI Summary</t>
  </si>
  <si>
    <t>Gross IRR - Unl.</t>
  </si>
  <si>
    <t>Investor %</t>
  </si>
  <si>
    <t>POH Rent</t>
  </si>
  <si>
    <t>$ Total</t>
  </si>
  <si>
    <t>$ / Home</t>
  </si>
  <si>
    <t>Gross IRR - Lev.</t>
  </si>
  <si>
    <t>BVG %</t>
  </si>
  <si>
    <t>Income</t>
  </si>
  <si>
    <t>Investor IRR</t>
  </si>
  <si>
    <t>Investor Pref. Return (Yr 1)</t>
  </si>
  <si>
    <t>Expense Ratio</t>
  </si>
  <si>
    <t>Expense</t>
  </si>
  <si>
    <t>Investor EM</t>
  </si>
  <si>
    <t>Investor Pref. Return (After Yr 1)</t>
  </si>
  <si>
    <t>NOI</t>
  </si>
  <si>
    <t>Investor Equity</t>
  </si>
  <si>
    <t>BVG Cash</t>
  </si>
  <si>
    <t>Yr 10 Value</t>
  </si>
  <si>
    <t>Year 10 $/Pad</t>
  </si>
  <si>
    <t>GL Acct</t>
  </si>
  <si>
    <t>Yr 1 Total</t>
  </si>
  <si>
    <t>Monthly Operating Summary</t>
  </si>
  <si>
    <t>Base Year</t>
  </si>
  <si>
    <t>BVG Budget</t>
  </si>
  <si>
    <t>Rental Rate by Category</t>
  </si>
  <si>
    <t>Gross Rental Income by Category</t>
  </si>
  <si>
    <t>Spaces</t>
  </si>
  <si>
    <t>Total Vac. Spaces</t>
  </si>
  <si>
    <t>Net Rental Income</t>
  </si>
  <si>
    <t>Other Income</t>
  </si>
  <si>
    <t>Annualized</t>
  </si>
  <si>
    <t xml:space="preserve">Electric </t>
  </si>
  <si>
    <t>Gas / Propane</t>
  </si>
  <si>
    <t>Trash (assume 95% pt yr 2)</t>
  </si>
  <si>
    <t>Sewer (assume 95% pt yr 2)</t>
  </si>
  <si>
    <t>Water (assume 95% pt yr 2)</t>
  </si>
  <si>
    <t>RV Storage</t>
  </si>
  <si>
    <t>Total Other Income</t>
  </si>
  <si>
    <t>Free Rent/Utilities to Manager</t>
  </si>
  <si>
    <t>Total Income (Monthly)</t>
  </si>
  <si>
    <t>Historical Exp.</t>
  </si>
  <si>
    <t>Yr 1 $/Pad</t>
  </si>
  <si>
    <t>Monthly Expenses</t>
  </si>
  <si>
    <t>Payroll Taxes</t>
  </si>
  <si>
    <t>Workers Comp</t>
  </si>
  <si>
    <t>Electric</t>
  </si>
  <si>
    <t>Gas/Propane</t>
  </si>
  <si>
    <t>Trash</t>
  </si>
  <si>
    <t>Sewer-septic</t>
  </si>
  <si>
    <t xml:space="preserve">Water </t>
  </si>
  <si>
    <t>Phone/Cable/Internet</t>
  </si>
  <si>
    <t>Auto expense &amp; travel</t>
  </si>
  <si>
    <t>Outside Services -plumbing, electrical, etc</t>
  </si>
  <si>
    <t>Landscape, pool, &amp; sweeping maintenance &amp; supplies</t>
  </si>
  <si>
    <r>
      <t>Property Taxes (</t>
    </r>
    <r>
      <rPr>
        <i/>
        <sz val="10"/>
        <rFont val="Arial"/>
        <family val="2"/>
      </rPr>
      <t>Add Description of Assumptions</t>
    </r>
    <r>
      <rPr>
        <sz val="10"/>
        <rFont val="Arial"/>
        <family val="2"/>
      </rPr>
      <t>)</t>
    </r>
  </si>
  <si>
    <t xml:space="preserve">Insurance </t>
  </si>
  <si>
    <t>Billing Software</t>
  </si>
  <si>
    <t>Legal Expenses</t>
  </si>
  <si>
    <t>LLC/LP Tax</t>
  </si>
  <si>
    <t>Advertising</t>
  </si>
  <si>
    <t>Tax Return Preparation/accounting</t>
  </si>
  <si>
    <t>Licenses and Permits</t>
  </si>
  <si>
    <t>Banking and Merchant fees (est)</t>
  </si>
  <si>
    <t>Office Supplies, Postage, Pager, Printing, dues, subscr, Misc.</t>
  </si>
  <si>
    <t>Total Operating Expense (Monthly)</t>
  </si>
  <si>
    <t>Net Operating Income (Monthly)</t>
  </si>
  <si>
    <t>Net Operating Income (Annual)</t>
  </si>
  <si>
    <t xml:space="preserve">Return On Cost </t>
  </si>
  <si>
    <t>Initial</t>
  </si>
  <si>
    <t>Refi</t>
  </si>
  <si>
    <t>LTV</t>
  </si>
  <si>
    <t>Debt service</t>
  </si>
  <si>
    <t>Additional debt/Refinance</t>
  </si>
  <si>
    <t>Amort.</t>
  </si>
  <si>
    <t>Payment</t>
  </si>
  <si>
    <t>Rate</t>
  </si>
  <si>
    <t>Principal</t>
  </si>
  <si>
    <t>Interest</t>
  </si>
  <si>
    <t>1st Refi at Year</t>
  </si>
  <si>
    <t>2nd Refi at Year</t>
  </si>
  <si>
    <t>Ending balance</t>
  </si>
  <si>
    <t>Years of IO</t>
  </si>
  <si>
    <t>DSCR</t>
  </si>
  <si>
    <t>This line isn't needed but was helpful when looking at POH Income</t>
  </si>
  <si>
    <t>DSCR w/POH Income</t>
  </si>
  <si>
    <t>Refinance Valuation</t>
  </si>
  <si>
    <t>REFI CAP RATE</t>
  </si>
  <si>
    <t>AVG PRICE EA</t>
  </si>
  <si>
    <t>Rental Income from POH</t>
  </si>
  <si>
    <t>Note Income from POH</t>
  </si>
  <si>
    <t>POH Seller Carry Note</t>
  </si>
  <si>
    <t>return of homes bucket</t>
  </si>
  <si>
    <t>Return of Capital (other)</t>
  </si>
  <si>
    <t>Sale Proceeds at Exit</t>
  </si>
  <si>
    <t>Pretax Income Available for Distribution</t>
  </si>
  <si>
    <t>Leveraged Return On Initial Equity</t>
  </si>
  <si>
    <r>
      <t xml:space="preserve">Gross IRR </t>
    </r>
    <r>
      <rPr>
        <sz val="10"/>
        <rFont val="Arial"/>
        <family val="2"/>
      </rPr>
      <t>(par return)</t>
    </r>
  </si>
  <si>
    <t>Distributions</t>
  </si>
  <si>
    <t>Investor Preferred Return</t>
  </si>
  <si>
    <t>Beginning balance</t>
  </si>
  <si>
    <t>Preferred return</t>
  </si>
  <si>
    <t>Available</t>
  </si>
  <si>
    <t>Split</t>
  </si>
  <si>
    <t>Investor</t>
  </si>
  <si>
    <t>BVG</t>
  </si>
  <si>
    <t>Total Project Cash Flow</t>
  </si>
  <si>
    <t>Investor Pretax Leveraged Return On Initial Equity</t>
  </si>
  <si>
    <t>Total Investor Cash (5 Years)</t>
  </si>
  <si>
    <t>Total BVG Cash (5 Years)</t>
  </si>
  <si>
    <t>Investor Return Inclusive of Depreciation</t>
  </si>
  <si>
    <t>Estimated Annual Depreciation (100% investors until refi)</t>
  </si>
  <si>
    <t>Estimated Amount of Taxable Income</t>
  </si>
  <si>
    <t>Depreciation Tax Shield</t>
  </si>
  <si>
    <t>Investor Cash Flow with Tax Shield</t>
  </si>
  <si>
    <t>Investor IRR with Depreciation Tax Shield</t>
  </si>
  <si>
    <t>BVG INTERNAL METRICS BELOW (automatically hidden in Investor version)</t>
  </si>
  <si>
    <t xml:space="preserve">In Place NOI </t>
  </si>
  <si>
    <t>Cost of Sale</t>
  </si>
  <si>
    <t>Monthly</t>
  </si>
  <si>
    <t>Less Free Rent To Manager</t>
  </si>
  <si>
    <t>=Total Income</t>
  </si>
  <si>
    <t>Less Year 1 Operating Expenses</t>
  </si>
  <si>
    <t>=In Place Net Operating Income</t>
  </si>
  <si>
    <t>Internal Return Metrics</t>
  </si>
  <si>
    <t>Gross IRR - Unleveraged</t>
  </si>
  <si>
    <t>Gross IRR - Leveraged</t>
  </si>
  <si>
    <t>Investor Equity Multiple</t>
  </si>
  <si>
    <t>Investor Cash</t>
  </si>
  <si>
    <t>Unlevered IRR Calcs (3, 5, 10 Year Hold)</t>
  </si>
  <si>
    <t>Below The Line Items</t>
  </si>
  <si>
    <t>Yr 3 Sale Proceeds</t>
  </si>
  <si>
    <t>Yr 3 Unlevered CF</t>
  </si>
  <si>
    <t>Yr 3 Unlevered IRR</t>
  </si>
  <si>
    <t>Yr 5 Sale Proceeds</t>
  </si>
  <si>
    <t>Yr 5 Unlevered CF</t>
  </si>
  <si>
    <t>Yr 5 Unlevered IRR</t>
  </si>
  <si>
    <t>Yr 10 Sale Proceeds</t>
  </si>
  <si>
    <t>Yr 10 Unlevered CF</t>
  </si>
  <si>
    <t>Yr 10 Unlevered IRR</t>
  </si>
  <si>
    <t>3 year hold waterfall</t>
  </si>
  <si>
    <t>Repay Outstanding Loan</t>
  </si>
  <si>
    <t>Leveraged Gross IRR (3 year hold)</t>
  </si>
  <si>
    <t>Available After Pref / Return Of Capital</t>
  </si>
  <si>
    <t>Investor IRR (3 Year Hold)</t>
  </si>
  <si>
    <t>Investor Multiple</t>
  </si>
  <si>
    <t>investor cash</t>
  </si>
  <si>
    <t>5 year hold waterfall</t>
  </si>
  <si>
    <t>Leveraged Gross IRR (5 year hold)</t>
  </si>
  <si>
    <t>Investor IRR (5 Year Hold)</t>
  </si>
  <si>
    <t>bvg cash</t>
  </si>
  <si>
    <t>10 year hold waterfall</t>
  </si>
  <si>
    <t>Year 7</t>
  </si>
  <si>
    <t>Year 8</t>
  </si>
  <si>
    <t>Year 9</t>
  </si>
  <si>
    <t>Year 10</t>
  </si>
  <si>
    <t>Leveraged Gross IRR (10 year hold)</t>
  </si>
  <si>
    <t>Investor IRR (10 Year Hold)</t>
  </si>
  <si>
    <t>BVG Internal "to be hidden section" ends here</t>
  </si>
  <si>
    <t>Additional Cash Needs at Close of Escrow</t>
  </si>
  <si>
    <t>Analysis Assumptions / Notes / Questions</t>
  </si>
  <si>
    <t>Closing Costs</t>
  </si>
  <si>
    <t>Escrow, Title, Other</t>
  </si>
  <si>
    <t>Loan Origination Fees</t>
  </si>
  <si>
    <t>Appraisal, Phase I, Survey</t>
  </si>
  <si>
    <t>Reimbursable Direct Due Diligence Costs</t>
  </si>
  <si>
    <t>Loan Legal</t>
  </si>
  <si>
    <t>Buyer's Broker Fee</t>
  </si>
  <si>
    <t>Other Closing Costs</t>
  </si>
  <si>
    <t>Subtotal Closing Costs</t>
  </si>
  <si>
    <t>Immediate Capital Needs</t>
  </si>
  <si>
    <t>Park Entrance Upgrades</t>
  </si>
  <si>
    <t>Signage Upgrades</t>
  </si>
  <si>
    <t>Landscaping</t>
  </si>
  <si>
    <t>Roads / Asphalt</t>
  </si>
  <si>
    <t>Tree Work</t>
  </si>
  <si>
    <t>Office / Clubhouse</t>
  </si>
  <si>
    <t>Water Meter Installation</t>
  </si>
  <si>
    <t>Manager's Residence</t>
  </si>
  <si>
    <t># of Homes</t>
  </si>
  <si>
    <t>$/Home</t>
  </si>
  <si>
    <t>Purchase of Park Owned Home</t>
  </si>
  <si>
    <t>Lot Preparation</t>
  </si>
  <si>
    <t>New Home Installation Bucket</t>
  </si>
  <si>
    <t>Used Home Remodel</t>
  </si>
  <si>
    <t>Operating Capital</t>
  </si>
  <si>
    <t>Utility Deposits</t>
  </si>
  <si>
    <t>Other Capital Needs</t>
  </si>
  <si>
    <t>Subtotal Immediate Capital Needs</t>
  </si>
  <si>
    <t>Total Additional Cash at Close of Escrow</t>
  </si>
  <si>
    <t>Property Tax Detail</t>
  </si>
  <si>
    <t>Budgeted Employee Expense</t>
  </si>
  <si>
    <t>Value</t>
  </si>
  <si>
    <t>Old</t>
  </si>
  <si>
    <t>New</t>
  </si>
  <si>
    <t>Hrs / Week</t>
  </si>
  <si>
    <t>$ Per Hour</t>
  </si>
  <si>
    <t>Total $/Mo</t>
  </si>
  <si>
    <t>Count</t>
  </si>
  <si>
    <t>FTE</t>
  </si>
  <si>
    <t xml:space="preserve"> APN</t>
  </si>
  <si>
    <t>Management</t>
  </si>
  <si>
    <t>Indirect Fees</t>
  </si>
  <si>
    <t>Manager</t>
  </si>
  <si>
    <t>Asst Manager</t>
  </si>
  <si>
    <t>Subtotal Management</t>
  </si>
  <si>
    <t>Maintenance</t>
  </si>
  <si>
    <t>Maintenance Engineer</t>
  </si>
  <si>
    <t>Asst. Maintenance Eng.</t>
  </si>
  <si>
    <t>Other Employees</t>
  </si>
  <si>
    <t>Other 1</t>
  </si>
  <si>
    <t>Other 2</t>
  </si>
  <si>
    <t>total indirect fees</t>
  </si>
  <si>
    <t>Other 3</t>
  </si>
  <si>
    <t>Direct Levies</t>
  </si>
  <si>
    <t>Subtotal Other</t>
  </si>
  <si>
    <t>TOTALS</t>
  </si>
  <si>
    <t>analysis</t>
  </si>
  <si>
    <t>difference</t>
  </si>
  <si>
    <t>per space/mo</t>
  </si>
  <si>
    <t>Depreciation</t>
  </si>
  <si>
    <t>Category</t>
  </si>
  <si>
    <t>Schedule</t>
  </si>
  <si>
    <t>Land Allocation (20%)</t>
  </si>
  <si>
    <t>Buildings Non-Residential</t>
  </si>
  <si>
    <t>39 years</t>
  </si>
  <si>
    <t>Clubhouse</t>
  </si>
  <si>
    <t>Office</t>
  </si>
  <si>
    <t>Laundry</t>
  </si>
  <si>
    <t>Subtotal Non-Residential</t>
  </si>
  <si>
    <t>Buildings Residential</t>
  </si>
  <si>
    <t>27.5 years</t>
  </si>
  <si>
    <t>avg value each</t>
  </si>
  <si>
    <t>POH (qty)</t>
  </si>
  <si>
    <t>Subtotal Residential</t>
  </si>
  <si>
    <t>Infrastructure</t>
  </si>
  <si>
    <t>15 years</t>
  </si>
  <si>
    <t xml:space="preserve">First Year Bonus Depreciation </t>
  </si>
  <si>
    <t>Year 1 NOI</t>
  </si>
  <si>
    <t>Year 1 Taxable income</t>
  </si>
  <si>
    <t>Housing / Economic Summary</t>
  </si>
  <si>
    <t>Historical Population</t>
  </si>
  <si>
    <t>Economy</t>
  </si>
  <si>
    <t>Zillow Home Value Index</t>
  </si>
  <si>
    <t>Hemet Real Estate - Hemet CA Homes For Sale | Zillow</t>
  </si>
  <si>
    <t>Apartment Rents</t>
  </si>
  <si>
    <t>1bd</t>
  </si>
  <si>
    <t>2bd</t>
  </si>
  <si>
    <t>3bd</t>
  </si>
  <si>
    <t>Avg. Rents</t>
  </si>
  <si>
    <t xml:space="preserve">Median Home Price </t>
  </si>
  <si>
    <t>Population</t>
  </si>
  <si>
    <t>Median HH Income</t>
  </si>
  <si>
    <t>Major Employers</t>
  </si>
  <si>
    <t>Park Info</t>
  </si>
  <si>
    <t>Water</t>
  </si>
  <si>
    <t>Sewer</t>
  </si>
  <si>
    <t>Year (ish) Built</t>
  </si>
  <si>
    <t>2 Bedroom Apartments For Rent in Hemet CA | Zillow</t>
  </si>
  <si>
    <t>Rent Roll</t>
  </si>
  <si>
    <t>Park Name - Address</t>
  </si>
  <si>
    <t>POH Value</t>
  </si>
  <si>
    <t>Asking Price</t>
  </si>
  <si>
    <t># Pads</t>
  </si>
  <si>
    <t># POH</t>
  </si>
  <si>
    <t># Occupied</t>
  </si>
  <si>
    <t># Occupied POH</t>
  </si>
  <si>
    <t>Space Rent</t>
  </si>
  <si>
    <t>Avg. POH Rent</t>
  </si>
  <si>
    <t>Vacancy Overide</t>
  </si>
  <si>
    <t>Less Vacancy</t>
  </si>
  <si>
    <t>Misc. Income</t>
  </si>
  <si>
    <t>Estimated Gross Income</t>
  </si>
  <si>
    <t>POH Opex %</t>
  </si>
  <si>
    <t>Opex %</t>
  </si>
  <si>
    <t>POH Operating Expenses</t>
  </si>
  <si>
    <t>Operating Expenses</t>
  </si>
  <si>
    <t>POH NOI</t>
  </si>
  <si>
    <t>BVG POH Cap Rate</t>
  </si>
  <si>
    <t>BVG Cap Rate</t>
  </si>
  <si>
    <t>BVG POH Price</t>
  </si>
  <si>
    <t>BVG Stabilized Value</t>
  </si>
  <si>
    <t>POH/Park Blended</t>
  </si>
  <si>
    <t>Stab Vacancy Rate</t>
  </si>
  <si>
    <t>POH LTV</t>
  </si>
  <si>
    <t>POH Loan Interest Rate</t>
  </si>
  <si>
    <t>POH Loan Term (Years)</t>
  </si>
  <si>
    <t>Gross Potential Rent</t>
  </si>
  <si>
    <t>POH Loan Payment</t>
  </si>
  <si>
    <t>Initial Equity (POH+Park)</t>
  </si>
  <si>
    <t>5 Yr Avg. COC%</t>
  </si>
  <si>
    <t>Equity After Refi</t>
  </si>
  <si>
    <t>Cash Flowed Equity</t>
  </si>
  <si>
    <t>% Equity Returned</t>
  </si>
  <si>
    <t>BVG Park + POH Price</t>
  </si>
  <si>
    <t>5 Year Equity Return</t>
  </si>
  <si>
    <t>5 Yr Avg COC %</t>
  </si>
  <si>
    <t>Initial Equity</t>
  </si>
  <si>
    <t>Refi Equity Distribution</t>
  </si>
  <si>
    <t xml:space="preserve">Profit </t>
  </si>
  <si>
    <t>initial loan</t>
  </si>
  <si>
    <t>refi loan</t>
  </si>
  <si>
    <t>refi proceeds distribution</t>
  </si>
  <si>
    <t>plus cash flow equity</t>
  </si>
  <si>
    <t>total equity distributed</t>
  </si>
  <si>
    <t>% equity returned</t>
  </si>
  <si>
    <t>Escrow Funding Summary</t>
  </si>
  <si>
    <t>Funds Due To Escrow To Close</t>
  </si>
  <si>
    <t>Fill in from settlement statement</t>
  </si>
  <si>
    <t>Funds To Transfer to Ownerhip LLC</t>
  </si>
  <si>
    <t>Projected Due Diligence Cost Reimbusement to BVG</t>
  </si>
  <si>
    <t>Refund Earnest Money to BVG</t>
  </si>
  <si>
    <t>Immediate Capital Needs to Reserve</t>
  </si>
  <si>
    <t>Other Items / Adjustments</t>
  </si>
  <si>
    <t>Use if necessary</t>
  </si>
  <si>
    <t>Total To Transfer to Ownership LLC</t>
  </si>
  <si>
    <t>Projected LLC Account Balance Post COE</t>
  </si>
  <si>
    <t>Park Owned Home Summary</t>
  </si>
  <si>
    <t>POH Income</t>
  </si>
  <si>
    <t>NOI w/POH Rent</t>
  </si>
  <si>
    <t>POH to Gross Income Ratio</t>
  </si>
  <si>
    <t>POH to NOI Ratio</t>
  </si>
  <si>
    <t>Cap Rate with POH Income</t>
  </si>
  <si>
    <t>Seller Carry POH Note Amount</t>
  </si>
  <si>
    <t>Down Pmt</t>
  </si>
  <si>
    <t>Term</t>
  </si>
  <si>
    <t>Amortization</t>
  </si>
  <si>
    <t>Pmt</t>
  </si>
  <si>
    <t>Yearly Pmt</t>
  </si>
  <si>
    <t>POH List</t>
  </si>
  <si>
    <t>RV</t>
  </si>
  <si>
    <t>Rental Rate Summary</t>
  </si>
  <si>
    <t>Historial Inc</t>
  </si>
  <si>
    <t>BVG Yr 1</t>
  </si>
  <si>
    <t>Income Summary</t>
  </si>
  <si>
    <t>Less Free Rent/Utilities to Manager</t>
  </si>
  <si>
    <t>Total Income</t>
  </si>
  <si>
    <t>Expense Summary</t>
  </si>
  <si>
    <t>Salary Exp</t>
  </si>
  <si>
    <t>Property Taxes (Add Description of Assumptions)</t>
  </si>
  <si>
    <t>Total Operating Expenses</t>
  </si>
  <si>
    <t>Ratio</t>
  </si>
  <si>
    <t>Net Operating Income</t>
  </si>
  <si>
    <t>Addititional Park Owned Home NOI</t>
  </si>
  <si>
    <t>Historical Income / Expense Data Entry Form</t>
  </si>
  <si>
    <t>List Data for Proforma (Do Not Change)</t>
  </si>
  <si>
    <t>Deal Name</t>
  </si>
  <si>
    <t>Current Year</t>
  </si>
  <si>
    <t>Three Past Years</t>
  </si>
  <si>
    <t>2022 Annualized</t>
  </si>
  <si>
    <t>Date of Statement</t>
  </si>
  <si>
    <t># of Months for YTD</t>
  </si>
  <si>
    <t>Historical Income Data Entry</t>
  </si>
  <si>
    <t xml:space="preserve">BVG </t>
  </si>
  <si>
    <t>YTD</t>
  </si>
  <si>
    <t xml:space="preserve">Annualized </t>
  </si>
  <si>
    <t>Broker</t>
  </si>
  <si>
    <t>Historical Income Entry</t>
  </si>
  <si>
    <t>Account#</t>
  </si>
  <si>
    <t>Projection</t>
  </si>
  <si>
    <t>BVG Account Name</t>
  </si>
  <si>
    <t>Notes</t>
  </si>
  <si>
    <t>R.V. Storage  ,.</t>
  </si>
  <si>
    <t>MH Space Rent Tier 1</t>
  </si>
  <si>
    <t>Water  ,.</t>
  </si>
  <si>
    <t>RV Space Rent Permanent</t>
  </si>
  <si>
    <t>Rental - Other  ,.</t>
  </si>
  <si>
    <t>RV Space Rent Temporary</t>
  </si>
  <si>
    <t>Sewer  ,.</t>
  </si>
  <si>
    <t>Vacancy Loss</t>
  </si>
  <si>
    <t>Trash  ,.</t>
  </si>
  <si>
    <t>Other, misc.</t>
  </si>
  <si>
    <t>Free Rent to Manager</t>
  </si>
  <si>
    <t>Totals for Checksum</t>
  </si>
  <si>
    <t>Historical Expenses Data Entry</t>
  </si>
  <si>
    <t>Historical Expenses Entry</t>
  </si>
  <si>
    <t xml:space="preserve">New Tax Base </t>
  </si>
  <si>
    <t>Manager/Maint (Fill In Description of Assumptions))</t>
  </si>
  <si>
    <t xml:space="preserve">Insurance  </t>
  </si>
  <si>
    <t xml:space="preserve">Worker's comp  </t>
  </si>
  <si>
    <t xml:space="preserve">Landscaping  </t>
  </si>
  <si>
    <t xml:space="preserve">Permits  </t>
  </si>
  <si>
    <t xml:space="preserve">Pest control  </t>
  </si>
  <si>
    <t>This can be tricky on YTD statements as is often paid twice per year.</t>
  </si>
  <si>
    <t xml:space="preserve">Repairs &amp; Maintenance  </t>
  </si>
  <si>
    <t xml:space="preserve">Pool  </t>
  </si>
  <si>
    <t xml:space="preserve">Payroll  </t>
  </si>
  <si>
    <t xml:space="preserve">Office / internet  </t>
  </si>
  <si>
    <t xml:space="preserve">Telephone  </t>
  </si>
  <si>
    <t xml:space="preserve">Maintenance $250 per space </t>
  </si>
  <si>
    <t xml:space="preserve">Utilities  </t>
  </si>
  <si>
    <t>Automobile Expense  ,.</t>
  </si>
  <si>
    <t>Bank Service Charges  .</t>
  </si>
  <si>
    <t>Cable T.V.  .</t>
  </si>
  <si>
    <t>Biling Software</t>
  </si>
  <si>
    <t>Dues and Subscriptions  ,.</t>
  </si>
  <si>
    <t>Liability/Prop. Insurance  ,.</t>
  </si>
  <si>
    <t>Workers Comp.  ,.</t>
  </si>
  <si>
    <t>Landscape/Gardening  ,.</t>
  </si>
  <si>
    <t>Business License  .</t>
  </si>
  <si>
    <t>Health Permit  .</t>
  </si>
  <si>
    <t>Permit to operate  ,.</t>
  </si>
  <si>
    <t>Extermination  ,.</t>
  </si>
  <si>
    <t>Professional Mgmt ($2,000/mo or 5%)</t>
  </si>
  <si>
    <t>Maintanence - Other  ,.</t>
  </si>
  <si>
    <t>Management Fees  .</t>
  </si>
  <si>
    <t>Miscellaneous  .</t>
  </si>
  <si>
    <t>Payroll Expenses  ,.</t>
  </si>
  <si>
    <t>Pool  ,.</t>
  </si>
  <si>
    <t>Accounting  ,.</t>
  </si>
  <si>
    <t>Legal Fees  .</t>
  </si>
  <si>
    <t>Building Repairs  ,.</t>
  </si>
  <si>
    <t>Electrical  .</t>
  </si>
  <si>
    <t>Equipment Repairs  .</t>
  </si>
  <si>
    <t>Golf Cart  .</t>
  </si>
  <si>
    <t>H.V.A.C.  ,.</t>
  </si>
  <si>
    <t>Paint  .</t>
  </si>
  <si>
    <t>Plumbing  ,.</t>
  </si>
  <si>
    <t>Streets  .</t>
  </si>
  <si>
    <t>Internet  ,.</t>
  </si>
  <si>
    <t>Office  ,.</t>
  </si>
  <si>
    <t>Take Out  .</t>
  </si>
  <si>
    <t>Federal  ..</t>
  </si>
  <si>
    <t>FUTA  .</t>
  </si>
  <si>
    <t>Property  ,.</t>
  </si>
  <si>
    <t>State  ,.</t>
  </si>
  <si>
    <t>Telephone  ,.</t>
  </si>
  <si>
    <t>Electric  ,.</t>
  </si>
  <si>
    <t>Gas  ,.</t>
  </si>
  <si>
    <t>Refuse  ,.</t>
  </si>
  <si>
    <t>Historical Income Analysis Summary</t>
  </si>
  <si>
    <t>Broker Projection</t>
  </si>
  <si>
    <t>BVG Projection vs.</t>
  </si>
  <si>
    <t>Income Item</t>
  </si>
  <si>
    <t>Average Historical</t>
  </si>
  <si>
    <t>Gross Rental Income</t>
  </si>
  <si>
    <t xml:space="preserve"> </t>
  </si>
  <si>
    <t>Broker Compared to T12</t>
  </si>
  <si>
    <t xml:space="preserve">    Less Vacancy Loss</t>
  </si>
  <si>
    <t>Broker Compared to YTD Annualized</t>
  </si>
  <si>
    <t>YOY Change</t>
  </si>
  <si>
    <t>Less Free Rent / Utilities To Manager</t>
  </si>
  <si>
    <t>Historical Expense Analysis Summary</t>
  </si>
  <si>
    <t>Expense Item</t>
  </si>
  <si>
    <t>BVG Yr 1 Projection</t>
  </si>
  <si>
    <t>Lookup</t>
  </si>
  <si>
    <t>Manager/Maint Salary Expense</t>
  </si>
  <si>
    <t>Gas</t>
  </si>
  <si>
    <t xml:space="preserve">Phone/Cable </t>
  </si>
  <si>
    <t xml:space="preserve">Property Taxes </t>
  </si>
  <si>
    <t xml:space="preserve">Professional Mgmt </t>
  </si>
  <si>
    <t>Total Expenses</t>
  </si>
  <si>
    <t>Operating Expense / Income Ratio</t>
  </si>
  <si>
    <t>Utility Leakage Analysis</t>
  </si>
  <si>
    <t>Overall Utility Leakage</t>
  </si>
  <si>
    <t>Utility Reimbursement Income</t>
  </si>
  <si>
    <t>Utility Expense</t>
  </si>
  <si>
    <t>Utility Leakage</t>
  </si>
  <si>
    <t>% Utility Reimbursed</t>
  </si>
  <si>
    <t>Electricity Leakage</t>
  </si>
  <si>
    <t>Electricity Reimbursement Income</t>
  </si>
  <si>
    <t>Electricity Expense</t>
  </si>
  <si>
    <t>Electrcity Leakage</t>
  </si>
  <si>
    <t>% Electricity Reimbursed</t>
  </si>
  <si>
    <t>Gas Leakage</t>
  </si>
  <si>
    <t>Gas Reimbursement Income</t>
  </si>
  <si>
    <t>Gas Expense</t>
  </si>
  <si>
    <t>% Gas Reimbursed</t>
  </si>
  <si>
    <t>Trash Leakage</t>
  </si>
  <si>
    <t>Trash Reimbursement Income</t>
  </si>
  <si>
    <t>Trash Expense</t>
  </si>
  <si>
    <t>% Trash Reimbursed</t>
  </si>
  <si>
    <t>Sewer Leakage</t>
  </si>
  <si>
    <t>Sewer Reimbursement Income</t>
  </si>
  <si>
    <t>Sewer Expense</t>
  </si>
  <si>
    <t>% Sewer Reimbursed</t>
  </si>
  <si>
    <t>Water Leakage</t>
  </si>
  <si>
    <t>Water Reimbursement Income</t>
  </si>
  <si>
    <t>Water Expense</t>
  </si>
  <si>
    <t>% Water Reimbursed</t>
  </si>
  <si>
    <t>Combined Sewer/Water Leakage</t>
  </si>
  <si>
    <t>Combined Sewer/Water Reimbursement Income</t>
  </si>
  <si>
    <t>Combined Sewer/Water Expense</t>
  </si>
  <si>
    <t>% Combined Sewer/Water Reimbursed</t>
  </si>
  <si>
    <t>don't delete - needed for chart names</t>
  </si>
  <si>
    <t>Income Account Codes</t>
  </si>
  <si>
    <t>May be included with Mobile Home income under a single line item</t>
  </si>
  <si>
    <r>
      <rPr>
        <sz val="11"/>
        <color rgb="FFFF0000"/>
        <rFont val="Calibri"/>
        <family val="2"/>
        <scheme val="minor"/>
      </rPr>
      <t>Enter as a negative amount.</t>
    </r>
    <r>
      <rPr>
        <sz val="10"/>
        <rFont val="Arial"/>
        <family val="2"/>
      </rPr>
      <t xml:space="preserve"> Usually will not be shown on historical financial statements. Will appear on broker projections</t>
    </r>
  </si>
  <si>
    <t>Income from passing through utility costs to the residents</t>
  </si>
  <si>
    <t>Other income. Would include storage income</t>
  </si>
  <si>
    <t>Enter this as a negative amount</t>
  </si>
  <si>
    <t>The BoaVida Group - Chart of Expense Accounts</t>
  </si>
  <si>
    <t>Acct#</t>
  </si>
  <si>
    <t>Name</t>
  </si>
  <si>
    <t>Description</t>
  </si>
  <si>
    <t>Actual wages paid. May or may not include benefits and payroll taxes</t>
  </si>
  <si>
    <t>Usually will not see these in historical financial statements</t>
  </si>
  <si>
    <t>Usually will not see this in historical financial statements</t>
  </si>
  <si>
    <t>This can be either / both electricity provided to the mobile home or electricity for common area items (like streetlights)</t>
  </si>
  <si>
    <t>This is usually expense for natural gas provided to the homes</t>
  </si>
  <si>
    <t>Expense for trash collection (can also be called rubbish or sanitation)</t>
  </si>
  <si>
    <t>Expense for sewer costs to the mobile home park</t>
  </si>
  <si>
    <t>Expense for water costs to the mobile home park</t>
  </si>
  <si>
    <t>Expenses for phone service and/or internet service for the park or the park office</t>
  </si>
  <si>
    <t>Miscellaneous travel services</t>
  </si>
  <si>
    <t>Repairs &amp; Maintenance / Capex Reserve</t>
  </si>
  <si>
    <t>This is a "reserve" account for future capital expenditures. We usually will not see this on historical financial statements</t>
  </si>
  <si>
    <t>Mainly expenses for repairs where an outside contractor (i.e. not a park employee) is used</t>
  </si>
  <si>
    <t>Mainly expenses for landcaping, etc where an outside contractor (i.e. not a park employee) is used</t>
  </si>
  <si>
    <t>This is a internal expense, and we will usually not see this on historical financial statements.</t>
  </si>
  <si>
    <t>Expenses for outside lawyers. Often will not be included on historical financial statements</t>
  </si>
  <si>
    <t>Expense for the ownership entity. Usually will not be included on historical financial statements.</t>
  </si>
  <si>
    <t>Expense for adverstising for the park. Often will not be included on historial financial statements.</t>
  </si>
  <si>
    <t>This may or may not be found on historical financial statements.</t>
  </si>
  <si>
    <t>This expense is usually related to license fees paid to government agencies and municipalities.</t>
  </si>
  <si>
    <t>These are bank fees and credit card fees. These often will not be included on historical financial statements.</t>
  </si>
  <si>
    <t>This account is kind of a "catch all" for other expenses (usually small)</t>
  </si>
  <si>
    <t>This expense is for 3rd party management and will often be called "Management Fee"</t>
  </si>
  <si>
    <t>LOI and Contract Fields</t>
  </si>
  <si>
    <t>ContractDate</t>
  </si>
  <si>
    <t>ParkName</t>
  </si>
  <si>
    <t>ParkAddress</t>
  </si>
  <si>
    <t>Buyer</t>
  </si>
  <si>
    <t>Seller</t>
  </si>
  <si>
    <t>PurchasePrice</t>
  </si>
  <si>
    <t>PurchasePriceWords</t>
  </si>
  <si>
    <t>Deposit</t>
  </si>
  <si>
    <t>DepositWords</t>
  </si>
  <si>
    <t>DownPayment</t>
  </si>
  <si>
    <t>DownPaymentWords</t>
  </si>
  <si>
    <t>DownPayment%</t>
  </si>
  <si>
    <t>Financing</t>
  </si>
  <si>
    <t>FinancingWords</t>
  </si>
  <si>
    <t>Financing%</t>
  </si>
  <si>
    <t>InspectionPeriod</t>
  </si>
  <si>
    <t>InspectionPeriodWords</t>
  </si>
  <si>
    <t>LoanContingency</t>
  </si>
  <si>
    <t>LoanContingencyWords</t>
  </si>
  <si>
    <t>COE</t>
  </si>
  <si>
    <t>COEWords</t>
  </si>
  <si>
    <t>ExpirationDate</t>
  </si>
  <si>
    <t>TitleCo</t>
  </si>
  <si>
    <t>GoverningState</t>
  </si>
  <si>
    <t>BrokerName</t>
  </si>
  <si>
    <t>Contract Date</t>
  </si>
  <si>
    <t>Park Name</t>
  </si>
  <si>
    <t>Park Address</t>
  </si>
  <si>
    <t>Elias Weiner</t>
  </si>
  <si>
    <t>Owner of Record</t>
  </si>
  <si>
    <t>Purchase Price Words</t>
  </si>
  <si>
    <t xml:space="preserve">One Million  </t>
  </si>
  <si>
    <t>Deposit Words</t>
  </si>
  <si>
    <t>Twenty Thousand</t>
  </si>
  <si>
    <t>Down Payment</t>
  </si>
  <si>
    <t>Down Payment Words</t>
  </si>
  <si>
    <t>Three Hundred Thousand</t>
  </si>
  <si>
    <t>Down Payment %</t>
  </si>
  <si>
    <t>Financing Words</t>
  </si>
  <si>
    <t>Seven Hundred Thousand</t>
  </si>
  <si>
    <t>Financing %</t>
  </si>
  <si>
    <t>Inspection Period</t>
  </si>
  <si>
    <t>Inspection Period Words</t>
  </si>
  <si>
    <t>Forty-Five</t>
  </si>
  <si>
    <t>Loan Contingency</t>
  </si>
  <si>
    <t>Loan Contingency Words</t>
  </si>
  <si>
    <t>Seventy-Five</t>
  </si>
  <si>
    <t>COE Words</t>
  </si>
  <si>
    <t>Ninety</t>
  </si>
  <si>
    <t>Expiration Date</t>
  </si>
  <si>
    <t>Title Company</t>
  </si>
  <si>
    <t>Old Republic Title</t>
  </si>
  <si>
    <t>Governing Law State</t>
  </si>
  <si>
    <t>California</t>
  </si>
  <si>
    <t>Broker Name</t>
  </si>
  <si>
    <t>Enter Broker Name Here</t>
  </si>
  <si>
    <t>PARTNERSHIP LEVEL RETURNS - EQUITY WATERFALL</t>
  </si>
  <si>
    <t>Promote Structure Method</t>
  </si>
  <si>
    <t>IRR</t>
  </si>
  <si>
    <t>Exit Year</t>
  </si>
  <si>
    <t>Return of Capital</t>
  </si>
  <si>
    <t>Pari Passu</t>
  </si>
  <si>
    <t>Refi Year</t>
  </si>
  <si>
    <t>Do not refi in exit year</t>
  </si>
  <si>
    <t>Equity Contributions</t>
  </si>
  <si>
    <t>%</t>
  </si>
  <si>
    <t>Amount</t>
  </si>
  <si>
    <t>Exit Cap Rate</t>
  </si>
  <si>
    <t>matches refi rate on proforma</t>
  </si>
  <si>
    <t>GP</t>
  </si>
  <si>
    <t>Error Check:</t>
  </si>
  <si>
    <t>LP Investors</t>
  </si>
  <si>
    <t>Profit Dist.:</t>
  </si>
  <si>
    <t>Total Equity</t>
  </si>
  <si>
    <t>Net BTCF:</t>
  </si>
  <si>
    <t>Promote Structure Incentive Breakdown</t>
  </si>
  <si>
    <t>Distribution as %</t>
  </si>
  <si>
    <t>GP %</t>
  </si>
  <si>
    <t>LP %</t>
  </si>
  <si>
    <t>Hurdle 1 (Preferred Return)</t>
  </si>
  <si>
    <t>Equity Multiple</t>
  </si>
  <si>
    <t>Pref</t>
  </si>
  <si>
    <t>GP Promote</t>
  </si>
  <si>
    <t>Hurdle 2</t>
  </si>
  <si>
    <t>Hurdle 3</t>
  </si>
  <si>
    <t>Hurdle 4</t>
  </si>
  <si>
    <t>Summary of Investor Level Returns</t>
  </si>
  <si>
    <t>Limited Partner (LP) Returns</t>
  </si>
  <si>
    <t>Total LP Distributions</t>
  </si>
  <si>
    <t>Total LP Contributions</t>
  </si>
  <si>
    <t>Total LP Profit</t>
  </si>
  <si>
    <t>LP IRR</t>
  </si>
  <si>
    <t>LP Equity Multiple</t>
  </si>
  <si>
    <t>GP Returns</t>
  </si>
  <si>
    <t>Total GP Distributions (Co-Inv. &amp; Promote)</t>
  </si>
  <si>
    <t>Total GP Co-Invest Distributions</t>
  </si>
  <si>
    <t>Total GP Promote Distributions</t>
  </si>
  <si>
    <t>Total GP Fees</t>
  </si>
  <si>
    <t>Total GP Contributions</t>
  </si>
  <si>
    <t>Total GP Profit</t>
  </si>
  <si>
    <t>GP IRR</t>
  </si>
  <si>
    <t>GP Equity Multiple</t>
  </si>
  <si>
    <t>Net Cash Flow For Distribution</t>
  </si>
  <si>
    <t>Year Ending</t>
  </si>
  <si>
    <t>Net Levered Before Tax Cash Flow</t>
  </si>
  <si>
    <t>Asset Management Fees</t>
  </si>
  <si>
    <t>Acquisition Fees</t>
  </si>
  <si>
    <t>Disposition Fees</t>
  </si>
  <si>
    <t>CS (Investor Fee)</t>
  </si>
  <si>
    <t># of investors ($200/yr)</t>
  </si>
  <si>
    <t>CS (Solution Deployment Fee)</t>
  </si>
  <si>
    <t>Sales Commission (Expense)</t>
  </si>
  <si>
    <t>Closing Cost (Expense)</t>
  </si>
  <si>
    <t>Adjusted Levered Before Tax Cash Flow</t>
  </si>
  <si>
    <t>Levered IRR</t>
  </si>
  <si>
    <t>Return of Capital &amp; Hurdle 1 (Preferred Return)</t>
  </si>
  <si>
    <t>Return Threshold - Up to:</t>
  </si>
  <si>
    <t>Beginning Balance (LP Capital Account)</t>
  </si>
  <si>
    <t>LP Return of Capital</t>
  </si>
  <si>
    <t>Req'd Return by LP to hit Hurdle 1</t>
  </si>
  <si>
    <t>Contributions from LP</t>
  </si>
  <si>
    <t>Distributions to LP (Hurdle 1)</t>
  </si>
  <si>
    <t>Ending Balance (LP Capital Account)</t>
  </si>
  <si>
    <t>Distribution to LP</t>
  </si>
  <si>
    <t>Beginning Balance (GP Capital Account)</t>
  </si>
  <si>
    <t>Req'd Return by GP (Pref)</t>
  </si>
  <si>
    <t>Contributions from GP</t>
  </si>
  <si>
    <t>Distribution to GP</t>
  </si>
  <si>
    <t>Ending Balance (GP Capital Account)</t>
  </si>
  <si>
    <t>Cash Flow Remaining</t>
  </si>
  <si>
    <t>Req'd Return by LP to hit Hurdle 2</t>
  </si>
  <si>
    <t>Prior Distributions</t>
  </si>
  <si>
    <t>.</t>
  </si>
  <si>
    <t>Req'd Return by LP to hit Hurdle 3</t>
  </si>
  <si>
    <t>Return Threshold - Greater than: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</si>
</sst>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9">
    <numFmt numFmtId="5" formatCode="&quot;$&quot;#,##0_);\(&quot;$&quot;#,##0\)"/>
    <numFmt numFmtId="6" formatCode="&quot;$&quot;#,##0_);[Red]\(&quot;$&quot;#,##0\)"/>
    <numFmt numFmtId="8" formatCode="&quot;$&quot;#,##0.00_);[Red]\(&quot;$&quot;#,##0.00\)"/>
    <numFmt numFmtId="44" formatCode="_(&quot;$&quot;* #,##0.00_);_(&quot;$&quot;* \(#,##0.00\);_(&quot;$&quot;* &quot;-&quot;??_);_(@_)"/>
    <numFmt numFmtId="43" formatCode="_(* #,##0.00_);_(* \(#,##0.00\);_(* &quot;-&quot;??_);_(@_)"/>
    <numFmt numFmtId="164" formatCode="0.0%"/>
    <numFmt numFmtId="165" formatCode="_(* #,##0_);_(* \(#,##0\);_(* &quot;-&quot;??_);_(@_)"/>
    <numFmt numFmtId="166" formatCode="_(&quot;$&quot;* #,##0_);_(&quot;$&quot;* \(#,##0\);_(&quot;$&quot;* &quot;-&quot;??_);_(@_)"/>
    <numFmt numFmtId="167" formatCode="0.000000%"/>
    <numFmt numFmtId="168" formatCode="0.000000000%"/>
    <numFmt numFmtId="169" formatCode="0%\ &quot;LTV&quot;"/>
    <numFmt numFmtId="170" formatCode="_-&quot;$&quot;* #,##0_-;\-&quot;$&quot;* #,##0_-;_-&quot;$&quot;* &quot;-&quot;??_-;_-@_-"/>
    <numFmt numFmtId="171" formatCode="0.0&quot;x&quot;"/>
    <numFmt numFmtId="172" formatCode="&quot;Year&quot;\ 0"/>
    <numFmt numFmtId="173" formatCode="0.0"/>
    <numFmt numFmtId="174" formatCode="_(&quot;$&quot;* #,##0_);_(&quot;$&quot;* \(#,##0\);_(&quot;$&quot;* &quot;-&quot;?_);_(@_)"/>
    <numFmt numFmtId="175" formatCode="&quot;Vac. Sp=&quot;0.0"/>
    <numFmt numFmtId="176" formatCode="#,##0.0"/>
    <numFmt numFmtId="177" formatCode="[$-409]mmmm\ d\,\ yyyy;@"/>
    <numFmt numFmtId="178" formatCode="&quot;$&quot;#,##0"/>
    <numFmt numFmtId="179" formatCode="0.00&quot;X&quot;"/>
    <numFmt numFmtId="180" formatCode="&quot;v&quot;0.00"/>
    <numFmt numFmtId="181" formatCode="0.000&quot;MM&quot;"/>
    <numFmt numFmtId="182" formatCode="&quot; Up to &quot;0.0%\ \I\R\R&quot; to LP&quot;"/>
    <numFmt numFmtId="183" formatCode="&quot;&gt;&quot;\ 0.00&quot;X EM to LP&quot;"/>
    <numFmt numFmtId="184" formatCode="&quot;&gt;&quot;\ 0.0%\ \I\R\R&quot; to LP&quot;"/>
    <numFmt numFmtId="185" formatCode="&quot; up to &quot;0.0%\ \I\R\R&quot; to LP&quot;"/>
    <numFmt numFmtId="186" formatCode="0.00&quot;x&quot;"/>
    <numFmt numFmtId="187" formatCode="[$-409]d\-mmm\-yy;@"/>
    <numFmt numFmtId="188" formatCode="&quot;IRR Error Check -&quot;\ 0.0%"/>
    <numFmt numFmtId="189" formatCode="&quot;$&quot;#,##0.00"/>
    <numFmt numFmtId="190" formatCode="#,##0.00\x"/>
    <numFmt numFmtId="191" formatCode="0.000000000000000"/>
    <numFmt numFmtId="192" formatCode="&quot;Cap Rate &quot;0.00%"/>
    <numFmt numFmtId="193" formatCode="&quot;$/Pad $&quot;###,###"/>
    <numFmt numFmtId="194" formatCode="&quot;$/Home $&quot;###,###"/>
    <numFmt numFmtId="195" formatCode="&quot;$/Occ. $&quot;###,###"/>
    <numFmt numFmtId="196" formatCode="&quot;Ratio &quot;0.000%"/>
    <numFmt numFmtId="197" formatCode="_(* #,##0.0000_);_(* \(#,##0.0000\);_(* &quot;-&quot;??_);_(@_)"/>
  </numFmts>
  <fonts count="115" x14ac:knownFonts="1">
    <font>
      <sz val="10"/>
      <name val="Arial"/>
    </font>
    <font>
      <sz val="11"/>
      <name val="Calibri"/>
      <family val="2"/>
    </font>
    <font>
      <sz val="10"/>
      <name val="Arial"/>
      <family val="2"/>
    </font>
    <font>
      <sz val="11"/>
      <color theme="1"/>
      <name val="Calibri"/>
      <family val="2"/>
      <scheme val="minor"/>
    </font>
    <font>
      <sz val="10"/>
      <name val="Arial"/>
      <family val="2"/>
    </font>
    <font>
      <sz val="11"/>
      <color theme="1"/>
      <name val="Calibri"/>
      <family val="2"/>
      <scheme val="minor"/>
    </font>
    <font>
      <sz val="10"/>
      <color theme="1"/>
      <name val="Arial"/>
      <family val="2"/>
    </font>
    <font>
      <sz val="11"/>
      <color theme="1"/>
      <name val="Calibri"/>
      <family val="2"/>
      <scheme val="minor"/>
    </font>
    <font>
      <sz val="10"/>
      <name val="Arial"/>
      <family val="2"/>
    </font>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b/>
      <sz val="10"/>
      <name val="Arial"/>
      <family val="2"/>
    </font>
    <font>
      <sz val="9"/>
      <name val="Arial"/>
      <family val="2"/>
    </font>
    <font>
      <sz val="10"/>
      <color rgb="FF0000FF"/>
      <name val="Arial"/>
      <family val="2"/>
    </font>
    <font>
      <i/>
      <sz val="9"/>
      <name val="Arial"/>
      <family val="2"/>
    </font>
    <font>
      <b/>
      <sz val="11"/>
      <color theme="0"/>
      <name val="Arial"/>
      <family val="2"/>
    </font>
    <font>
      <b/>
      <sz val="10"/>
      <color theme="0"/>
      <name val="Arial"/>
      <family val="2"/>
    </font>
    <font>
      <sz val="10"/>
      <color theme="0"/>
      <name val="Arial"/>
      <family val="2"/>
    </font>
    <font>
      <b/>
      <sz val="10"/>
      <color theme="1"/>
      <name val="Arial"/>
      <family val="2"/>
    </font>
    <font>
      <i/>
      <sz val="8"/>
      <name val="Arial"/>
      <family val="2"/>
    </font>
    <font>
      <b/>
      <i/>
      <sz val="9"/>
      <name val="Arial"/>
      <family val="2"/>
    </font>
    <font>
      <i/>
      <u val="singleAccounting"/>
      <sz val="9"/>
      <name val="Arial"/>
      <family val="2"/>
    </font>
    <font>
      <i/>
      <u/>
      <sz val="9"/>
      <name val="Arial"/>
      <family val="2"/>
    </font>
    <font>
      <sz val="11"/>
      <color theme="1"/>
      <name val="Arial"/>
      <family val="2"/>
    </font>
    <font>
      <sz val="11"/>
      <name val="Calibri"/>
      <family val="2"/>
      <scheme val="minor"/>
    </font>
    <font>
      <i/>
      <sz val="10"/>
      <name val="Arial"/>
      <family val="2"/>
    </font>
    <font>
      <sz val="10"/>
      <color theme="4"/>
      <name val="Arial"/>
      <family val="2"/>
    </font>
    <font>
      <b/>
      <i/>
      <sz val="8"/>
      <name val="Arial"/>
      <family val="2"/>
    </font>
    <font>
      <sz val="10"/>
      <color theme="1" tint="0.499984740745262"/>
      <name val="Arial"/>
      <family val="2"/>
    </font>
    <font>
      <sz val="10"/>
      <name val="Calibri"/>
      <family val="2"/>
      <scheme val="minor"/>
    </font>
    <font>
      <sz val="10"/>
      <color rgb="FF000000"/>
      <name val="Times New Roman"/>
      <family val="1"/>
    </font>
    <font>
      <sz val="11"/>
      <name val="Arial"/>
      <family val="2"/>
    </font>
    <font>
      <b/>
      <sz val="11"/>
      <name val="Arial"/>
      <family val="2"/>
    </font>
    <font>
      <b/>
      <sz val="14"/>
      <color theme="0"/>
      <name val="Arial"/>
      <family val="2"/>
    </font>
    <font>
      <b/>
      <sz val="11"/>
      <name val="Calibri"/>
      <family val="2"/>
      <scheme val="minor"/>
    </font>
    <font>
      <b/>
      <sz val="11"/>
      <color rgb="FFC00000"/>
      <name val="Calibri"/>
      <family val="2"/>
      <scheme val="minor"/>
    </font>
    <font>
      <b/>
      <i/>
      <sz val="11"/>
      <color rgb="FFC00000"/>
      <name val="Calibri"/>
      <family val="2"/>
      <scheme val="minor"/>
    </font>
    <font>
      <i/>
      <sz val="9"/>
      <name val="Calibri"/>
      <family val="2"/>
      <scheme val="minor"/>
    </font>
    <font>
      <b/>
      <sz val="10"/>
      <name val="Calibri"/>
      <family val="2"/>
      <scheme val="minor"/>
    </font>
    <font>
      <b/>
      <u/>
      <sz val="11"/>
      <name val="Calibri"/>
      <family val="2"/>
    </font>
    <font>
      <b/>
      <sz val="10"/>
      <name val="Calibri"/>
      <family val="2"/>
    </font>
    <font>
      <u val="singleAccounting"/>
      <sz val="10"/>
      <name val="Calibri"/>
      <family val="2"/>
      <scheme val="minor"/>
    </font>
    <font>
      <b/>
      <sz val="10"/>
      <color rgb="FFFFFF00"/>
      <name val="Arial"/>
      <family val="2"/>
    </font>
    <font>
      <b/>
      <i/>
      <sz val="9"/>
      <color theme="0"/>
      <name val="Arial"/>
      <family val="2"/>
    </font>
    <font>
      <b/>
      <sz val="11"/>
      <color rgb="FFFFFF00"/>
      <name val="Arial"/>
      <family val="2"/>
    </font>
    <font>
      <sz val="9"/>
      <color indexed="81"/>
      <name val="Tahoma"/>
      <family val="2"/>
    </font>
    <font>
      <b/>
      <sz val="9"/>
      <color indexed="81"/>
      <name val="Tahoma"/>
      <family val="2"/>
    </font>
    <font>
      <u/>
      <sz val="10"/>
      <color theme="10"/>
      <name val="Arial"/>
      <family val="2"/>
    </font>
    <font>
      <sz val="10"/>
      <color rgb="FF7030A0"/>
      <name val="Arial"/>
      <family val="2"/>
    </font>
    <font>
      <b/>
      <sz val="11"/>
      <color theme="0"/>
      <name val="Calibri"/>
      <family val="2"/>
      <scheme val="minor"/>
    </font>
    <font>
      <sz val="11"/>
      <color theme="0"/>
      <name val="Calibri"/>
      <family val="2"/>
      <scheme val="minor"/>
    </font>
    <font>
      <b/>
      <sz val="9"/>
      <name val="Arial"/>
      <family val="2"/>
    </font>
    <font>
      <sz val="11"/>
      <color rgb="FFFF0000"/>
      <name val="Calibri"/>
      <family val="2"/>
      <scheme val="minor"/>
    </font>
    <font>
      <b/>
      <sz val="11"/>
      <color theme="1"/>
      <name val="Calibri"/>
      <family val="2"/>
      <scheme val="minor"/>
    </font>
    <font>
      <b/>
      <sz val="11"/>
      <color theme="4"/>
      <name val="Calibri"/>
      <family val="2"/>
      <scheme val="minor"/>
    </font>
    <font>
      <i/>
      <sz val="11"/>
      <color theme="1"/>
      <name val="Calibri"/>
      <family val="2"/>
      <scheme val="minor"/>
    </font>
    <font>
      <i/>
      <sz val="11"/>
      <color rgb="FF7030A0"/>
      <name val="Calibri"/>
      <family val="2"/>
      <scheme val="minor"/>
    </font>
    <font>
      <b/>
      <i/>
      <sz val="11"/>
      <color rgb="FF7030A0"/>
      <name val="Calibri"/>
      <family val="2"/>
      <scheme val="minor"/>
    </font>
    <font>
      <sz val="11"/>
      <color rgb="FF7030A0"/>
      <name val="Calibri"/>
      <family val="2"/>
      <scheme val="minor"/>
    </font>
    <font>
      <sz val="9"/>
      <color theme="9" tint="-0.249977111117893"/>
      <name val="Calibri"/>
      <family val="2"/>
      <scheme val="minor"/>
    </font>
    <font>
      <sz val="9"/>
      <color theme="9" tint="-0.249977111117893"/>
      <name val="Arial"/>
      <family val="2"/>
    </font>
    <font>
      <sz val="9"/>
      <name val="Calibri"/>
      <family val="2"/>
      <scheme val="minor"/>
    </font>
    <font>
      <sz val="11"/>
      <color theme="9" tint="-0.249977111117893"/>
      <name val="Calibri"/>
      <family val="2"/>
      <scheme val="minor"/>
    </font>
    <font>
      <sz val="9"/>
      <color rgb="FF7030A0"/>
      <name val="Calibri"/>
      <family val="2"/>
      <scheme val="minor"/>
    </font>
    <font>
      <b/>
      <i/>
      <sz val="8"/>
      <color theme="0"/>
      <name val="Arial"/>
      <family val="2"/>
    </font>
    <font>
      <b/>
      <i/>
      <sz val="11"/>
      <color theme="1"/>
      <name val="Calibri"/>
      <family val="2"/>
      <scheme val="minor"/>
    </font>
    <font>
      <i/>
      <sz val="6"/>
      <color theme="0"/>
      <name val="Arial"/>
      <family val="2"/>
    </font>
    <font>
      <sz val="10"/>
      <color theme="3" tint="-0.249977111117893"/>
      <name val="Arial"/>
      <family val="2"/>
    </font>
    <font>
      <b/>
      <sz val="10"/>
      <color rgb="FFFF0000"/>
      <name val="Arial"/>
      <family val="2"/>
    </font>
    <font>
      <sz val="11"/>
      <name val="Arial"/>
      <family val="1"/>
    </font>
    <font>
      <sz val="11"/>
      <color indexed="8"/>
      <name val="Calibri"/>
      <family val="2"/>
      <scheme val="minor"/>
    </font>
    <font>
      <i/>
      <sz val="8"/>
      <color theme="4" tint="-0.249977111117893"/>
      <name val="Arial"/>
      <family val="2"/>
    </font>
    <font>
      <b/>
      <i/>
      <u/>
      <sz val="10"/>
      <name val="Arial"/>
      <family val="2"/>
    </font>
    <font>
      <i/>
      <sz val="9"/>
      <color theme="4" tint="-0.249977111117893"/>
      <name val="Arial"/>
      <family val="2"/>
    </font>
    <font>
      <i/>
      <sz val="8"/>
      <color rgb="FFFF0000"/>
      <name val="Arial"/>
      <family val="2"/>
    </font>
    <font>
      <i/>
      <sz val="10"/>
      <color rgb="FF0000FF"/>
      <name val="Arial"/>
      <family val="2"/>
    </font>
    <font>
      <sz val="10"/>
      <color theme="0" tint="-0.14999847407452621"/>
      <name val="Arial"/>
      <family val="2"/>
    </font>
    <font>
      <i/>
      <sz val="10"/>
      <color theme="0" tint="-0.14999847407452621"/>
      <name val="Arial"/>
      <family val="2"/>
    </font>
    <font>
      <b/>
      <sz val="14"/>
      <color theme="0"/>
      <name val="Calibri"/>
      <family val="2"/>
      <scheme val="minor"/>
    </font>
    <font>
      <b/>
      <sz val="12"/>
      <name val="Calibri"/>
      <family val="2"/>
      <scheme val="minor"/>
    </font>
    <font>
      <sz val="11"/>
      <color indexed="12"/>
      <name val="Calibri"/>
      <family val="2"/>
      <scheme val="minor"/>
    </font>
    <font>
      <u/>
      <sz val="11"/>
      <name val="Calibri"/>
      <family val="2"/>
      <scheme val="minor"/>
    </font>
    <font>
      <b/>
      <sz val="12"/>
      <color theme="1"/>
      <name val="Calibri"/>
      <family val="2"/>
      <scheme val="minor"/>
    </font>
    <font>
      <sz val="9"/>
      <color theme="1"/>
      <name val="Calibri"/>
      <family val="2"/>
      <scheme val="minor"/>
    </font>
    <font>
      <b/>
      <sz val="9"/>
      <color rgb="FFFF0000"/>
      <name val="Calibri"/>
      <family val="2"/>
      <scheme val="minor"/>
    </font>
    <font>
      <b/>
      <u/>
      <sz val="11"/>
      <color theme="1"/>
      <name val="Calibri"/>
      <family val="2"/>
      <scheme val="minor"/>
    </font>
    <font>
      <u/>
      <sz val="11"/>
      <color theme="1"/>
      <name val="Calibri"/>
      <family val="2"/>
      <scheme val="minor"/>
    </font>
    <font>
      <b/>
      <u/>
      <sz val="11"/>
      <name val="Calibri"/>
      <family val="2"/>
      <scheme val="minor"/>
    </font>
    <font>
      <sz val="11"/>
      <color rgb="FF124579"/>
      <name val="Calibri"/>
      <family val="2"/>
      <scheme val="minor"/>
    </font>
    <font>
      <sz val="10"/>
      <color rgb="FF124579"/>
      <name val="Arial"/>
      <family val="2"/>
    </font>
    <font>
      <b/>
      <sz val="9"/>
      <name val="Calibri"/>
      <family val="2"/>
      <scheme val="minor"/>
    </font>
    <font>
      <i/>
      <sz val="10"/>
      <color rgb="FFFF0000"/>
      <name val="Calibri"/>
      <family val="2"/>
      <scheme val="minor"/>
    </font>
    <font>
      <sz val="9"/>
      <color theme="4" tint="-0.499984740745262"/>
      <name val="Arial"/>
      <family val="2"/>
    </font>
    <font>
      <i/>
      <sz val="9"/>
      <color theme="4" tint="-0.499984740745262"/>
      <name val="Arial"/>
      <family val="2"/>
    </font>
    <font>
      <sz val="9"/>
      <color theme="9" tint="-0.499984740745262"/>
      <name val="Arial"/>
      <family val="2"/>
    </font>
    <font>
      <sz val="9"/>
      <color theme="0"/>
      <name val="Calibri"/>
      <family val="2"/>
      <scheme val="minor"/>
    </font>
    <font>
      <b/>
      <sz val="9"/>
      <color theme="0"/>
      <name val="Calibri"/>
      <family val="2"/>
      <scheme val="minor"/>
    </font>
    <font>
      <i/>
      <sz val="9"/>
      <color theme="3"/>
      <name val="Arial"/>
      <family val="2"/>
    </font>
    <font>
      <sz val="9"/>
      <color theme="3"/>
      <name val="Arial"/>
      <family val="2"/>
    </font>
    <font>
      <u/>
      <sz val="11"/>
      <color theme="10"/>
      <name val="Calibri"/>
      <family val="2"/>
      <scheme val="minor"/>
    </font>
    <font>
      <u/>
      <sz val="11"/>
      <color theme="0"/>
      <name val="Calibri"/>
      <family val="2"/>
      <scheme val="minor"/>
    </font>
    <font>
      <i/>
      <sz val="10"/>
      <color theme="1"/>
      <name val="Calibri"/>
      <family val="2"/>
      <scheme val="minor"/>
    </font>
    <font>
      <sz val="11"/>
      <color rgb="FF0000FF"/>
      <name val="Calibri"/>
      <family val="2"/>
      <scheme val="minor"/>
    </font>
    <font>
      <sz val="10"/>
      <color theme="1"/>
      <name val="Calibri"/>
      <family val="2"/>
      <scheme val="minor"/>
    </font>
    <font>
      <u/>
      <sz val="10"/>
      <name val="Arial"/>
      <family val="2"/>
    </font>
    <font>
      <sz val="10"/>
      <color rgb="FF00B0F0"/>
      <name val="Arial"/>
      <family val="2"/>
    </font>
    <font>
      <sz val="8"/>
      <name val="Arial"/>
      <family val="2"/>
    </font>
    <font>
      <u val="singleAccounting"/>
      <sz val="9"/>
      <name val="Arial"/>
      <family val="2"/>
    </font>
    <font>
      <u/>
      <sz val="9"/>
      <name val="Arial"/>
      <family val="2"/>
    </font>
    <font>
      <sz val="8"/>
      <color theme="4" tint="-0.249977111117893"/>
      <name val="Arial"/>
      <family val="2"/>
    </font>
    <font>
      <sz val="8"/>
      <color theme="3"/>
      <name val="Arial"/>
      <family val="2"/>
    </font>
  </fonts>
  <fills count="30">
    <fill>
      <patternFill patternType="none"/>
    </fill>
    <fill>
      <patternFill patternType="gray125"/>
    </fill>
    <fill>
      <patternFill patternType="solid">
        <fgColor indexed="9"/>
        <bgColor indexed="64"/>
      </patternFill>
    </fill>
    <fill>
      <patternFill patternType="solid">
        <fgColor rgb="FFFFFF00"/>
        <bgColor indexed="64"/>
      </patternFill>
    </fill>
    <fill>
      <patternFill patternType="solid">
        <fgColor theme="9" tint="0.79998168889431442"/>
        <bgColor indexed="64"/>
      </patternFill>
    </fill>
    <fill>
      <patternFill patternType="solid">
        <fgColor theme="3" tint="-0.249977111117893"/>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indexed="63"/>
        <bgColor indexed="64"/>
      </patternFill>
    </fill>
    <fill>
      <patternFill patternType="solid">
        <fgColor indexed="57"/>
        <bgColor indexed="64"/>
      </patternFill>
    </fill>
    <fill>
      <patternFill patternType="solid">
        <fgColor theme="3" tint="0.79998168889431442"/>
        <bgColor indexed="64"/>
      </patternFill>
    </fill>
    <fill>
      <patternFill patternType="solid">
        <fgColor theme="0"/>
        <bgColor indexed="64"/>
      </patternFill>
    </fill>
    <fill>
      <patternFill patternType="solid">
        <fgColor theme="1" tint="0.34998626667073579"/>
        <bgColor indexed="64"/>
      </patternFill>
    </fill>
    <fill>
      <patternFill patternType="solid">
        <fgColor theme="9"/>
      </patternFill>
    </fill>
    <fill>
      <patternFill patternType="solid">
        <fgColor theme="4"/>
      </patternFill>
    </fill>
    <fill>
      <patternFill patternType="solid">
        <fgColor theme="4" tint="0.59999389629810485"/>
        <bgColor indexed="65"/>
      </patternFill>
    </fill>
    <fill>
      <patternFill patternType="solid">
        <fgColor indexed="22"/>
        <bgColor indexed="64"/>
      </patternFill>
    </fill>
    <fill>
      <patternFill patternType="solid">
        <fgColor theme="3" tint="-0.24994659260841701"/>
        <bgColor indexed="64"/>
      </patternFill>
    </fill>
    <fill>
      <patternFill patternType="solid">
        <fgColor rgb="FF002060"/>
        <bgColor indexed="64"/>
      </patternFill>
    </fill>
    <fill>
      <patternFill patternType="solid">
        <fgColor theme="4" tint="0.79998168889431442"/>
        <bgColor indexed="65"/>
      </patternFill>
    </fill>
    <fill>
      <patternFill patternType="solid">
        <fgColor theme="7"/>
      </patternFill>
    </fill>
    <fill>
      <patternFill patternType="solid">
        <fgColor theme="5" tint="-0.249977111117893"/>
        <bgColor indexed="64"/>
      </patternFill>
    </fill>
    <fill>
      <patternFill patternType="solid">
        <fgColor theme="0" tint="-0.249977111117893"/>
        <bgColor indexed="64"/>
      </patternFill>
    </fill>
    <fill>
      <patternFill patternType="solid">
        <fgColor theme="4" tint="0.79998168889431442"/>
        <bgColor indexed="64"/>
      </patternFill>
    </fill>
    <fill>
      <patternFill patternType="solid">
        <fgColor rgb="FFFF9E42"/>
        <bgColor indexed="64"/>
      </patternFill>
    </fill>
    <fill>
      <patternFill patternType="solid">
        <fgColor rgb="FF124579"/>
        <bgColor indexed="64"/>
      </patternFill>
    </fill>
    <fill>
      <patternFill patternType="solid">
        <fgColor theme="6" tint="0.59999389629810485"/>
        <bgColor indexed="65"/>
      </patternFill>
    </fill>
    <fill>
      <patternFill patternType="solid">
        <fgColor theme="0" tint="-0.34998626667073579"/>
        <bgColor indexed="64"/>
      </patternFill>
    </fill>
    <fill>
      <patternFill patternType="solid">
        <fgColor theme="4" tint="0.59999389629810485"/>
        <bgColor indexed="64"/>
      </patternFill>
    </fill>
    <fill>
      <patternFill patternType="solid">
        <fgColor theme="4"/>
        <bgColor indexed="64"/>
      </patternFill>
    </fill>
  </fills>
  <borders count="61">
    <border>
      <left/>
      <right/>
      <top/>
      <bottom/>
      <diagonal/>
    </border>
    <border>
      <left/>
      <right/>
      <top/>
      <bottom style="thin">
        <color auto="1"/>
      </bottom>
      <diagonal/>
    </border>
    <border>
      <left/>
      <right style="thin">
        <color auto="1"/>
      </right>
      <top/>
      <bottom/>
      <diagonal/>
    </border>
    <border>
      <left style="medium">
        <color auto="1"/>
      </left>
      <right/>
      <top/>
      <bottom/>
      <diagonal/>
    </border>
    <border>
      <left/>
      <right style="medium">
        <color auto="1"/>
      </right>
      <top/>
      <bottom style="medium">
        <color auto="1"/>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right style="thin">
        <color auto="1"/>
      </right>
      <top/>
      <bottom style="thin">
        <color auto="1"/>
      </bottom>
      <diagonal/>
    </border>
    <border>
      <left style="thin">
        <color indexed="55"/>
      </left>
      <right style="thin">
        <color indexed="55"/>
      </right>
      <top style="thin">
        <color indexed="55"/>
      </top>
      <bottom style="thin">
        <color indexed="55"/>
      </bottom>
      <diagonal/>
    </border>
    <border>
      <left style="thin">
        <color indexed="58"/>
      </left>
      <right style="thin">
        <color indexed="58"/>
      </right>
      <top style="thin">
        <color indexed="58"/>
      </top>
      <bottom style="thin">
        <color indexed="58"/>
      </bottom>
      <diagonal/>
    </border>
    <border>
      <left style="medium">
        <color auto="1"/>
      </left>
      <right/>
      <top/>
      <bottom style="medium">
        <color auto="1"/>
      </bottom>
      <diagonal/>
    </border>
    <border>
      <left style="thin">
        <color auto="1"/>
      </left>
      <right style="thin">
        <color auto="1"/>
      </right>
      <top/>
      <bottom style="thin">
        <color auto="1"/>
      </bottom>
      <diagonal/>
    </border>
    <border>
      <left style="thin">
        <color auto="1"/>
      </left>
      <right/>
      <top/>
      <bottom/>
      <diagonal/>
    </border>
    <border>
      <left style="thin">
        <color auto="1"/>
      </left>
      <right/>
      <top/>
      <bottom style="thin">
        <color auto="1"/>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right style="medium">
        <color auto="1"/>
      </right>
      <top/>
      <bottom/>
      <diagonal/>
    </border>
    <border>
      <left style="medium">
        <color rgb="FFC00000"/>
      </left>
      <right style="medium">
        <color rgb="FFC00000"/>
      </right>
      <top style="medium">
        <color rgb="FFC00000"/>
      </top>
      <bottom style="medium">
        <color rgb="FFC00000"/>
      </bottom>
      <diagonal/>
    </border>
    <border>
      <left/>
      <right/>
      <top/>
      <bottom style="medium">
        <color auto="1"/>
      </bottom>
      <diagonal/>
    </border>
    <border>
      <left style="thin">
        <color indexed="64"/>
      </left>
      <right style="thin">
        <color indexed="64"/>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style="thin">
        <color theme="0" tint="-0.34998626667073579"/>
      </right>
      <top/>
      <bottom style="thin">
        <color theme="0" tint="-0.34998626667073579"/>
      </bottom>
      <diagonal/>
    </border>
    <border>
      <left/>
      <right style="thin">
        <color indexed="64"/>
      </right>
      <top/>
      <bottom style="medium">
        <color auto="1"/>
      </bottom>
      <diagonal/>
    </border>
    <border>
      <left/>
      <right style="hair">
        <color auto="1"/>
      </right>
      <top/>
      <bottom/>
      <diagonal/>
    </border>
    <border>
      <left style="hair">
        <color auto="1"/>
      </left>
      <right/>
      <top/>
      <bottom/>
      <diagonal/>
    </border>
    <border>
      <left/>
      <right style="hair">
        <color auto="1"/>
      </right>
      <top/>
      <bottom style="thin">
        <color auto="1"/>
      </bottom>
      <diagonal/>
    </border>
    <border>
      <left style="hair">
        <color auto="1"/>
      </left>
      <right/>
      <top/>
      <bottom style="thin">
        <color auto="1"/>
      </bottom>
      <diagonal/>
    </border>
    <border>
      <left style="hair">
        <color auto="1"/>
      </left>
      <right/>
      <top style="thin">
        <color auto="1"/>
      </top>
      <bottom/>
      <diagonal/>
    </border>
    <border>
      <left/>
      <right/>
      <top/>
      <bottom style="double">
        <color indexed="64"/>
      </bottom>
      <diagonal/>
    </border>
    <border>
      <left style="medium">
        <color theme="1" tint="0.499984740745262"/>
      </left>
      <right/>
      <top style="medium">
        <color theme="1" tint="0.499984740745262"/>
      </top>
      <bottom/>
      <diagonal/>
    </border>
    <border>
      <left/>
      <right/>
      <top style="medium">
        <color theme="1" tint="0.499984740745262"/>
      </top>
      <bottom/>
      <diagonal/>
    </border>
    <border>
      <left/>
      <right/>
      <top style="medium">
        <color theme="1" tint="0.499984740745262"/>
      </top>
      <bottom style="medium">
        <color auto="1"/>
      </bottom>
      <diagonal/>
    </border>
    <border>
      <left/>
      <right style="medium">
        <color theme="1" tint="0.499984740745262"/>
      </right>
      <top style="medium">
        <color theme="1" tint="0.499984740745262"/>
      </top>
      <bottom style="medium">
        <color indexed="64"/>
      </bottom>
      <diagonal/>
    </border>
    <border>
      <left/>
      <right style="medium">
        <color theme="1" tint="0.499984740745262"/>
      </right>
      <top/>
      <bottom/>
      <diagonal/>
    </border>
    <border>
      <left/>
      <right style="medium">
        <color theme="0" tint="-0.499984740745262"/>
      </right>
      <top/>
      <bottom/>
      <diagonal/>
    </border>
    <border>
      <left style="medium">
        <color theme="0" tint="-0.499984740745262"/>
      </left>
      <right/>
      <top/>
      <bottom/>
      <diagonal/>
    </border>
    <border>
      <left style="thin">
        <color theme="0" tint="-0.34998626667073579"/>
      </left>
      <right/>
      <top/>
      <bottom style="thin">
        <color indexed="64"/>
      </bottom>
      <diagonal/>
    </border>
    <border>
      <left style="medium">
        <color theme="0" tint="-0.499984740745262"/>
      </left>
      <right/>
      <top style="medium">
        <color theme="0" tint="-0.499984740745262"/>
      </top>
      <bottom/>
      <diagonal/>
    </border>
    <border>
      <left/>
      <right style="medium">
        <color theme="0" tint="-0.499984740745262"/>
      </right>
      <top style="medium">
        <color theme="0" tint="-0.499984740745262"/>
      </top>
      <bottom/>
      <diagonal/>
    </border>
    <border>
      <left style="thin">
        <color indexed="64"/>
      </left>
      <right style="thin">
        <color auto="1"/>
      </right>
      <top/>
      <bottom style="medium">
        <color auto="1"/>
      </bottom>
      <diagonal/>
    </border>
    <border>
      <left style="thin">
        <color indexed="64"/>
      </left>
      <right style="thin">
        <color auto="1"/>
      </right>
      <top style="medium">
        <color auto="1"/>
      </top>
      <bottom style="thin">
        <color indexed="64"/>
      </bottom>
      <diagonal/>
    </border>
    <border>
      <left/>
      <right/>
      <top style="thin">
        <color indexed="64"/>
      </top>
      <bottom style="double">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auto="1"/>
      </right>
      <top style="thin">
        <color auto="1"/>
      </top>
      <bottom style="double">
        <color auto="1"/>
      </bottom>
      <diagonal/>
    </border>
    <border>
      <left/>
      <right style="thick">
        <color theme="0"/>
      </right>
      <top style="thin">
        <color auto="1"/>
      </top>
      <bottom style="double">
        <color auto="1"/>
      </bottom>
      <diagonal/>
    </border>
    <border>
      <left style="thick">
        <color theme="0"/>
      </left>
      <right style="thick">
        <color theme="0"/>
      </right>
      <top style="thin">
        <color auto="1"/>
      </top>
      <bottom style="double">
        <color auto="1"/>
      </bottom>
      <diagonal/>
    </border>
    <border>
      <left style="thick">
        <color theme="0"/>
      </left>
      <right/>
      <top style="thin">
        <color auto="1"/>
      </top>
      <bottom style="double">
        <color auto="1"/>
      </bottom>
      <diagonal/>
    </border>
    <border>
      <left style="medium">
        <color indexed="64"/>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thin">
        <color auto="1"/>
      </left>
      <right style="thin">
        <color auto="1"/>
      </right>
      <top style="thin">
        <color auto="1"/>
      </top>
      <bottom style="thin">
        <color auto="1"/>
      </bottom>
      <diagonal/>
    </border>
    <border>
      <left/>
      <right/>
      <top style="thin">
        <color indexed="64"/>
      </top>
      <bottom/>
      <diagonal/>
    </border>
    <border>
      <left/>
      <right style="thin">
        <color indexed="64"/>
      </right>
      <top style="thin">
        <color indexed="64"/>
      </top>
      <bottom/>
      <diagonal/>
    </border>
    <border>
      <left style="thin">
        <color auto="1"/>
      </left>
      <right/>
      <top style="thin">
        <color indexed="64"/>
      </top>
      <bottom/>
      <diagonal/>
    </border>
    <border>
      <left style="thin">
        <color indexed="64"/>
      </left>
      <right style="thin">
        <color indexed="64"/>
      </right>
      <top style="thin">
        <color indexed="64"/>
      </top>
      <bottom/>
      <diagonal/>
    </border>
    <border>
      <left style="thick">
        <color theme="0"/>
      </left>
      <right style="thick">
        <color theme="0"/>
      </right>
      <top style="thin">
        <color auto="1"/>
      </top>
      <bottom/>
      <diagonal/>
    </border>
  </borders>
  <cellStyleXfs count="50">
    <xf numFmtId="0" fontId="0" fillId="0" borderId="0"/>
    <xf numFmtId="43" fontId="13"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9" fontId="13" fillId="0" borderId="0" applyFont="0" applyFill="0" applyBorder="0" applyAlignment="0" applyProtection="0"/>
    <xf numFmtId="0" fontId="14" fillId="0" borderId="0"/>
    <xf numFmtId="43" fontId="14" fillId="0" borderId="0" applyFont="0" applyFill="0" applyBorder="0" applyAlignment="0" applyProtection="0"/>
    <xf numFmtId="9" fontId="14" fillId="0" borderId="0" applyFont="0" applyFill="0" applyBorder="0" applyAlignment="0" applyProtection="0"/>
    <xf numFmtId="0" fontId="14" fillId="0" borderId="0"/>
    <xf numFmtId="0" fontId="13" fillId="0" borderId="0"/>
    <xf numFmtId="0" fontId="13" fillId="0" borderId="0"/>
    <xf numFmtId="43" fontId="13" fillId="0" borderId="0" applyFont="0" applyFill="0" applyBorder="0" applyAlignment="0" applyProtection="0"/>
    <xf numFmtId="9" fontId="13" fillId="0" borderId="0" applyFont="0" applyFill="0" applyBorder="0" applyAlignment="0" applyProtection="0"/>
    <xf numFmtId="43" fontId="27" fillId="0" borderId="0" applyFont="0" applyFill="0" applyBorder="0" applyAlignment="0" applyProtection="0"/>
    <xf numFmtId="44" fontId="27" fillId="0" borderId="0" applyFont="0" applyFill="0" applyBorder="0" applyAlignment="0" applyProtection="0"/>
    <xf numFmtId="9" fontId="27" fillId="0" borderId="0" applyFont="0" applyFill="0" applyBorder="0" applyAlignment="0" applyProtection="0"/>
    <xf numFmtId="0" fontId="13" fillId="2" borderId="8" applyNumberFormat="0" applyFont="0" applyProtection="0">
      <alignment horizontal="left" vertical="center"/>
    </xf>
    <xf numFmtId="0" fontId="13" fillId="8" borderId="8" applyNumberFormat="0" applyFont="0" applyProtection="0">
      <alignment horizontal="left" vertical="center"/>
    </xf>
    <xf numFmtId="0" fontId="13" fillId="2" borderId="9" applyNumberFormat="0" applyFont="0" applyProtection="0">
      <alignment horizontal="left" vertical="center"/>
    </xf>
    <xf numFmtId="0" fontId="13" fillId="9" borderId="9" applyNumberFormat="0" applyFont="0" applyProtection="0">
      <alignment horizontal="left" vertical="center"/>
    </xf>
    <xf numFmtId="0" fontId="13" fillId="2" borderId="9" applyNumberFormat="0" applyFont="0" applyProtection="0">
      <alignment horizontal="left" vertical="center"/>
    </xf>
    <xf numFmtId="0" fontId="13" fillId="9" borderId="9" applyNumberFormat="0" applyFont="0" applyProtection="0">
      <alignment horizontal="left" vertical="center"/>
    </xf>
    <xf numFmtId="0" fontId="34" fillId="0" borderId="0"/>
    <xf numFmtId="43" fontId="34" fillId="0" borderId="0" applyFont="0" applyFill="0" applyBorder="0" applyAlignment="0" applyProtection="0"/>
    <xf numFmtId="0" fontId="51" fillId="0" borderId="0" applyNumberFormat="0" applyFill="0" applyBorder="0" applyAlignment="0" applyProtection="0"/>
    <xf numFmtId="0" fontId="54" fillId="13" borderId="0" applyNumberFormat="0" applyBorder="0" applyAlignment="0" applyProtection="0"/>
    <xf numFmtId="0" fontId="54" fillId="14" borderId="0" applyNumberFormat="0" applyBorder="0" applyAlignment="0" applyProtection="0"/>
    <xf numFmtId="0" fontId="12" fillId="15" borderId="0" applyNumberFormat="0" applyBorder="0" applyAlignment="0" applyProtection="0"/>
    <xf numFmtId="0" fontId="12" fillId="0" borderId="0"/>
    <xf numFmtId="0" fontId="73" fillId="0" borderId="0"/>
    <xf numFmtId="0" fontId="74" fillId="0" borderId="0"/>
    <xf numFmtId="44" fontId="73" fillId="0" borderId="0" applyFont="0" applyFill="0" applyBorder="0" applyAlignment="0" applyProtection="0"/>
    <xf numFmtId="0" fontId="11" fillId="19" borderId="0" applyNumberFormat="0" applyBorder="0" applyAlignment="0" applyProtection="0"/>
    <xf numFmtId="0" fontId="54" fillId="20" borderId="0" applyNumberFormat="0" applyBorder="0" applyAlignment="0" applyProtection="0"/>
    <xf numFmtId="0" fontId="10" fillId="0" borderId="0"/>
    <xf numFmtId="0" fontId="9" fillId="26" borderId="0" applyNumberFormat="0" applyBorder="0" applyAlignment="0" applyProtection="0"/>
    <xf numFmtId="0" fontId="7" fillId="0" borderId="0"/>
    <xf numFmtId="43"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5" fillId="0" borderId="0"/>
    <xf numFmtId="0" fontId="103" fillId="0" borderId="0" applyNumberFormat="0" applyFill="0" applyBorder="0" applyAlignment="0" applyProtection="0"/>
    <xf numFmtId="0" fontId="6" fillId="0" borderId="0"/>
    <xf numFmtId="43" fontId="5" fillId="0" borderId="0" applyFont="0" applyFill="0" applyBorder="0" applyAlignment="0" applyProtection="0"/>
    <xf numFmtId="9" fontId="5"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cellStyleXfs>
  <cellXfs count="907">
    <xf numFmtId="0" fontId="0" fillId="0" borderId="0" xfId="0"/>
    <xf numFmtId="0" fontId="18" fillId="0" borderId="0" xfId="5" applyFont="1" applyAlignment="1">
      <alignment horizontal="left" indent="1"/>
    </xf>
    <xf numFmtId="0" fontId="20" fillId="5" borderId="0" xfId="5" applyFont="1" applyFill="1" applyAlignment="1">
      <alignment horizontal="left"/>
    </xf>
    <xf numFmtId="0" fontId="13" fillId="0" borderId="0" xfId="5" applyFont="1"/>
    <xf numFmtId="0" fontId="22" fillId="0" borderId="0" xfId="5" applyFont="1"/>
    <xf numFmtId="0" fontId="18" fillId="0" borderId="0" xfId="0" applyFont="1"/>
    <xf numFmtId="0" fontId="13" fillId="0" borderId="0" xfId="0" applyFont="1"/>
    <xf numFmtId="0" fontId="15" fillId="0" borderId="0" xfId="0" applyFont="1"/>
    <xf numFmtId="165" fontId="13" fillId="0" borderId="0" xfId="1" applyNumberFormat="1"/>
    <xf numFmtId="166" fontId="13" fillId="0" borderId="0" xfId="2" applyNumberFormat="1"/>
    <xf numFmtId="0" fontId="23" fillId="0" borderId="0" xfId="0" applyFont="1" applyAlignment="1">
      <alignment horizontal="right"/>
    </xf>
    <xf numFmtId="44" fontId="13" fillId="0" borderId="0" xfId="2"/>
    <xf numFmtId="9" fontId="13" fillId="0" borderId="0" xfId="4"/>
    <xf numFmtId="0" fontId="18" fillId="0" borderId="0" xfId="0" applyFont="1" applyAlignment="1">
      <alignment horizontal="center"/>
    </xf>
    <xf numFmtId="165" fontId="13" fillId="0" borderId="0" xfId="1" applyNumberFormat="1" applyAlignment="1">
      <alignment horizontal="center"/>
    </xf>
    <xf numFmtId="166" fontId="15" fillId="0" borderId="0" xfId="5" applyNumberFormat="1" applyFont="1"/>
    <xf numFmtId="0" fontId="20" fillId="6" borderId="0" xfId="5" applyFont="1" applyFill="1" applyAlignment="1">
      <alignment horizontal="left"/>
    </xf>
    <xf numFmtId="0" fontId="20" fillId="6" borderId="0" xfId="5" applyFont="1" applyFill="1" applyAlignment="1">
      <alignment horizontal="center"/>
    </xf>
    <xf numFmtId="0" fontId="15" fillId="0" borderId="0" xfId="5" applyFont="1"/>
    <xf numFmtId="0" fontId="0" fillId="0" borderId="0" xfId="0" applyAlignment="1">
      <alignment horizontal="left" indent="2"/>
    </xf>
    <xf numFmtId="172" fontId="20" fillId="6" borderId="1" xfId="0" applyNumberFormat="1" applyFont="1" applyFill="1" applyBorder="1" applyAlignment="1">
      <alignment horizontal="center"/>
    </xf>
    <xf numFmtId="166" fontId="18" fillId="7" borderId="0" xfId="2" applyNumberFormat="1" applyFont="1" applyFill="1"/>
    <xf numFmtId="166" fontId="25" fillId="7" borderId="0" xfId="2" applyNumberFormat="1" applyFont="1" applyFill="1" applyAlignment="1">
      <alignment horizontal="center"/>
    </xf>
    <xf numFmtId="10" fontId="13" fillId="0" borderId="0" xfId="4" applyNumberFormat="1" applyAlignment="1">
      <alignment horizontal="center"/>
    </xf>
    <xf numFmtId="166" fontId="23" fillId="0" borderId="0" xfId="0" applyNumberFormat="1" applyFont="1"/>
    <xf numFmtId="0" fontId="13" fillId="0" borderId="0" xfId="10" applyAlignment="1">
      <alignment horizontal="left" indent="1"/>
    </xf>
    <xf numFmtId="0" fontId="20" fillId="5" borderId="0" xfId="5" applyFont="1" applyFill="1" applyAlignment="1">
      <alignment horizontal="center"/>
    </xf>
    <xf numFmtId="9" fontId="0" fillId="0" borderId="0" xfId="15" applyFont="1"/>
    <xf numFmtId="0" fontId="0" fillId="0" borderId="0" xfId="0" applyAlignment="1">
      <alignment horizontal="left" indent="1"/>
    </xf>
    <xf numFmtId="165" fontId="0" fillId="0" borderId="0" xfId="13" applyNumberFormat="1" applyFont="1"/>
    <xf numFmtId="173" fontId="23" fillId="0" borderId="0" xfId="0" applyNumberFormat="1" applyFont="1" applyAlignment="1">
      <alignment horizontal="right"/>
    </xf>
    <xf numFmtId="0" fontId="23" fillId="0" borderId="0" xfId="0" applyFont="1"/>
    <xf numFmtId="165" fontId="0" fillId="10" borderId="1" xfId="13" applyNumberFormat="1" applyFont="1" applyFill="1" applyBorder="1"/>
    <xf numFmtId="164" fontId="15" fillId="0" borderId="0" xfId="0" applyNumberFormat="1" applyFont="1"/>
    <xf numFmtId="164" fontId="18" fillId="0" borderId="0" xfId="7" applyNumberFormat="1" applyFont="1" applyAlignment="1">
      <alignment horizontal="right"/>
    </xf>
    <xf numFmtId="165" fontId="0" fillId="0" borderId="0" xfId="0" applyNumberFormat="1"/>
    <xf numFmtId="0" fontId="20" fillId="5" borderId="0" xfId="10" applyFont="1" applyFill="1" applyAlignment="1">
      <alignment horizontal="centerContinuous"/>
    </xf>
    <xf numFmtId="0" fontId="15" fillId="0" borderId="0" xfId="0" applyFont="1" applyAlignment="1">
      <alignment horizontal="left" indent="1"/>
    </xf>
    <xf numFmtId="0" fontId="20" fillId="5" borderId="0" xfId="10" applyFont="1" applyFill="1" applyAlignment="1">
      <alignment horizontal="left"/>
    </xf>
    <xf numFmtId="0" fontId="20" fillId="5" borderId="0" xfId="10" applyFont="1" applyFill="1" applyAlignment="1">
      <alignment horizontal="center"/>
    </xf>
    <xf numFmtId="0" fontId="13" fillId="0" borderId="0" xfId="10"/>
    <xf numFmtId="0" fontId="15" fillId="0" borderId="0" xfId="10" applyFont="1" applyAlignment="1">
      <alignment horizontal="left"/>
    </xf>
    <xf numFmtId="0" fontId="15" fillId="0" borderId="1" xfId="10" applyFont="1" applyBorder="1" applyAlignment="1">
      <alignment horizontal="center"/>
    </xf>
    <xf numFmtId="170" fontId="13" fillId="0" borderId="0" xfId="10" applyNumberFormat="1"/>
    <xf numFmtId="166" fontId="15" fillId="0" borderId="0" xfId="3" applyNumberFormat="1" applyFont="1" applyAlignment="1">
      <alignment horizontal="right"/>
    </xf>
    <xf numFmtId="0" fontId="15" fillId="0" borderId="0" xfId="10" applyFont="1" applyAlignment="1">
      <alignment horizontal="left" indent="1"/>
    </xf>
    <xf numFmtId="164" fontId="13" fillId="0" borderId="0" xfId="10" applyNumberFormat="1"/>
    <xf numFmtId="171" fontId="13" fillId="0" borderId="0" xfId="10" applyNumberFormat="1"/>
    <xf numFmtId="0" fontId="18" fillId="0" borderId="0" xfId="10" applyFont="1" applyAlignment="1">
      <alignment horizontal="left" indent="2"/>
    </xf>
    <xf numFmtId="10" fontId="18" fillId="0" borderId="0" xfId="10" applyNumberFormat="1" applyFont="1"/>
    <xf numFmtId="0" fontId="15" fillId="0" borderId="0" xfId="5" applyFont="1" applyAlignment="1">
      <alignment horizontal="left" indent="1"/>
    </xf>
    <xf numFmtId="169" fontId="16" fillId="0" borderId="0" xfId="7" applyNumberFormat="1" applyFont="1" applyAlignment="1">
      <alignment horizontal="left"/>
    </xf>
    <xf numFmtId="9" fontId="18" fillId="0" borderId="0" xfId="7" applyFont="1"/>
    <xf numFmtId="164" fontId="18" fillId="0" borderId="0" xfId="7" applyNumberFormat="1" applyFont="1"/>
    <xf numFmtId="170" fontId="15" fillId="0" borderId="0" xfId="5" applyNumberFormat="1" applyFont="1"/>
    <xf numFmtId="166" fontId="16" fillId="0" borderId="0" xfId="0" applyNumberFormat="1" applyFont="1"/>
    <xf numFmtId="0" fontId="16" fillId="0" borderId="0" xfId="0" applyFont="1"/>
    <xf numFmtId="0" fontId="15" fillId="0" borderId="1" xfId="5" applyFont="1" applyBorder="1"/>
    <xf numFmtId="0" fontId="15" fillId="0" borderId="1" xfId="5" applyFont="1" applyBorder="1" applyAlignment="1">
      <alignment horizontal="center"/>
    </xf>
    <xf numFmtId="0" fontId="23" fillId="0" borderId="0" xfId="0" applyFont="1" applyAlignment="1">
      <alignment horizontal="center"/>
    </xf>
    <xf numFmtId="0" fontId="15" fillId="0" borderId="1" xfId="0" applyFont="1" applyBorder="1" applyAlignment="1">
      <alignment horizontal="center"/>
    </xf>
    <xf numFmtId="0" fontId="33" fillId="0" borderId="0" xfId="0" applyFont="1"/>
    <xf numFmtId="0" fontId="35" fillId="0" borderId="0" xfId="22" applyFont="1" applyAlignment="1">
      <alignment horizontal="left" vertical="top"/>
    </xf>
    <xf numFmtId="43" fontId="35" fillId="0" borderId="0" xfId="23" applyFont="1" applyAlignment="1">
      <alignment horizontal="left" vertical="top"/>
    </xf>
    <xf numFmtId="49" fontId="35" fillId="0" borderId="0" xfId="23" applyNumberFormat="1" applyFont="1" applyAlignment="1">
      <alignment horizontal="left" vertical="top"/>
    </xf>
    <xf numFmtId="49" fontId="36" fillId="0" borderId="0" xfId="23" applyNumberFormat="1" applyFont="1" applyAlignment="1">
      <alignment horizontal="left" vertical="top"/>
    </xf>
    <xf numFmtId="43" fontId="35" fillId="0" borderId="0" xfId="23" applyFont="1" applyAlignment="1">
      <alignment horizontal="left" vertical="top" wrapText="1"/>
    </xf>
    <xf numFmtId="49" fontId="35" fillId="0" borderId="0" xfId="23" applyNumberFormat="1" applyFont="1" applyAlignment="1">
      <alignment vertical="top" wrapText="1"/>
    </xf>
    <xf numFmtId="43" fontId="35" fillId="0" borderId="0" xfId="23" applyFont="1" applyAlignment="1">
      <alignment vertical="top" wrapText="1"/>
    </xf>
    <xf numFmtId="43" fontId="35" fillId="0" borderId="0" xfId="23" applyFont="1" applyAlignment="1">
      <alignment vertical="center" wrapText="1"/>
    </xf>
    <xf numFmtId="49" fontId="35" fillId="0" borderId="0" xfId="23" applyNumberFormat="1" applyFont="1" applyAlignment="1">
      <alignment horizontal="left" vertical="top" wrapText="1"/>
    </xf>
    <xf numFmtId="49" fontId="35" fillId="0" borderId="0" xfId="23" applyNumberFormat="1" applyFont="1" applyAlignment="1">
      <alignment vertical="center" wrapText="1"/>
    </xf>
    <xf numFmtId="1" fontId="35" fillId="0" borderId="0" xfId="23" applyNumberFormat="1" applyFont="1" applyAlignment="1">
      <alignment vertical="top" wrapText="1"/>
    </xf>
    <xf numFmtId="1" fontId="35" fillId="0" borderId="0" xfId="22" applyNumberFormat="1" applyFont="1" applyAlignment="1">
      <alignment horizontal="left" vertical="top"/>
    </xf>
    <xf numFmtId="165" fontId="35" fillId="0" borderId="0" xfId="23" applyNumberFormat="1" applyFont="1" applyAlignment="1">
      <alignment horizontal="left" vertical="top"/>
    </xf>
    <xf numFmtId="164" fontId="13" fillId="0" borderId="1" xfId="4" applyNumberFormat="1" applyBorder="1" applyAlignment="1">
      <alignment horizontal="center"/>
    </xf>
    <xf numFmtId="0" fontId="0" fillId="0" borderId="1" xfId="0" applyBorder="1"/>
    <xf numFmtId="0" fontId="0" fillId="0" borderId="0" xfId="0" applyAlignment="1">
      <alignment horizontal="right"/>
    </xf>
    <xf numFmtId="9" fontId="17" fillId="0" borderId="0" xfId="12" applyFont="1"/>
    <xf numFmtId="9" fontId="18" fillId="0" borderId="0" xfId="0" applyNumberFormat="1" applyFont="1" applyAlignment="1">
      <alignment wrapText="1"/>
    </xf>
    <xf numFmtId="9" fontId="15" fillId="0" borderId="0" xfId="0" applyNumberFormat="1" applyFont="1"/>
    <xf numFmtId="164" fontId="13" fillId="0" borderId="0" xfId="4" applyNumberFormat="1" applyAlignment="1">
      <alignment vertical="center"/>
    </xf>
    <xf numFmtId="0" fontId="0" fillId="12" borderId="0" xfId="0" applyFill="1"/>
    <xf numFmtId="0" fontId="37" fillId="12" borderId="0" xfId="0" applyFont="1" applyFill="1" applyAlignment="1">
      <alignment vertical="center"/>
    </xf>
    <xf numFmtId="0" fontId="20" fillId="12" borderId="0" xfId="0" applyFont="1" applyFill="1" applyAlignment="1">
      <alignment vertical="center"/>
    </xf>
    <xf numFmtId="0" fontId="37" fillId="5" borderId="14" xfId="10" applyFont="1" applyFill="1" applyBorder="1" applyAlignment="1">
      <alignment horizontal="left" indent="1"/>
    </xf>
    <xf numFmtId="0" fontId="20" fillId="5" borderId="15" xfId="10" applyFont="1" applyFill="1" applyBorder="1" applyAlignment="1">
      <alignment horizontal="left"/>
    </xf>
    <xf numFmtId="0" fontId="20" fillId="5" borderId="16" xfId="10" applyFont="1" applyFill="1" applyBorder="1" applyAlignment="1">
      <alignment horizontal="left"/>
    </xf>
    <xf numFmtId="0" fontId="13" fillId="0" borderId="3" xfId="10" applyBorder="1"/>
    <xf numFmtId="170" fontId="33" fillId="0" borderId="0" xfId="10" applyNumberFormat="1" applyFont="1"/>
    <xf numFmtId="165" fontId="33" fillId="0" borderId="0" xfId="1" applyNumberFormat="1" applyFont="1"/>
    <xf numFmtId="43" fontId="33" fillId="0" borderId="0" xfId="10" applyNumberFormat="1" applyFont="1"/>
    <xf numFmtId="0" fontId="33" fillId="0" borderId="0" xfId="10" applyFont="1" applyAlignment="1">
      <alignment horizontal="left" vertical="top" wrapText="1"/>
    </xf>
    <xf numFmtId="0" fontId="33" fillId="0" borderId="17" xfId="10" applyFont="1" applyBorder="1" applyAlignment="1">
      <alignment horizontal="left" vertical="top" wrapText="1"/>
    </xf>
    <xf numFmtId="166" fontId="33" fillId="0" borderId="0" xfId="0" applyNumberFormat="1" applyFont="1"/>
    <xf numFmtId="166" fontId="33" fillId="0" borderId="17" xfId="0" applyNumberFormat="1" applyFont="1" applyBorder="1"/>
    <xf numFmtId="164" fontId="41" fillId="0" borderId="0" xfId="4" applyNumberFormat="1" applyFont="1"/>
    <xf numFmtId="164" fontId="41" fillId="0" borderId="17" xfId="4" applyNumberFormat="1" applyFont="1" applyBorder="1"/>
    <xf numFmtId="0" fontId="33" fillId="0" borderId="17" xfId="0" applyFont="1" applyBorder="1"/>
    <xf numFmtId="166" fontId="33" fillId="0" borderId="0" xfId="2" applyNumberFormat="1" applyFont="1"/>
    <xf numFmtId="166" fontId="33" fillId="0" borderId="17" xfId="2" applyNumberFormat="1" applyFont="1" applyBorder="1"/>
    <xf numFmtId="0" fontId="0" fillId="0" borderId="19" xfId="0" applyBorder="1"/>
    <xf numFmtId="166" fontId="32" fillId="0" borderId="0" xfId="2" applyNumberFormat="1" applyFont="1"/>
    <xf numFmtId="10" fontId="33" fillId="0" borderId="0" xfId="4" applyNumberFormat="1" applyFont="1"/>
    <xf numFmtId="0" fontId="42" fillId="0" borderId="3" xfId="0" applyFont="1" applyBorder="1" applyAlignment="1">
      <alignment horizontal="left" indent="1"/>
    </xf>
    <xf numFmtId="0" fontId="42" fillId="0" borderId="0" xfId="0" applyFont="1" applyAlignment="1">
      <alignment horizontal="right"/>
    </xf>
    <xf numFmtId="0" fontId="42" fillId="0" borderId="17" xfId="0" applyFont="1" applyBorder="1" applyAlignment="1">
      <alignment horizontal="left"/>
    </xf>
    <xf numFmtId="0" fontId="42" fillId="0" borderId="3" xfId="10" applyFont="1" applyBorder="1" applyAlignment="1">
      <alignment horizontal="left" indent="1"/>
    </xf>
    <xf numFmtId="0" fontId="42" fillId="0" borderId="3" xfId="10" applyFont="1" applyBorder="1" applyAlignment="1">
      <alignment horizontal="left" vertical="top" indent="1"/>
    </xf>
    <xf numFmtId="0" fontId="42" fillId="3" borderId="3" xfId="10" applyFont="1" applyFill="1" applyBorder="1" applyAlignment="1">
      <alignment horizontal="left" indent="1"/>
    </xf>
    <xf numFmtId="0" fontId="33" fillId="3" borderId="0" xfId="0" applyFont="1" applyFill="1"/>
    <xf numFmtId="166" fontId="33" fillId="3" borderId="18" xfId="10" applyNumberFormat="1" applyFont="1" applyFill="1" applyBorder="1"/>
    <xf numFmtId="0" fontId="43" fillId="0" borderId="0" xfId="0" applyFont="1" applyAlignment="1">
      <alignment vertical="center"/>
    </xf>
    <xf numFmtId="0" fontId="44" fillId="0" borderId="5" xfId="0" applyFont="1" applyBorder="1" applyAlignment="1">
      <alignment horizontal="center" vertical="center" wrapText="1"/>
    </xf>
    <xf numFmtId="0" fontId="44" fillId="0" borderId="5" xfId="0" applyFont="1" applyBorder="1" applyAlignment="1">
      <alignment horizontal="centerContinuous" vertical="center" wrapText="1"/>
    </xf>
    <xf numFmtId="0" fontId="15" fillId="0" borderId="5" xfId="0" applyFont="1" applyBorder="1" applyAlignment="1">
      <alignment horizontal="centerContinuous"/>
    </xf>
    <xf numFmtId="166" fontId="33" fillId="0" borderId="0" xfId="0" applyNumberFormat="1" applyFont="1" applyAlignment="1">
      <alignment horizontal="left"/>
    </xf>
    <xf numFmtId="0" fontId="42" fillId="0" borderId="0" xfId="0" applyFont="1" applyAlignment="1">
      <alignment horizontal="right" indent="1"/>
    </xf>
    <xf numFmtId="164" fontId="33" fillId="0" borderId="17" xfId="4" applyNumberFormat="1" applyFont="1" applyBorder="1" applyAlignment="1">
      <alignment horizontal="left"/>
    </xf>
    <xf numFmtId="166" fontId="45" fillId="0" borderId="0" xfId="2" applyNumberFormat="1" applyFont="1"/>
    <xf numFmtId="0" fontId="0" fillId="0" borderId="4" xfId="0" applyBorder="1"/>
    <xf numFmtId="0" fontId="46" fillId="6" borderId="0" xfId="0" applyFont="1" applyFill="1" applyAlignment="1">
      <alignment horizontal="left" indent="1"/>
    </xf>
    <xf numFmtId="9" fontId="47" fillId="6" borderId="0" xfId="0" applyNumberFormat="1" applyFont="1" applyFill="1"/>
    <xf numFmtId="164" fontId="20" fillId="6" borderId="0" xfId="4" applyNumberFormat="1" applyFont="1" applyFill="1"/>
    <xf numFmtId="165" fontId="20" fillId="6" borderId="0" xfId="1" applyNumberFormat="1" applyFont="1" applyFill="1"/>
    <xf numFmtId="0" fontId="48" fillId="6" borderId="0" xfId="0" applyFont="1" applyFill="1" applyAlignment="1">
      <alignment horizontal="left" indent="1"/>
    </xf>
    <xf numFmtId="165" fontId="19" fillId="6" borderId="0" xfId="1" applyNumberFormat="1" applyFont="1" applyFill="1"/>
    <xf numFmtId="0" fontId="15" fillId="0" borderId="12" xfId="0" applyFont="1" applyBorder="1"/>
    <xf numFmtId="0" fontId="0" fillId="0" borderId="12" xfId="0" applyBorder="1" applyAlignment="1">
      <alignment horizontal="left" indent="1"/>
    </xf>
    <xf numFmtId="0" fontId="15" fillId="0" borderId="13" xfId="0" applyFont="1" applyBorder="1"/>
    <xf numFmtId="0" fontId="15" fillId="0" borderId="1" xfId="0" applyFont="1" applyBorder="1"/>
    <xf numFmtId="0" fontId="0" fillId="0" borderId="12" xfId="0" applyBorder="1"/>
    <xf numFmtId="167" fontId="13" fillId="0" borderId="12" xfId="4" applyNumberFormat="1" applyBorder="1" applyAlignment="1">
      <alignment horizontal="right"/>
    </xf>
    <xf numFmtId="0" fontId="0" fillId="0" borderId="2" xfId="0" applyBorder="1"/>
    <xf numFmtId="0" fontId="0" fillId="0" borderId="13" xfId="0" applyBorder="1"/>
    <xf numFmtId="167" fontId="0" fillId="0" borderId="0" xfId="4" applyNumberFormat="1" applyFont="1"/>
    <xf numFmtId="166" fontId="0" fillId="0" borderId="2" xfId="2" applyNumberFormat="1" applyFont="1" applyBorder="1"/>
    <xf numFmtId="166" fontId="0" fillId="0" borderId="20" xfId="2" applyNumberFormat="1" applyFont="1" applyBorder="1"/>
    <xf numFmtId="166" fontId="0" fillId="0" borderId="11" xfId="0" applyNumberFormat="1" applyBorder="1"/>
    <xf numFmtId="166" fontId="0" fillId="0" borderId="20" xfId="0" applyNumberFormat="1" applyBorder="1"/>
    <xf numFmtId="165" fontId="18" fillId="7" borderId="0" xfId="1" applyNumberFormat="1" applyFont="1" applyFill="1"/>
    <xf numFmtId="165" fontId="13" fillId="7" borderId="0" xfId="1" applyNumberFormat="1" applyFill="1"/>
    <xf numFmtId="165" fontId="25" fillId="7" borderId="0" xfId="1" applyNumberFormat="1" applyFont="1" applyFill="1" applyAlignment="1">
      <alignment horizontal="center"/>
    </xf>
    <xf numFmtId="165" fontId="13" fillId="7" borderId="0" xfId="1" applyNumberFormat="1" applyFill="1" applyAlignment="1">
      <alignment horizontal="center"/>
    </xf>
    <xf numFmtId="165" fontId="18" fillId="7" borderId="1" xfId="1" applyNumberFormat="1" applyFont="1" applyFill="1" applyBorder="1"/>
    <xf numFmtId="165" fontId="24" fillId="7" borderId="0" xfId="1" applyNumberFormat="1" applyFont="1" applyFill="1"/>
    <xf numFmtId="165" fontId="23" fillId="7" borderId="0" xfId="1" applyNumberFormat="1" applyFont="1" applyFill="1"/>
    <xf numFmtId="165" fontId="0" fillId="10" borderId="1" xfId="1" applyNumberFormat="1" applyFont="1" applyFill="1" applyBorder="1"/>
    <xf numFmtId="165" fontId="0" fillId="0" borderId="0" xfId="1" applyNumberFormat="1" applyFont="1"/>
    <xf numFmtId="165" fontId="13" fillId="0" borderId="0" xfId="1" applyNumberFormat="1" applyAlignment="1">
      <alignment horizontal="right" vertical="center"/>
    </xf>
    <xf numFmtId="164" fontId="17" fillId="0" borderId="0" xfId="15" applyNumberFormat="1" applyFont="1"/>
    <xf numFmtId="6" fontId="17" fillId="0" borderId="2" xfId="12" applyNumberFormat="1" applyFont="1" applyBorder="1" applyAlignment="1">
      <alignment horizontal="right"/>
    </xf>
    <xf numFmtId="6" fontId="17" fillId="0" borderId="0" xfId="15" applyNumberFormat="1" applyFont="1"/>
    <xf numFmtId="6" fontId="17" fillId="0" borderId="0" xfId="12" applyNumberFormat="1" applyFont="1"/>
    <xf numFmtId="6" fontId="13" fillId="0" borderId="0" xfId="12" applyNumberFormat="1"/>
    <xf numFmtId="0" fontId="55" fillId="0" borderId="19" xfId="0" applyFont="1" applyBorder="1" applyAlignment="1">
      <alignment horizontal="center"/>
    </xf>
    <xf numFmtId="0" fontId="15" fillId="0" borderId="19" xfId="0" applyFont="1" applyBorder="1" applyAlignment="1">
      <alignment horizontal="center"/>
    </xf>
    <xf numFmtId="0" fontId="12" fillId="0" borderId="0" xfId="28"/>
    <xf numFmtId="0" fontId="58" fillId="0" borderId="0" xfId="28" applyFont="1"/>
    <xf numFmtId="0" fontId="53" fillId="0" borderId="0" xfId="26" applyFont="1" applyFill="1" applyAlignment="1">
      <alignment horizontal="center"/>
    </xf>
    <xf numFmtId="0" fontId="58" fillId="0" borderId="0" xfId="28" applyFont="1" applyAlignment="1">
      <alignment horizontal="center"/>
    </xf>
    <xf numFmtId="0" fontId="12" fillId="0" borderId="0" xfId="28" applyAlignment="1">
      <alignment horizontal="center"/>
    </xf>
    <xf numFmtId="0" fontId="59" fillId="0" borderId="0" xfId="28" applyFont="1" applyAlignment="1">
      <alignment horizontal="right"/>
    </xf>
    <xf numFmtId="14" fontId="58" fillId="0" borderId="0" xfId="28" applyNumberFormat="1" applyFont="1"/>
    <xf numFmtId="0" fontId="59" fillId="0" borderId="0" xfId="28" applyFont="1"/>
    <xf numFmtId="0" fontId="60" fillId="0" borderId="0" xfId="28" applyFont="1" applyAlignment="1">
      <alignment horizontal="right"/>
    </xf>
    <xf numFmtId="0" fontId="60" fillId="0" borderId="0" xfId="28" applyFont="1" applyAlignment="1">
      <alignment horizontal="left"/>
    </xf>
    <xf numFmtId="0" fontId="57" fillId="0" borderId="0" xfId="28" applyFont="1"/>
    <xf numFmtId="0" fontId="57" fillId="0" borderId="0" xfId="28" applyFont="1" applyAlignment="1">
      <alignment horizontal="center"/>
    </xf>
    <xf numFmtId="0" fontId="57" fillId="0" borderId="19" xfId="28" applyFont="1" applyBorder="1" applyAlignment="1">
      <alignment horizontal="center"/>
    </xf>
    <xf numFmtId="0" fontId="57" fillId="0" borderId="19" xfId="28" applyFont="1" applyBorder="1"/>
    <xf numFmtId="6" fontId="12" fillId="0" borderId="11" xfId="28" applyNumberFormat="1" applyBorder="1"/>
    <xf numFmtId="0" fontId="12" fillId="4" borderId="11" xfId="28" applyFill="1" applyBorder="1"/>
    <xf numFmtId="0" fontId="12" fillId="10" borderId="11" xfId="28" applyFill="1" applyBorder="1" applyAlignment="1">
      <alignment horizontal="center"/>
    </xf>
    <xf numFmtId="6" fontId="12" fillId="4" borderId="11" xfId="28" applyNumberFormat="1" applyFill="1" applyBorder="1"/>
    <xf numFmtId="0" fontId="12" fillId="0" borderId="11" xfId="28" applyBorder="1"/>
    <xf numFmtId="0" fontId="61" fillId="0" borderId="0" xfId="28" applyFont="1"/>
    <xf numFmtId="0" fontId="61" fillId="0" borderId="0" xfId="28" applyFont="1" applyAlignment="1">
      <alignment horizontal="center"/>
    </xf>
    <xf numFmtId="6" fontId="61" fillId="0" borderId="0" xfId="28" applyNumberFormat="1" applyFont="1"/>
    <xf numFmtId="0" fontId="53" fillId="0" borderId="0" xfId="26" applyFont="1" applyFill="1"/>
    <xf numFmtId="0" fontId="38" fillId="0" borderId="0" xfId="26" applyFont="1" applyFill="1"/>
    <xf numFmtId="0" fontId="62" fillId="0" borderId="0" xfId="28" applyFont="1"/>
    <xf numFmtId="0" fontId="28" fillId="0" borderId="0" xfId="28" applyFont="1"/>
    <xf numFmtId="0" fontId="52" fillId="0" borderId="0" xfId="28" applyFont="1" applyAlignment="1">
      <alignment horizontal="center"/>
    </xf>
    <xf numFmtId="6" fontId="28" fillId="0" borderId="0" xfId="28" applyNumberFormat="1" applyFont="1" applyAlignment="1">
      <alignment horizontal="right"/>
    </xf>
    <xf numFmtId="6" fontId="28" fillId="0" borderId="0" xfId="26" applyNumberFormat="1" applyFont="1" applyFill="1" applyAlignment="1">
      <alignment horizontal="right"/>
    </xf>
    <xf numFmtId="6" fontId="28" fillId="4" borderId="21" xfId="26" applyNumberFormat="1" applyFont="1" applyFill="1" applyBorder="1" applyAlignment="1">
      <alignment horizontal="right"/>
    </xf>
    <xf numFmtId="0" fontId="63" fillId="0" borderId="0" xfId="28" applyFont="1"/>
    <xf numFmtId="6" fontId="28" fillId="4" borderId="22" xfId="26" applyNumberFormat="1" applyFont="1" applyFill="1" applyBorder="1" applyAlignment="1">
      <alignment horizontal="right"/>
    </xf>
    <xf numFmtId="164" fontId="63" fillId="0" borderId="0" xfId="28" applyNumberFormat="1" applyFont="1"/>
    <xf numFmtId="0" fontId="15" fillId="0" borderId="0" xfId="28" applyFont="1" applyAlignment="1">
      <alignment horizontal="left" indent="1"/>
    </xf>
    <xf numFmtId="6" fontId="63" fillId="0" borderId="0" xfId="28" applyNumberFormat="1" applyFont="1"/>
    <xf numFmtId="0" fontId="64" fillId="0" borderId="0" xfId="28" applyFont="1" applyAlignment="1">
      <alignment horizontal="right" indent="1"/>
    </xf>
    <xf numFmtId="0" fontId="38" fillId="0" borderId="0" xfId="26" applyFont="1" applyFill="1" applyAlignment="1">
      <alignment horizontal="right"/>
    </xf>
    <xf numFmtId="0" fontId="15" fillId="0" borderId="0" xfId="28" applyFont="1" applyAlignment="1">
      <alignment horizontal="left"/>
    </xf>
    <xf numFmtId="0" fontId="28" fillId="0" borderId="0" xfId="26" applyFont="1" applyFill="1"/>
    <xf numFmtId="6" fontId="28" fillId="4" borderId="0" xfId="26" applyNumberFormat="1" applyFont="1" applyFill="1" applyAlignment="1">
      <alignment horizontal="right"/>
    </xf>
    <xf numFmtId="0" fontId="65" fillId="0" borderId="0" xfId="28" applyFont="1"/>
    <xf numFmtId="0" fontId="28" fillId="0" borderId="0" xfId="28" applyFont="1" applyAlignment="1">
      <alignment horizontal="center"/>
    </xf>
    <xf numFmtId="0" fontId="57" fillId="0" borderId="19" xfId="28" applyFont="1" applyBorder="1" applyAlignment="1">
      <alignment wrapText="1"/>
    </xf>
    <xf numFmtId="6" fontId="12" fillId="0" borderId="23" xfId="28" applyNumberFormat="1" applyBorder="1"/>
    <xf numFmtId="6" fontId="12" fillId="4" borderId="23" xfId="28" applyNumberFormat="1" applyFill="1" applyBorder="1"/>
    <xf numFmtId="6" fontId="28" fillId="0" borderId="0" xfId="28" applyNumberFormat="1" applyFont="1"/>
    <xf numFmtId="6" fontId="12" fillId="0" borderId="21" xfId="28" applyNumberFormat="1" applyBorder="1"/>
    <xf numFmtId="6" fontId="12" fillId="4" borderId="21" xfId="28" applyNumberFormat="1" applyFill="1" applyBorder="1"/>
    <xf numFmtId="0" fontId="12" fillId="0" borderId="21" xfId="28" applyBorder="1" applyAlignment="1">
      <alignment horizontal="left" indent="1"/>
    </xf>
    <xf numFmtId="6" fontId="12" fillId="0" borderId="0" xfId="28" applyNumberFormat="1"/>
    <xf numFmtId="6" fontId="12" fillId="0" borderId="22" xfId="28" applyNumberFormat="1" applyBorder="1"/>
    <xf numFmtId="6" fontId="12" fillId="4" borderId="22" xfId="28" applyNumberFormat="1" applyFill="1" applyBorder="1"/>
    <xf numFmtId="0" fontId="15" fillId="0" borderId="21" xfId="28" applyFont="1" applyBorder="1" applyAlignment="1">
      <alignment horizontal="left"/>
    </xf>
    <xf numFmtId="6" fontId="66" fillId="0" borderId="0" xfId="28" applyNumberFormat="1" applyFont="1"/>
    <xf numFmtId="0" fontId="63" fillId="0" borderId="0" xfId="28" applyFont="1" applyAlignment="1">
      <alignment horizontal="right" indent="1"/>
    </xf>
    <xf numFmtId="164" fontId="66" fillId="0" borderId="0" xfId="28" applyNumberFormat="1" applyFont="1"/>
    <xf numFmtId="164" fontId="12" fillId="0" borderId="0" xfId="28" applyNumberFormat="1"/>
    <xf numFmtId="0" fontId="67" fillId="0" borderId="0" xfId="28" applyFont="1" applyAlignment="1">
      <alignment horizontal="right" indent="1"/>
    </xf>
    <xf numFmtId="9" fontId="67" fillId="0" borderId="0" xfId="28" applyNumberFormat="1" applyFont="1"/>
    <xf numFmtId="164" fontId="62" fillId="0" borderId="0" xfId="28" applyNumberFormat="1" applyFont="1"/>
    <xf numFmtId="0" fontId="12" fillId="16" borderId="0" xfId="28" applyFill="1"/>
    <xf numFmtId="0" fontId="56" fillId="0" borderId="0" xfId="28" applyFont="1"/>
    <xf numFmtId="0" fontId="12" fillId="0" borderId="19" xfId="28" applyBorder="1"/>
    <xf numFmtId="0" fontId="12" fillId="16" borderId="0" xfId="28" applyFill="1" applyAlignment="1">
      <alignment horizontal="left" indent="1"/>
    </xf>
    <xf numFmtId="0" fontId="29" fillId="0" borderId="0" xfId="0" applyFont="1" applyAlignment="1">
      <alignment horizontal="center"/>
    </xf>
    <xf numFmtId="165" fontId="23" fillId="0" borderId="0" xfId="1" applyNumberFormat="1" applyFont="1" applyAlignment="1">
      <alignment horizontal="right"/>
    </xf>
    <xf numFmtId="0" fontId="13" fillId="5" borderId="0" xfId="0" applyFont="1" applyFill="1"/>
    <xf numFmtId="44" fontId="13" fillId="5" borderId="0" xfId="2" applyFill="1"/>
    <xf numFmtId="8" fontId="12" fillId="0" borderId="0" xfId="28" applyNumberFormat="1"/>
    <xf numFmtId="9" fontId="12" fillId="0" borderId="0" xfId="28" applyNumberFormat="1"/>
    <xf numFmtId="0" fontId="57" fillId="0" borderId="1" xfId="28" applyFont="1" applyBorder="1"/>
    <xf numFmtId="0" fontId="70" fillId="0" borderId="0" xfId="10" applyFont="1" applyAlignment="1">
      <alignment horizontal="center"/>
    </xf>
    <xf numFmtId="165" fontId="13" fillId="0" borderId="0" xfId="10" applyNumberFormat="1"/>
    <xf numFmtId="166" fontId="24" fillId="0" borderId="0" xfId="10" applyNumberFormat="1" applyFont="1" applyAlignment="1">
      <alignment horizontal="center"/>
    </xf>
    <xf numFmtId="0" fontId="23" fillId="0" borderId="0" xfId="10" applyFont="1" applyAlignment="1">
      <alignment horizontal="right"/>
    </xf>
    <xf numFmtId="2" fontId="23" fillId="0" borderId="0" xfId="10" applyNumberFormat="1" applyFont="1" applyAlignment="1">
      <alignment horizontal="right"/>
    </xf>
    <xf numFmtId="165" fontId="17" fillId="0" borderId="0" xfId="1" applyNumberFormat="1" applyFont="1"/>
    <xf numFmtId="166" fontId="0" fillId="0" borderId="0" xfId="2" applyNumberFormat="1" applyFont="1"/>
    <xf numFmtId="0" fontId="15" fillId="0" borderId="7" xfId="0" applyFont="1" applyBorder="1" applyAlignment="1">
      <alignment horizontal="center"/>
    </xf>
    <xf numFmtId="167" fontId="0" fillId="0" borderId="20" xfId="4" applyNumberFormat="1" applyFont="1" applyBorder="1"/>
    <xf numFmtId="44" fontId="0" fillId="0" borderId="20" xfId="2" applyFont="1" applyBorder="1"/>
    <xf numFmtId="167" fontId="0" fillId="0" borderId="11" xfId="4" applyNumberFormat="1" applyFont="1" applyBorder="1"/>
    <xf numFmtId="44" fontId="0" fillId="0" borderId="11" xfId="2" applyFont="1" applyBorder="1"/>
    <xf numFmtId="9" fontId="0" fillId="0" borderId="2" xfId="0" applyNumberFormat="1" applyBorder="1"/>
    <xf numFmtId="168" fontId="0" fillId="0" borderId="13" xfId="0" applyNumberFormat="1" applyBorder="1"/>
    <xf numFmtId="44" fontId="0" fillId="0" borderId="1" xfId="2" applyFont="1" applyBorder="1"/>
    <xf numFmtId="44" fontId="0" fillId="0" borderId="7" xfId="0" applyNumberFormat="1" applyBorder="1"/>
    <xf numFmtId="174" fontId="0" fillId="0" borderId="20" xfId="0" applyNumberFormat="1" applyBorder="1"/>
    <xf numFmtId="0" fontId="0" fillId="0" borderId="1" xfId="0" applyBorder="1" applyAlignment="1">
      <alignment horizontal="right"/>
    </xf>
    <xf numFmtId="0" fontId="0" fillId="0" borderId="11" xfId="0" applyBorder="1"/>
    <xf numFmtId="0" fontId="15" fillId="0" borderId="12" xfId="0" applyFont="1" applyBorder="1" applyAlignment="1">
      <alignment horizontal="right"/>
    </xf>
    <xf numFmtId="165" fontId="13" fillId="0" borderId="20" xfId="1" applyNumberFormat="1" applyBorder="1"/>
    <xf numFmtId="166" fontId="72" fillId="0" borderId="7" xfId="0" applyNumberFormat="1" applyFont="1" applyBorder="1"/>
    <xf numFmtId="166" fontId="0" fillId="0" borderId="0" xfId="0" applyNumberFormat="1"/>
    <xf numFmtId="44" fontId="0" fillId="0" borderId="0" xfId="2" applyFont="1"/>
    <xf numFmtId="44" fontId="15" fillId="0" borderId="0" xfId="2" applyFont="1"/>
    <xf numFmtId="9" fontId="0" fillId="0" borderId="0" xfId="0" applyNumberFormat="1"/>
    <xf numFmtId="44" fontId="0" fillId="0" borderId="0" xfId="0" applyNumberFormat="1"/>
    <xf numFmtId="166" fontId="20" fillId="0" borderId="0" xfId="2" applyNumberFormat="1" applyFont="1"/>
    <xf numFmtId="0" fontId="15" fillId="0" borderId="0" xfId="0" applyFont="1" applyAlignment="1">
      <alignment horizontal="right"/>
    </xf>
    <xf numFmtId="174" fontId="0" fillId="0" borderId="0" xfId="0" applyNumberFormat="1"/>
    <xf numFmtId="166" fontId="72" fillId="0" borderId="0" xfId="0" applyNumberFormat="1" applyFont="1"/>
    <xf numFmtId="0" fontId="15" fillId="0" borderId="1" xfId="0" applyFont="1" applyBorder="1" applyAlignment="1">
      <alignment horizontal="right"/>
    </xf>
    <xf numFmtId="9" fontId="13" fillId="0" borderId="1" xfId="4" applyBorder="1" applyAlignment="1">
      <alignment horizontal="center"/>
    </xf>
    <xf numFmtId="0" fontId="20" fillId="17" borderId="0" xfId="10" applyFont="1" applyFill="1" applyAlignment="1">
      <alignment horizontal="center"/>
    </xf>
    <xf numFmtId="8" fontId="0" fillId="0" borderId="0" xfId="0" applyNumberFormat="1"/>
    <xf numFmtId="166" fontId="17" fillId="0" borderId="1" xfId="2" applyNumberFormat="1" applyFont="1" applyBorder="1"/>
    <xf numFmtId="166" fontId="17" fillId="0" borderId="0" xfId="2" applyNumberFormat="1" applyFont="1"/>
    <xf numFmtId="10" fontId="17" fillId="0" borderId="0" xfId="4" applyNumberFormat="1" applyFont="1"/>
    <xf numFmtId="0" fontId="20" fillId="18" borderId="0" xfId="0" applyFont="1" applyFill="1"/>
    <xf numFmtId="0" fontId="29" fillId="0" borderId="3" xfId="0" applyFont="1" applyBorder="1" applyAlignment="1">
      <alignment horizontal="center"/>
    </xf>
    <xf numFmtId="0" fontId="12" fillId="0" borderId="17" xfId="28" applyBorder="1"/>
    <xf numFmtId="0" fontId="12" fillId="0" borderId="4" xfId="28" applyBorder="1"/>
    <xf numFmtId="166" fontId="17" fillId="0" borderId="20" xfId="2" applyNumberFormat="1" applyFont="1" applyBorder="1"/>
    <xf numFmtId="166" fontId="0" fillId="0" borderId="0" xfId="2" applyNumberFormat="1" applyFont="1" applyBorder="1"/>
    <xf numFmtId="0" fontId="0" fillId="0" borderId="20" xfId="0" applyBorder="1"/>
    <xf numFmtId="167" fontId="15" fillId="0" borderId="0" xfId="4" applyNumberFormat="1" applyFont="1" applyBorder="1"/>
    <xf numFmtId="10" fontId="0" fillId="0" borderId="20" xfId="4" applyNumberFormat="1" applyFont="1" applyBorder="1"/>
    <xf numFmtId="10" fontId="0" fillId="0" borderId="2" xfId="4" applyNumberFormat="1" applyFont="1" applyBorder="1"/>
    <xf numFmtId="166" fontId="17" fillId="0" borderId="2" xfId="2" applyNumberFormat="1" applyFont="1" applyBorder="1"/>
    <xf numFmtId="166" fontId="17" fillId="0" borderId="2" xfId="2" applyNumberFormat="1" applyFont="1" applyBorder="1" applyAlignment="1">
      <alignment horizontal="right"/>
    </xf>
    <xf numFmtId="166" fontId="17" fillId="0" borderId="7" xfId="0" applyNumberFormat="1" applyFont="1" applyBorder="1"/>
    <xf numFmtId="165" fontId="13" fillId="0" borderId="0" xfId="1" applyNumberFormat="1" applyFill="1"/>
    <xf numFmtId="164" fontId="17" fillId="0" borderId="2" xfId="12" applyNumberFormat="1" applyFont="1" applyFill="1" applyBorder="1" applyAlignment="1">
      <alignment horizontal="right"/>
    </xf>
    <xf numFmtId="164" fontId="17" fillId="0" borderId="7" xfId="12" applyNumberFormat="1" applyFont="1" applyFill="1" applyBorder="1" applyAlignment="1">
      <alignment horizontal="right"/>
    </xf>
    <xf numFmtId="0" fontId="68" fillId="0" borderId="0" xfId="0" applyFont="1" applyAlignment="1">
      <alignment horizontal="right"/>
    </xf>
    <xf numFmtId="0" fontId="68" fillId="0" borderId="0" xfId="0" applyFont="1"/>
    <xf numFmtId="9" fontId="13" fillId="0" borderId="0" xfId="4" applyFill="1"/>
    <xf numFmtId="164" fontId="18" fillId="0" borderId="0" xfId="4" applyNumberFormat="1" applyFont="1" applyFill="1"/>
    <xf numFmtId="166" fontId="23" fillId="0" borderId="0" xfId="0" applyNumberFormat="1" applyFont="1" applyAlignment="1">
      <alignment horizontal="right"/>
    </xf>
    <xf numFmtId="166" fontId="15" fillId="0" borderId="0" xfId="0" applyNumberFormat="1" applyFont="1"/>
    <xf numFmtId="165" fontId="0" fillId="0" borderId="0" xfId="13" applyNumberFormat="1" applyFont="1" applyFill="1"/>
    <xf numFmtId="165" fontId="23" fillId="7" borderId="0" xfId="1" applyNumberFormat="1" applyFont="1" applyFill="1" applyAlignment="1">
      <alignment horizontal="right"/>
    </xf>
    <xf numFmtId="175" fontId="75" fillId="0" borderId="2" xfId="0" applyNumberFormat="1" applyFont="1" applyBorder="1" applyAlignment="1">
      <alignment horizontal="right"/>
    </xf>
    <xf numFmtId="175" fontId="75" fillId="0" borderId="0" xfId="1" applyNumberFormat="1" applyFont="1" applyFill="1"/>
    <xf numFmtId="0" fontId="18" fillId="0" borderId="0" xfId="0" applyFont="1" applyAlignment="1">
      <alignment horizontal="right"/>
    </xf>
    <xf numFmtId="9" fontId="16" fillId="0" borderId="0" xfId="4" applyFont="1"/>
    <xf numFmtId="44" fontId="16" fillId="0" borderId="0" xfId="2" applyFont="1"/>
    <xf numFmtId="0" fontId="17" fillId="0" borderId="11" xfId="10" applyFont="1" applyBorder="1" applyAlignment="1">
      <alignment horizontal="center"/>
    </xf>
    <xf numFmtId="0" fontId="17" fillId="0" borderId="13" xfId="10" applyFont="1" applyBorder="1" applyAlignment="1">
      <alignment horizontal="center"/>
    </xf>
    <xf numFmtId="10" fontId="17" fillId="0" borderId="11" xfId="4" applyNumberFormat="1" applyFont="1" applyBorder="1" applyAlignment="1">
      <alignment horizontal="center"/>
    </xf>
    <xf numFmtId="10" fontId="17" fillId="0" borderId="11" xfId="12" applyNumberFormat="1" applyFont="1" applyBorder="1" applyAlignment="1">
      <alignment horizontal="center"/>
    </xf>
    <xf numFmtId="9" fontId="17" fillId="0" borderId="11" xfId="4" applyFont="1" applyBorder="1" applyAlignment="1">
      <alignment horizontal="center"/>
    </xf>
    <xf numFmtId="9" fontId="23" fillId="0" borderId="0" xfId="4" applyFont="1" applyFill="1" applyAlignment="1">
      <alignment horizontal="right"/>
    </xf>
    <xf numFmtId="166" fontId="18" fillId="0" borderId="0" xfId="0" applyNumberFormat="1" applyFont="1" applyAlignment="1">
      <alignment horizontal="right"/>
    </xf>
    <xf numFmtId="164" fontId="18" fillId="0" borderId="0" xfId="4" applyNumberFormat="1" applyFont="1" applyAlignment="1">
      <alignment horizontal="right"/>
    </xf>
    <xf numFmtId="166" fontId="16" fillId="0" borderId="0" xfId="0" applyNumberFormat="1" applyFont="1" applyAlignment="1">
      <alignment horizontal="right"/>
    </xf>
    <xf numFmtId="0" fontId="16" fillId="0" borderId="0" xfId="0" applyFont="1" applyAlignment="1">
      <alignment horizontal="right"/>
    </xf>
    <xf numFmtId="164" fontId="18" fillId="0" borderId="0" xfId="0" applyNumberFormat="1" applyFont="1" applyAlignment="1">
      <alignment horizontal="right"/>
    </xf>
    <xf numFmtId="3" fontId="13" fillId="0" borderId="0" xfId="2" applyNumberFormat="1"/>
    <xf numFmtId="0" fontId="21" fillId="0" borderId="0" xfId="0" applyFont="1"/>
    <xf numFmtId="166" fontId="17" fillId="0" borderId="2" xfId="0" applyNumberFormat="1" applyFont="1" applyBorder="1"/>
    <xf numFmtId="165" fontId="17" fillId="0" borderId="2" xfId="1" applyNumberFormat="1" applyFont="1" applyBorder="1"/>
    <xf numFmtId="0" fontId="11" fillId="19" borderId="0" xfId="32" applyBorder="1"/>
    <xf numFmtId="0" fontId="57" fillId="19" borderId="0" xfId="32" applyFont="1" applyBorder="1" applyAlignment="1">
      <alignment vertical="center"/>
    </xf>
    <xf numFmtId="0" fontId="11" fillId="19" borderId="2" xfId="32" applyBorder="1"/>
    <xf numFmtId="0" fontId="15" fillId="0" borderId="0" xfId="0" applyFont="1" applyAlignment="1">
      <alignment horizontal="left"/>
    </xf>
    <xf numFmtId="166" fontId="15" fillId="0" borderId="7" xfId="0" applyNumberFormat="1" applyFont="1" applyBorder="1"/>
    <xf numFmtId="0" fontId="0" fillId="0" borderId="0" xfId="0" applyAlignment="1">
      <alignment horizontal="center"/>
    </xf>
    <xf numFmtId="0" fontId="0" fillId="0" borderId="2" xfId="0" applyBorder="1" applyAlignment="1">
      <alignment horizontal="center"/>
    </xf>
    <xf numFmtId="6" fontId="0" fillId="0" borderId="0" xfId="0" applyNumberFormat="1"/>
    <xf numFmtId="0" fontId="53" fillId="0" borderId="0" xfId="33" applyFont="1" applyFill="1" applyAlignment="1">
      <alignment horizontal="center"/>
    </xf>
    <xf numFmtId="44" fontId="13" fillId="0" borderId="0" xfId="2" applyFill="1"/>
    <xf numFmtId="0" fontId="76" fillId="0" borderId="12" xfId="0" applyFont="1" applyBorder="1"/>
    <xf numFmtId="0" fontId="29" fillId="0" borderId="0" xfId="0" applyFont="1"/>
    <xf numFmtId="8" fontId="17" fillId="0" borderId="0" xfId="0" applyNumberFormat="1" applyFont="1"/>
    <xf numFmtId="0" fontId="18" fillId="21" borderId="0" xfId="0" applyFont="1" applyFill="1"/>
    <xf numFmtId="0" fontId="13" fillId="21" borderId="0" xfId="0" applyFont="1" applyFill="1"/>
    <xf numFmtId="0" fontId="20" fillId="21" borderId="0" xfId="0" applyFont="1" applyFill="1"/>
    <xf numFmtId="10" fontId="75" fillId="0" borderId="0" xfId="1" applyNumberFormat="1" applyFont="1" applyFill="1"/>
    <xf numFmtId="0" fontId="25" fillId="7" borderId="0" xfId="2" applyNumberFormat="1" applyFont="1" applyFill="1" applyAlignment="1">
      <alignment horizontal="center"/>
    </xf>
    <xf numFmtId="0" fontId="29" fillId="7" borderId="0" xfId="0" applyFont="1" applyFill="1" applyAlignment="1">
      <alignment horizontal="center"/>
    </xf>
    <xf numFmtId="165" fontId="75" fillId="0" borderId="0" xfId="1" applyNumberFormat="1" applyFont="1" applyFill="1" applyAlignment="1">
      <alignment horizontal="right"/>
    </xf>
    <xf numFmtId="0" fontId="77" fillId="0" borderId="0" xfId="0" applyFont="1" applyAlignment="1">
      <alignment horizontal="right"/>
    </xf>
    <xf numFmtId="10" fontId="13" fillId="0" borderId="0" xfId="2" applyNumberFormat="1"/>
    <xf numFmtId="10" fontId="18" fillId="0" borderId="0" xfId="0" applyNumberFormat="1" applyFont="1" applyAlignment="1">
      <alignment horizontal="center"/>
    </xf>
    <xf numFmtId="0" fontId="26" fillId="0" borderId="2" xfId="0" applyFont="1" applyBorder="1" applyAlignment="1">
      <alignment horizontal="right"/>
    </xf>
    <xf numFmtId="1" fontId="13" fillId="0" borderId="2" xfId="12" applyNumberFormat="1" applyFill="1" applyBorder="1" applyAlignment="1">
      <alignment horizontal="right"/>
    </xf>
    <xf numFmtId="165" fontId="71" fillId="0" borderId="0" xfId="1" applyNumberFormat="1" applyFont="1" applyFill="1"/>
    <xf numFmtId="165" fontId="23" fillId="0" borderId="0" xfId="1" applyNumberFormat="1" applyFont="1" applyFill="1"/>
    <xf numFmtId="165" fontId="13" fillId="0" borderId="2" xfId="1" applyNumberFormat="1" applyFill="1" applyBorder="1"/>
    <xf numFmtId="0" fontId="26" fillId="0" borderId="2" xfId="0" applyFont="1" applyBorder="1" applyAlignment="1">
      <alignment horizontal="center"/>
    </xf>
    <xf numFmtId="165" fontId="16" fillId="0" borderId="2" xfId="1" applyNumberFormat="1" applyFont="1" applyFill="1" applyBorder="1"/>
    <xf numFmtId="165" fontId="13" fillId="0" borderId="12" xfId="1" applyNumberFormat="1" applyFill="1" applyBorder="1"/>
    <xf numFmtId="165" fontId="13" fillId="0" borderId="13" xfId="1" applyNumberFormat="1" applyFill="1" applyBorder="1"/>
    <xf numFmtId="166" fontId="13" fillId="0" borderId="0" xfId="2" applyNumberFormat="1" applyFill="1"/>
    <xf numFmtId="9" fontId="23" fillId="0" borderId="0" xfId="4" applyFont="1" applyFill="1"/>
    <xf numFmtId="165" fontId="13" fillId="0" borderId="7" xfId="1" applyNumberFormat="1" applyFill="1" applyBorder="1"/>
    <xf numFmtId="0" fontId="17" fillId="0" borderId="0" xfId="0" applyFont="1" applyAlignment="1">
      <alignment horizontal="center"/>
    </xf>
    <xf numFmtId="8" fontId="17" fillId="0" borderId="0" xfId="0" applyNumberFormat="1" applyFont="1" applyAlignment="1">
      <alignment horizontal="center"/>
    </xf>
    <xf numFmtId="166" fontId="23" fillId="0" borderId="20" xfId="10" applyNumberFormat="1" applyFont="1" applyBorder="1"/>
    <xf numFmtId="0" fontId="78" fillId="0" borderId="0" xfId="0" applyFont="1" applyAlignment="1">
      <alignment horizontal="right"/>
    </xf>
    <xf numFmtId="0" fontId="21" fillId="0" borderId="0" xfId="10" applyFont="1"/>
    <xf numFmtId="177" fontId="21" fillId="0" borderId="0" xfId="10" applyNumberFormat="1" applyFont="1"/>
    <xf numFmtId="178" fontId="21" fillId="0" borderId="0" xfId="10" applyNumberFormat="1" applyFont="1"/>
    <xf numFmtId="9" fontId="21" fillId="0" borderId="0" xfId="4" applyFont="1"/>
    <xf numFmtId="0" fontId="13" fillId="0" borderId="0" xfId="10" applyAlignment="1">
      <alignment horizontal="right"/>
    </xf>
    <xf numFmtId="5" fontId="0" fillId="0" borderId="0" xfId="2" applyNumberFormat="1" applyFont="1" applyAlignment="1">
      <alignment horizontal="right"/>
    </xf>
    <xf numFmtId="178" fontId="0" fillId="0" borderId="0" xfId="2" applyNumberFormat="1" applyFont="1" applyAlignment="1">
      <alignment horizontal="right"/>
    </xf>
    <xf numFmtId="9" fontId="0" fillId="0" borderId="0" xfId="4" applyFont="1" applyAlignment="1">
      <alignment horizontal="right"/>
    </xf>
    <xf numFmtId="177" fontId="0" fillId="0" borderId="0" xfId="0" applyNumberFormat="1" applyAlignment="1">
      <alignment horizontal="right"/>
    </xf>
    <xf numFmtId="5" fontId="0" fillId="0" borderId="0" xfId="0" applyNumberFormat="1" applyAlignment="1">
      <alignment horizontal="right"/>
    </xf>
    <xf numFmtId="0" fontId="79" fillId="0" borderId="0" xfId="0" applyFont="1" applyAlignment="1">
      <alignment horizontal="right"/>
    </xf>
    <xf numFmtId="5" fontId="79" fillId="0" borderId="0" xfId="2" applyNumberFormat="1" applyFont="1" applyAlignment="1">
      <alignment horizontal="right"/>
    </xf>
    <xf numFmtId="5" fontId="79" fillId="0" borderId="0" xfId="0" applyNumberFormat="1" applyFont="1" applyAlignment="1">
      <alignment horizontal="right"/>
    </xf>
    <xf numFmtId="0" fontId="80" fillId="0" borderId="0" xfId="0" applyFont="1"/>
    <xf numFmtId="0" fontId="81" fillId="0" borderId="0" xfId="0" applyFont="1"/>
    <xf numFmtId="0" fontId="80" fillId="0" borderId="0" xfId="0" applyFont="1" applyAlignment="1">
      <alignment horizontal="left"/>
    </xf>
    <xf numFmtId="0" fontId="15" fillId="0" borderId="0" xfId="0" applyFont="1" applyAlignment="1">
      <alignment horizontal="center"/>
    </xf>
    <xf numFmtId="0" fontId="9" fillId="26" borderId="0" xfId="35"/>
    <xf numFmtId="164" fontId="9" fillId="26" borderId="0" xfId="35" applyNumberFormat="1" applyAlignment="1">
      <alignment horizontal="center"/>
    </xf>
    <xf numFmtId="0" fontId="13" fillId="0" borderId="0" xfId="2" applyNumberFormat="1"/>
    <xf numFmtId="10" fontId="17" fillId="0" borderId="0" xfId="0" applyNumberFormat="1" applyFont="1"/>
    <xf numFmtId="6" fontId="12" fillId="0" borderId="30" xfId="28" applyNumberFormat="1" applyBorder="1"/>
    <xf numFmtId="0" fontId="94" fillId="0" borderId="19" xfId="28" applyFont="1" applyBorder="1"/>
    <xf numFmtId="0" fontId="42" fillId="0" borderId="10" xfId="0" applyFont="1" applyBorder="1" applyAlignment="1">
      <alignment horizontal="left" indent="1"/>
    </xf>
    <xf numFmtId="190" fontId="33" fillId="0" borderId="19" xfId="0" applyNumberFormat="1" applyFont="1" applyBorder="1" applyAlignment="1">
      <alignment horizontal="right"/>
    </xf>
    <xf numFmtId="0" fontId="42" fillId="10" borderId="3" xfId="0" applyFont="1" applyFill="1" applyBorder="1" applyAlignment="1">
      <alignment horizontal="left" indent="1"/>
    </xf>
    <xf numFmtId="0" fontId="0" fillId="10" borderId="0" xfId="0" applyFill="1"/>
    <xf numFmtId="166" fontId="33" fillId="10" borderId="0" xfId="0" applyNumberFormat="1" applyFont="1" applyFill="1" applyAlignment="1">
      <alignment horizontal="left"/>
    </xf>
    <xf numFmtId="0" fontId="0" fillId="0" borderId="17" xfId="0" applyBorder="1"/>
    <xf numFmtId="0" fontId="7" fillId="22" borderId="0" xfId="36" applyFill="1"/>
    <xf numFmtId="0" fontId="7" fillId="22" borderId="0" xfId="36" applyFill="1" applyAlignment="1">
      <alignment horizontal="center"/>
    </xf>
    <xf numFmtId="0" fontId="82" fillId="25" borderId="0" xfId="36" applyFont="1" applyFill="1"/>
    <xf numFmtId="0" fontId="54" fillId="25" borderId="0" xfId="36" applyFont="1" applyFill="1"/>
    <xf numFmtId="0" fontId="54" fillId="25" borderId="0" xfId="36" applyFont="1" applyFill="1" applyAlignment="1">
      <alignment horizontal="center"/>
    </xf>
    <xf numFmtId="180" fontId="54" fillId="25" borderId="0" xfId="36" applyNumberFormat="1" applyFont="1" applyFill="1" applyAlignment="1">
      <alignment horizontal="right"/>
    </xf>
    <xf numFmtId="0" fontId="83" fillId="11" borderId="0" xfId="36" applyFont="1" applyFill="1"/>
    <xf numFmtId="0" fontId="54" fillId="11" borderId="0" xfId="36" applyFont="1" applyFill="1"/>
    <xf numFmtId="0" fontId="54" fillId="11" borderId="0" xfId="36" applyFont="1" applyFill="1" applyAlignment="1">
      <alignment horizontal="center"/>
    </xf>
    <xf numFmtId="0" fontId="92" fillId="23" borderId="0" xfId="36" applyFont="1" applyFill="1" applyAlignment="1">
      <alignment horizontal="right"/>
    </xf>
    <xf numFmtId="189" fontId="7" fillId="11" borderId="0" xfId="36" applyNumberFormat="1" applyFill="1" applyAlignment="1" applyProtection="1">
      <alignment horizontal="center"/>
      <protection locked="0"/>
    </xf>
    <xf numFmtId="189" fontId="7" fillId="11" borderId="0" xfId="36" applyNumberFormat="1" applyFill="1" applyAlignment="1" applyProtection="1">
      <alignment horizontal="right"/>
      <protection locked="0"/>
    </xf>
    <xf numFmtId="0" fontId="92" fillId="23" borderId="0" xfId="37" applyNumberFormat="1" applyFont="1" applyFill="1" applyAlignment="1">
      <alignment horizontal="center" vertical="center"/>
    </xf>
    <xf numFmtId="44" fontId="15" fillId="11" borderId="0" xfId="38" applyFont="1" applyFill="1" applyAlignment="1">
      <alignment horizontal="right"/>
    </xf>
    <xf numFmtId="0" fontId="28" fillId="0" borderId="0" xfId="36" applyFont="1" applyAlignment="1">
      <alignment horizontal="right"/>
    </xf>
    <xf numFmtId="0" fontId="84" fillId="23" borderId="0" xfId="36" applyFont="1" applyFill="1" applyAlignment="1">
      <alignment horizontal="right"/>
    </xf>
    <xf numFmtId="0" fontId="57" fillId="11" borderId="0" xfId="36" applyFont="1" applyFill="1" applyAlignment="1">
      <alignment horizontal="center"/>
    </xf>
    <xf numFmtId="0" fontId="7" fillId="0" borderId="0" xfId="36" applyAlignment="1">
      <alignment horizontal="center"/>
    </xf>
    <xf numFmtId="9" fontId="28" fillId="11" borderId="0" xfId="36" applyNumberFormat="1" applyFont="1" applyFill="1" applyAlignment="1">
      <alignment horizontal="left"/>
    </xf>
    <xf numFmtId="0" fontId="7" fillId="11" borderId="0" xfId="36" applyFill="1"/>
    <xf numFmtId="0" fontId="7" fillId="11" borderId="0" xfId="36" applyFill="1" applyAlignment="1">
      <alignment horizontal="right"/>
    </xf>
    <xf numFmtId="0" fontId="7" fillId="11" borderId="0" xfId="36" applyFill="1" applyAlignment="1">
      <alignment horizontal="center"/>
    </xf>
    <xf numFmtId="0" fontId="86" fillId="11" borderId="0" xfId="36" applyFont="1" applyFill="1"/>
    <xf numFmtId="0" fontId="57" fillId="11" borderId="0" xfId="36" applyFont="1" applyFill="1" applyAlignment="1">
      <alignment horizontal="right"/>
    </xf>
    <xf numFmtId="10" fontId="28" fillId="11" borderId="0" xfId="36" applyNumberFormat="1" applyFont="1" applyFill="1" applyAlignment="1">
      <alignment horizontal="center"/>
    </xf>
    <xf numFmtId="164" fontId="92" fillId="23" borderId="0" xfId="36" applyNumberFormat="1" applyFont="1" applyFill="1" applyAlignment="1" applyProtection="1">
      <alignment horizontal="right"/>
      <protection locked="0"/>
    </xf>
    <xf numFmtId="3" fontId="28" fillId="11" borderId="0" xfId="36" applyNumberFormat="1" applyFont="1" applyFill="1" applyAlignment="1">
      <alignment horizontal="right"/>
    </xf>
    <xf numFmtId="0" fontId="7" fillId="11" borderId="0" xfId="36" applyFill="1" applyAlignment="1">
      <alignment horizontal="left"/>
    </xf>
    <xf numFmtId="0" fontId="87" fillId="11" borderId="14" xfId="36" applyFont="1" applyFill="1" applyBorder="1" applyAlignment="1">
      <alignment horizontal="right" vertical="center"/>
    </xf>
    <xf numFmtId="0" fontId="88" fillId="11" borderId="16" xfId="36" applyFont="1" applyFill="1" applyBorder="1" applyAlignment="1">
      <alignment horizontal="left" vertical="center"/>
    </xf>
    <xf numFmtId="164" fontId="7" fillId="11" borderId="0" xfId="36" applyNumberFormat="1" applyFill="1" applyAlignment="1">
      <alignment horizontal="right"/>
    </xf>
    <xf numFmtId="3" fontId="85" fillId="11" borderId="0" xfId="36" applyNumberFormat="1" applyFont="1" applyFill="1" applyAlignment="1">
      <alignment horizontal="right"/>
    </xf>
    <xf numFmtId="9" fontId="84" fillId="11" borderId="0" xfId="36" applyNumberFormat="1" applyFont="1" applyFill="1" applyAlignment="1">
      <alignment horizontal="center"/>
    </xf>
    <xf numFmtId="0" fontId="87" fillId="11" borderId="3" xfId="36" applyFont="1" applyFill="1" applyBorder="1" applyAlignment="1">
      <alignment horizontal="right" vertical="center"/>
    </xf>
    <xf numFmtId="181" fontId="87" fillId="11" borderId="17" xfId="36" applyNumberFormat="1" applyFont="1" applyFill="1" applyBorder="1" applyAlignment="1">
      <alignment horizontal="left" vertical="center"/>
    </xf>
    <xf numFmtId="165" fontId="7" fillId="11" borderId="0" xfId="36" applyNumberFormat="1" applyFill="1"/>
    <xf numFmtId="164" fontId="7" fillId="11" borderId="0" xfId="36" applyNumberFormat="1" applyFill="1" applyAlignment="1">
      <alignment horizontal="center"/>
    </xf>
    <xf numFmtId="0" fontId="87" fillId="11" borderId="10" xfId="36" applyFont="1" applyFill="1" applyBorder="1" applyAlignment="1">
      <alignment horizontal="right" vertical="center"/>
    </xf>
    <xf numFmtId="181" fontId="87" fillId="11" borderId="4" xfId="36" applyNumberFormat="1" applyFont="1" applyFill="1" applyBorder="1" applyAlignment="1">
      <alignment horizontal="left" vertical="center"/>
    </xf>
    <xf numFmtId="191" fontId="7" fillId="11" borderId="0" xfId="36" applyNumberFormat="1" applyFill="1" applyAlignment="1">
      <alignment horizontal="center"/>
    </xf>
    <xf numFmtId="6" fontId="28" fillId="11" borderId="0" xfId="36" applyNumberFormat="1" applyFont="1" applyFill="1" applyAlignment="1">
      <alignment horizontal="right"/>
    </xf>
    <xf numFmtId="0" fontId="7" fillId="11" borderId="26" xfId="36" applyFill="1" applyBorder="1" applyAlignment="1">
      <alignment horizontal="center"/>
    </xf>
    <xf numFmtId="0" fontId="86" fillId="11" borderId="1" xfId="36" applyFont="1" applyFill="1" applyBorder="1"/>
    <xf numFmtId="0" fontId="7" fillId="11" borderId="1" xfId="36" applyFill="1" applyBorder="1"/>
    <xf numFmtId="0" fontId="7" fillId="11" borderId="1" xfId="36" applyFill="1" applyBorder="1" applyAlignment="1">
      <alignment horizontal="right"/>
    </xf>
    <xf numFmtId="0" fontId="57" fillId="11" borderId="1" xfId="36" applyFont="1" applyFill="1" applyBorder="1" applyAlignment="1">
      <alignment horizontal="right"/>
    </xf>
    <xf numFmtId="0" fontId="57" fillId="11" borderId="1" xfId="36" applyFont="1" applyFill="1" applyBorder="1" applyAlignment="1">
      <alignment horizontal="left"/>
    </xf>
    <xf numFmtId="0" fontId="57" fillId="11" borderId="28" xfId="36" applyFont="1" applyFill="1" applyBorder="1" applyAlignment="1">
      <alignment horizontal="left"/>
    </xf>
    <xf numFmtId="0" fontId="7" fillId="11" borderId="1" xfId="36" applyFill="1" applyBorder="1" applyAlignment="1">
      <alignment horizontal="center"/>
    </xf>
    <xf numFmtId="0" fontId="89" fillId="11" borderId="0" xfId="36" applyFont="1" applyFill="1" applyAlignment="1">
      <alignment horizontal="center"/>
    </xf>
    <xf numFmtId="0" fontId="89" fillId="11" borderId="0" xfId="36" applyFont="1" applyFill="1" applyAlignment="1">
      <alignment horizontal="right"/>
    </xf>
    <xf numFmtId="182" fontId="28" fillId="11" borderId="0" xfId="36" applyNumberFormat="1" applyFont="1" applyFill="1" applyAlignment="1">
      <alignment horizontal="left"/>
    </xf>
    <xf numFmtId="164" fontId="90" fillId="11" borderId="0" xfId="36" applyNumberFormat="1" applyFont="1" applyFill="1" applyAlignment="1">
      <alignment horizontal="left"/>
    </xf>
    <xf numFmtId="164" fontId="90" fillId="11" borderId="25" xfId="36" applyNumberFormat="1" applyFont="1" applyFill="1" applyBorder="1" applyAlignment="1">
      <alignment horizontal="center"/>
    </xf>
    <xf numFmtId="164" fontId="92" fillId="23" borderId="0" xfId="36" applyNumberFormat="1" applyFont="1" applyFill="1" applyAlignment="1">
      <alignment horizontal="center"/>
    </xf>
    <xf numFmtId="3" fontId="7" fillId="11" borderId="0" xfId="36" applyNumberFormat="1" applyFill="1"/>
    <xf numFmtId="183" fontId="84" fillId="23" borderId="0" xfId="36" applyNumberFormat="1" applyFont="1" applyFill="1" applyAlignment="1">
      <alignment horizontal="right"/>
    </xf>
    <xf numFmtId="184" fontId="92" fillId="23" borderId="0" xfId="36" applyNumberFormat="1" applyFont="1" applyFill="1" applyAlignment="1" applyProtection="1">
      <alignment horizontal="right"/>
      <protection locked="0"/>
    </xf>
    <xf numFmtId="185" fontId="28" fillId="11" borderId="0" xfId="36" applyNumberFormat="1" applyFont="1" applyFill="1" applyAlignment="1">
      <alignment horizontal="left"/>
    </xf>
    <xf numFmtId="164" fontId="7" fillId="11" borderId="25" xfId="36" applyNumberFormat="1" applyFill="1" applyBorder="1" applyAlignment="1">
      <alignment horizontal="center"/>
    </xf>
    <xf numFmtId="164" fontId="28" fillId="11" borderId="0" xfId="36" applyNumberFormat="1" applyFont="1" applyFill="1" applyAlignment="1">
      <alignment horizontal="center"/>
    </xf>
    <xf numFmtId="191" fontId="7" fillId="11" borderId="0" xfId="36" applyNumberFormat="1" applyFill="1"/>
    <xf numFmtId="184" fontId="84" fillId="11" borderId="0" xfId="36" applyNumberFormat="1" applyFont="1" applyFill="1"/>
    <xf numFmtId="9" fontId="28" fillId="11" borderId="0" xfId="36" applyNumberFormat="1" applyFont="1" applyFill="1" applyAlignment="1">
      <alignment horizontal="center"/>
    </xf>
    <xf numFmtId="10" fontId="7" fillId="11" borderId="0" xfId="36" applyNumberFormat="1" applyFill="1" applyAlignment="1">
      <alignment horizontal="center"/>
    </xf>
    <xf numFmtId="184" fontId="84" fillId="11" borderId="1" xfId="36" applyNumberFormat="1" applyFont="1" applyFill="1" applyBorder="1"/>
    <xf numFmtId="185" fontId="28" fillId="11" borderId="1" xfId="36" applyNumberFormat="1" applyFont="1" applyFill="1" applyBorder="1" applyAlignment="1">
      <alignment horizontal="left"/>
    </xf>
    <xf numFmtId="172" fontId="7" fillId="11" borderId="1" xfId="36" applyNumberFormat="1" applyFill="1" applyBorder="1" applyAlignment="1">
      <alignment horizontal="right"/>
    </xf>
    <xf numFmtId="0" fontId="69" fillId="11" borderId="0" xfId="36" applyFont="1" applyFill="1" applyAlignment="1">
      <alignment horizontal="left"/>
    </xf>
    <xf numFmtId="9" fontId="84" fillId="11" borderId="0" xfId="36" applyNumberFormat="1" applyFont="1" applyFill="1" applyAlignment="1">
      <alignment horizontal="right"/>
    </xf>
    <xf numFmtId="9" fontId="28" fillId="11" borderId="0" xfId="36" applyNumberFormat="1" applyFont="1" applyFill="1" applyAlignment="1">
      <alignment horizontal="right"/>
    </xf>
    <xf numFmtId="10" fontId="7" fillId="11" borderId="0" xfId="36" applyNumberFormat="1" applyFill="1" applyAlignment="1">
      <alignment horizontal="right"/>
    </xf>
    <xf numFmtId="0" fontId="7" fillId="11" borderId="0" xfId="36" applyFill="1" applyAlignment="1">
      <alignment horizontal="left" indent="1"/>
    </xf>
    <xf numFmtId="165" fontId="92" fillId="24" borderId="0" xfId="37" applyNumberFormat="1" applyFont="1" applyFill="1" applyAlignment="1">
      <alignment horizontal="center"/>
    </xf>
    <xf numFmtId="10" fontId="92" fillId="24" borderId="0" xfId="39" applyNumberFormat="1" applyFont="1" applyFill="1" applyAlignment="1">
      <alignment horizontal="right"/>
    </xf>
    <xf numFmtId="2" fontId="92" fillId="24" borderId="0" xfId="36" applyNumberFormat="1" applyFont="1" applyFill="1" applyAlignment="1">
      <alignment horizontal="right"/>
    </xf>
    <xf numFmtId="0" fontId="60" fillId="11" borderId="0" xfId="36" applyFont="1" applyFill="1" applyAlignment="1">
      <alignment horizontal="left" indent="1"/>
    </xf>
    <xf numFmtId="0" fontId="60" fillId="11" borderId="0" xfId="36" applyFont="1" applyFill="1"/>
    <xf numFmtId="165" fontId="60" fillId="24" borderId="0" xfId="37" applyNumberFormat="1" applyFont="1" applyFill="1" applyAlignment="1">
      <alignment horizontal="center"/>
    </xf>
    <xf numFmtId="185" fontId="60" fillId="11" borderId="0" xfId="36" applyNumberFormat="1" applyFont="1" applyFill="1" applyAlignment="1">
      <alignment horizontal="left"/>
    </xf>
    <xf numFmtId="3" fontId="60" fillId="11" borderId="0" xfId="36" applyNumberFormat="1" applyFont="1" applyFill="1" applyAlignment="1">
      <alignment horizontal="right"/>
    </xf>
    <xf numFmtId="0" fontId="60" fillId="22" borderId="0" xfId="36" applyFont="1" applyFill="1"/>
    <xf numFmtId="0" fontId="56" fillId="11" borderId="0" xfId="36" applyFont="1" applyFill="1" applyAlignment="1">
      <alignment horizontal="left" indent="1"/>
    </xf>
    <xf numFmtId="0" fontId="56" fillId="11" borderId="0" xfId="36" applyFont="1" applyFill="1"/>
    <xf numFmtId="6" fontId="56" fillId="11" borderId="0" xfId="36" applyNumberFormat="1" applyFont="1" applyFill="1"/>
    <xf numFmtId="0" fontId="28" fillId="22" borderId="0" xfId="36" applyFont="1" applyFill="1"/>
    <xf numFmtId="187" fontId="7" fillId="23" borderId="0" xfId="36" applyNumberFormat="1" applyFill="1" applyAlignment="1" applyProtection="1">
      <alignment horizontal="right"/>
      <protection locked="0"/>
    </xf>
    <xf numFmtId="187" fontId="7" fillId="11" borderId="0" xfId="36" applyNumberFormat="1" applyFill="1" applyAlignment="1">
      <alignment horizontal="right"/>
    </xf>
    <xf numFmtId="0" fontId="28" fillId="11" borderId="0" xfId="36" applyFont="1" applyFill="1"/>
    <xf numFmtId="3" fontId="28" fillId="11" borderId="0" xfId="36" applyNumberFormat="1" applyFont="1" applyFill="1" applyAlignment="1" applyProtection="1">
      <alignment horizontal="right"/>
      <protection locked="0"/>
    </xf>
    <xf numFmtId="10" fontId="92" fillId="23" borderId="0" xfId="36" applyNumberFormat="1" applyFont="1" applyFill="1" applyAlignment="1">
      <alignment horizontal="right"/>
    </xf>
    <xf numFmtId="10" fontId="92" fillId="23" borderId="0" xfId="36" applyNumberFormat="1" applyFont="1" applyFill="1"/>
    <xf numFmtId="0" fontId="28" fillId="11" borderId="0" xfId="37" applyNumberFormat="1" applyFont="1" applyFill="1" applyAlignment="1"/>
    <xf numFmtId="0" fontId="95" fillId="11" borderId="0" xfId="36" applyFont="1" applyFill="1"/>
    <xf numFmtId="179" fontId="7" fillId="11" borderId="0" xfId="36" applyNumberFormat="1" applyFill="1" applyAlignment="1">
      <alignment horizontal="right"/>
    </xf>
    <xf numFmtId="3" fontId="56" fillId="11" borderId="0" xfId="36" applyNumberFormat="1" applyFont="1" applyFill="1" applyAlignment="1">
      <alignment horizontal="right"/>
    </xf>
    <xf numFmtId="0" fontId="59" fillId="11" borderId="1" xfId="36" applyFont="1" applyFill="1" applyBorder="1" applyAlignment="1">
      <alignment horizontal="right"/>
    </xf>
    <xf numFmtId="164" fontId="59" fillId="11" borderId="1" xfId="36" applyNumberFormat="1" applyFont="1" applyFill="1" applyBorder="1" applyAlignment="1">
      <alignment horizontal="left"/>
    </xf>
    <xf numFmtId="3" fontId="7" fillId="11" borderId="0" xfId="36" applyNumberFormat="1" applyFill="1" applyAlignment="1">
      <alignment horizontal="right"/>
    </xf>
    <xf numFmtId="3" fontId="38" fillId="11" borderId="0" xfId="36" applyNumberFormat="1" applyFont="1" applyFill="1" applyAlignment="1">
      <alignment horizontal="right"/>
    </xf>
    <xf numFmtId="4" fontId="7" fillId="11" borderId="0" xfId="36" applyNumberFormat="1" applyFill="1" applyAlignment="1">
      <alignment horizontal="left"/>
    </xf>
    <xf numFmtId="10" fontId="91" fillId="0" borderId="0" xfId="36" applyNumberFormat="1" applyFont="1" applyAlignment="1">
      <alignment horizontal="right"/>
    </xf>
    <xf numFmtId="188" fontId="7" fillId="11" borderId="0" xfId="36" applyNumberFormat="1" applyFill="1" applyAlignment="1">
      <alignment horizontal="left"/>
    </xf>
    <xf numFmtId="0" fontId="54" fillId="11" borderId="0" xfId="36" applyFont="1" applyFill="1" applyAlignment="1">
      <alignment horizontal="right"/>
    </xf>
    <xf numFmtId="8" fontId="17" fillId="3" borderId="0" xfId="0" applyNumberFormat="1" applyFont="1" applyFill="1"/>
    <xf numFmtId="0" fontId="96" fillId="0" borderId="0" xfId="0" applyFont="1"/>
    <xf numFmtId="6" fontId="96" fillId="0" borderId="0" xfId="0" applyNumberFormat="1" applyFont="1"/>
    <xf numFmtId="6" fontId="97" fillId="0" borderId="0" xfId="0" applyNumberFormat="1" applyFont="1"/>
    <xf numFmtId="6" fontId="96" fillId="0" borderId="0" xfId="0" applyNumberFormat="1" applyFont="1" applyAlignment="1">
      <alignment horizontal="right"/>
    </xf>
    <xf numFmtId="6" fontId="96" fillId="0" borderId="1" xfId="0" applyNumberFormat="1" applyFont="1" applyBorder="1" applyAlignment="1">
      <alignment horizontal="right"/>
    </xf>
    <xf numFmtId="0" fontId="96" fillId="0" borderId="0" xfId="0" applyFont="1" applyAlignment="1">
      <alignment horizontal="right"/>
    </xf>
    <xf numFmtId="0" fontId="96" fillId="21" borderId="0" xfId="0" applyFont="1" applyFill="1"/>
    <xf numFmtId="0" fontId="20" fillId="5" borderId="31" xfId="5" applyFont="1" applyFill="1" applyBorder="1" applyAlignment="1">
      <alignment horizontal="center"/>
    </xf>
    <xf numFmtId="44" fontId="100" fillId="13" borderId="0" xfId="25" applyNumberFormat="1" applyFont="1" applyAlignment="1">
      <alignment horizontal="center"/>
    </xf>
    <xf numFmtId="0" fontId="17" fillId="0" borderId="0" xfId="1" applyNumberFormat="1" applyFont="1" applyAlignment="1">
      <alignment horizontal="center"/>
    </xf>
    <xf numFmtId="0" fontId="101" fillId="0" borderId="32" xfId="0" applyFont="1" applyBorder="1"/>
    <xf numFmtId="0" fontId="102" fillId="0" borderId="33" xfId="0" applyFont="1" applyBorder="1" applyAlignment="1">
      <alignment horizontal="center"/>
    </xf>
    <xf numFmtId="0" fontId="102" fillId="0" borderId="34" xfId="0" applyFont="1" applyBorder="1" applyAlignment="1">
      <alignment horizontal="center"/>
    </xf>
    <xf numFmtId="0" fontId="101" fillId="0" borderId="0" xfId="0" applyFont="1" applyAlignment="1">
      <alignment horizontal="right"/>
    </xf>
    <xf numFmtId="10" fontId="102" fillId="0" borderId="0" xfId="0" applyNumberFormat="1" applyFont="1" applyAlignment="1">
      <alignment horizontal="center"/>
    </xf>
    <xf numFmtId="10" fontId="102" fillId="0" borderId="35" xfId="0" applyNumberFormat="1" applyFont="1" applyBorder="1" applyAlignment="1">
      <alignment horizontal="center"/>
    </xf>
    <xf numFmtId="176" fontId="102" fillId="0" borderId="0" xfId="0" applyNumberFormat="1" applyFont="1" applyAlignment="1">
      <alignment horizontal="center"/>
    </xf>
    <xf numFmtId="176" fontId="102" fillId="0" borderId="36" xfId="0" applyNumberFormat="1" applyFont="1" applyBorder="1" applyAlignment="1">
      <alignment horizontal="center"/>
    </xf>
    <xf numFmtId="6" fontId="102" fillId="0" borderId="0" xfId="0" applyNumberFormat="1" applyFont="1" applyAlignment="1">
      <alignment horizontal="center"/>
    </xf>
    <xf numFmtId="6" fontId="102" fillId="0" borderId="36" xfId="0" applyNumberFormat="1" applyFont="1" applyBorder="1" applyAlignment="1">
      <alignment horizontal="center"/>
    </xf>
    <xf numFmtId="165" fontId="102" fillId="0" borderId="0" xfId="0" applyNumberFormat="1" applyFont="1" applyAlignment="1">
      <alignment horizontal="center"/>
    </xf>
    <xf numFmtId="165" fontId="102" fillId="0" borderId="36" xfId="0" applyNumberFormat="1" applyFont="1" applyBorder="1" applyAlignment="1">
      <alignment horizontal="center"/>
    </xf>
    <xf numFmtId="0" fontId="53" fillId="25" borderId="0" xfId="40" applyFont="1" applyFill="1" applyAlignment="1">
      <alignment horizontal="center"/>
    </xf>
    <xf numFmtId="0" fontId="104" fillId="25" borderId="0" xfId="41" applyFont="1" applyFill="1" applyAlignment="1">
      <alignment horizontal="center"/>
    </xf>
    <xf numFmtId="0" fontId="5" fillId="25" borderId="0" xfId="40" applyFill="1"/>
    <xf numFmtId="0" fontId="5" fillId="0" borderId="0" xfId="40"/>
    <xf numFmtId="0" fontId="38" fillId="0" borderId="0" xfId="40" applyFont="1" applyAlignment="1">
      <alignment horizontal="left"/>
    </xf>
    <xf numFmtId="6" fontId="38" fillId="0" borderId="0" xfId="41" applyNumberFormat="1" applyFont="1" applyFill="1" applyAlignment="1">
      <alignment horizontal="right"/>
    </xf>
    <xf numFmtId="192" fontId="105" fillId="0" borderId="0" xfId="40" applyNumberFormat="1" applyFont="1" applyAlignment="1">
      <alignment horizontal="center"/>
    </xf>
    <xf numFmtId="6" fontId="57" fillId="0" borderId="0" xfId="40" applyNumberFormat="1" applyFont="1"/>
    <xf numFmtId="0" fontId="106" fillId="0" borderId="0" xfId="42" applyFont="1" applyAlignment="1">
      <alignment horizontal="center"/>
    </xf>
    <xf numFmtId="193" fontId="105" fillId="0" borderId="0" xfId="40" applyNumberFormat="1" applyFont="1" applyAlignment="1">
      <alignment horizontal="center"/>
    </xf>
    <xf numFmtId="194" fontId="105" fillId="0" borderId="0" xfId="40" applyNumberFormat="1" applyFont="1" applyAlignment="1">
      <alignment horizontal="center"/>
    </xf>
    <xf numFmtId="195" fontId="105" fillId="0" borderId="0" xfId="40" applyNumberFormat="1" applyFont="1" applyAlignment="1">
      <alignment horizontal="center"/>
    </xf>
    <xf numFmtId="6" fontId="106" fillId="0" borderId="0" xfId="42" applyNumberFormat="1" applyFont="1" applyAlignment="1">
      <alignment horizontal="center"/>
    </xf>
    <xf numFmtId="196" fontId="105" fillId="0" borderId="0" xfId="40" applyNumberFormat="1" applyFont="1" applyAlignment="1" applyProtection="1">
      <alignment horizontal="center"/>
      <protection locked="0"/>
    </xf>
    <xf numFmtId="0" fontId="5" fillId="0" borderId="0" xfId="40" applyAlignment="1">
      <alignment horizontal="left" indent="1"/>
    </xf>
    <xf numFmtId="9" fontId="106" fillId="0" borderId="0" xfId="42" applyNumberFormat="1" applyFont="1" applyAlignment="1">
      <alignment horizontal="center"/>
    </xf>
    <xf numFmtId="0" fontId="107" fillId="0" borderId="0" xfId="40" applyFont="1"/>
    <xf numFmtId="6" fontId="5" fillId="0" borderId="0" xfId="40" applyNumberFormat="1"/>
    <xf numFmtId="6" fontId="5" fillId="0" borderId="1" xfId="40" applyNumberFormat="1" applyBorder="1"/>
    <xf numFmtId="6" fontId="5" fillId="0" borderId="30" xfId="40" applyNumberFormat="1" applyBorder="1"/>
    <xf numFmtId="10" fontId="106" fillId="0" borderId="0" xfId="42" applyNumberFormat="1" applyFont="1" applyAlignment="1">
      <alignment horizontal="center"/>
    </xf>
    <xf numFmtId="8" fontId="57" fillId="0" borderId="0" xfId="40" applyNumberFormat="1" applyFont="1"/>
    <xf numFmtId="0" fontId="106" fillId="0" borderId="0" xfId="43" applyNumberFormat="1" applyFont="1" applyAlignment="1">
      <alignment horizontal="center"/>
    </xf>
    <xf numFmtId="8" fontId="5" fillId="0" borderId="0" xfId="40" applyNumberFormat="1" applyAlignment="1">
      <alignment horizontal="center"/>
    </xf>
    <xf numFmtId="6" fontId="28" fillId="0" borderId="0" xfId="42" applyNumberFormat="1" applyFont="1" applyAlignment="1">
      <alignment horizontal="center"/>
    </xf>
    <xf numFmtId="9" fontId="0" fillId="0" borderId="0" xfId="44" applyFont="1" applyAlignment="1">
      <alignment horizontal="center"/>
    </xf>
    <xf numFmtId="6" fontId="5" fillId="0" borderId="0" xfId="40" applyNumberFormat="1" applyAlignment="1">
      <alignment horizontal="center"/>
    </xf>
    <xf numFmtId="164" fontId="0" fillId="0" borderId="0" xfId="44" applyNumberFormat="1" applyFont="1" applyBorder="1" applyAlignment="1">
      <alignment horizontal="center"/>
    </xf>
    <xf numFmtId="0" fontId="57" fillId="0" borderId="0" xfId="40" applyFont="1"/>
    <xf numFmtId="0" fontId="53" fillId="0" borderId="0" xfId="26" applyFont="1" applyFill="1" applyAlignment="1"/>
    <xf numFmtId="6" fontId="108" fillId="0" borderId="0" xfId="0" applyNumberFormat="1" applyFont="1" applyAlignment="1">
      <alignment horizontal="center"/>
    </xf>
    <xf numFmtId="0" fontId="108" fillId="0" borderId="0" xfId="0" applyFont="1" applyAlignment="1">
      <alignment horizontal="center"/>
    </xf>
    <xf numFmtId="0" fontId="90" fillId="0" borderId="0" xfId="0" applyFont="1" applyAlignment="1">
      <alignment horizontal="center"/>
    </xf>
    <xf numFmtId="0" fontId="15" fillId="0" borderId="0" xfId="45" applyFont="1"/>
    <xf numFmtId="0" fontId="4" fillId="0" borderId="0" xfId="45"/>
    <xf numFmtId="0" fontId="80" fillId="0" borderId="0" xfId="45" applyFont="1"/>
    <xf numFmtId="0" fontId="16" fillId="0" borderId="0" xfId="45" applyFont="1" applyAlignment="1">
      <alignment horizontal="center"/>
    </xf>
    <xf numFmtId="0" fontId="20" fillId="5" borderId="0" xfId="46" applyFont="1" applyFill="1" applyAlignment="1">
      <alignment horizontal="left"/>
    </xf>
    <xf numFmtId="0" fontId="20" fillId="5" borderId="0" xfId="46" applyFont="1" applyFill="1" applyAlignment="1">
      <alignment horizontal="center"/>
    </xf>
    <xf numFmtId="0" fontId="4" fillId="0" borderId="0" xfId="45" applyAlignment="1">
      <alignment horizontal="center"/>
    </xf>
    <xf numFmtId="0" fontId="4" fillId="0" borderId="0" xfId="46" applyAlignment="1">
      <alignment horizontal="left" indent="1"/>
    </xf>
    <xf numFmtId="6" fontId="17" fillId="0" borderId="0" xfId="47" applyNumberFormat="1" applyFont="1" applyBorder="1" applyAlignment="1">
      <alignment horizontal="right"/>
    </xf>
    <xf numFmtId="6" fontId="4" fillId="0" borderId="0" xfId="45" applyNumberFormat="1" applyAlignment="1">
      <alignment horizontal="center"/>
    </xf>
    <xf numFmtId="0" fontId="4" fillId="0" borderId="0" xfId="45" applyAlignment="1">
      <alignment horizontal="right"/>
    </xf>
    <xf numFmtId="0" fontId="109" fillId="0" borderId="0" xfId="48" applyNumberFormat="1" applyFont="1" applyAlignment="1">
      <alignment horizontal="center"/>
    </xf>
    <xf numFmtId="0" fontId="80" fillId="0" borderId="0" xfId="45" applyFont="1" applyAlignment="1">
      <alignment horizontal="left"/>
    </xf>
    <xf numFmtId="0" fontId="4" fillId="0" borderId="0" xfId="45" applyAlignment="1">
      <alignment horizontal="left" indent="1"/>
    </xf>
    <xf numFmtId="0" fontId="15" fillId="0" borderId="1" xfId="46" applyFont="1" applyBorder="1"/>
    <xf numFmtId="0" fontId="15" fillId="0" borderId="1" xfId="46" applyFont="1" applyBorder="1" applyAlignment="1">
      <alignment horizontal="center"/>
    </xf>
    <xf numFmtId="0" fontId="4" fillId="0" borderId="0" xfId="45" quotePrefix="1"/>
    <xf numFmtId="164" fontId="4" fillId="0" borderId="0" xfId="45" applyNumberFormat="1" applyAlignment="1">
      <alignment horizontal="center"/>
    </xf>
    <xf numFmtId="0" fontId="4" fillId="0" borderId="1" xfId="46" applyBorder="1" applyAlignment="1">
      <alignment horizontal="left" indent="1"/>
    </xf>
    <xf numFmtId="0" fontId="4" fillId="0" borderId="1" xfId="45" applyBorder="1" applyAlignment="1">
      <alignment horizontal="center"/>
    </xf>
    <xf numFmtId="164" fontId="4" fillId="0" borderId="1" xfId="45" applyNumberFormat="1" applyBorder="1" applyAlignment="1">
      <alignment horizontal="center"/>
    </xf>
    <xf numFmtId="0" fontId="15" fillId="0" borderId="0" xfId="46" applyFont="1"/>
    <xf numFmtId="0" fontId="15" fillId="0" borderId="0" xfId="46" applyFont="1" applyAlignment="1">
      <alignment horizontal="center"/>
    </xf>
    <xf numFmtId="0" fontId="110" fillId="0" borderId="0" xfId="45" applyFont="1" applyAlignment="1">
      <alignment horizontal="center"/>
    </xf>
    <xf numFmtId="0" fontId="4" fillId="0" borderId="0" xfId="46" applyAlignment="1">
      <alignment horizontal="left"/>
    </xf>
    <xf numFmtId="0" fontId="17" fillId="0" borderId="0" xfId="45" applyFont="1" applyAlignment="1">
      <alignment horizontal="center"/>
    </xf>
    <xf numFmtId="43" fontId="4" fillId="0" borderId="0" xfId="45" applyNumberFormat="1"/>
    <xf numFmtId="0" fontId="20" fillId="6" borderId="0" xfId="46" applyFont="1" applyFill="1" applyAlignment="1">
      <alignment horizontal="left"/>
    </xf>
    <xf numFmtId="0" fontId="20" fillId="6" borderId="0" xfId="46" applyFont="1" applyFill="1" applyAlignment="1">
      <alignment horizontal="center"/>
    </xf>
    <xf numFmtId="165" fontId="16" fillId="0" borderId="0" xfId="48" applyNumberFormat="1" applyFont="1" applyFill="1"/>
    <xf numFmtId="172" fontId="20" fillId="6" borderId="0" xfId="45" applyNumberFormat="1" applyFont="1" applyFill="1" applyAlignment="1">
      <alignment horizontal="center"/>
    </xf>
    <xf numFmtId="0" fontId="111" fillId="0" borderId="0" xfId="49" applyNumberFormat="1" applyFont="1" applyFill="1" applyAlignment="1">
      <alignment horizontal="center"/>
    </xf>
    <xf numFmtId="0" fontId="112" fillId="0" borderId="0" xfId="45" applyFont="1" applyAlignment="1">
      <alignment horizontal="right"/>
    </xf>
    <xf numFmtId="165" fontId="0" fillId="0" borderId="0" xfId="48" applyNumberFormat="1" applyFont="1"/>
    <xf numFmtId="0" fontId="110" fillId="0" borderId="0" xfId="45" applyFont="1"/>
    <xf numFmtId="165" fontId="110" fillId="0" borderId="0" xfId="48" applyNumberFormat="1" applyFont="1" applyFill="1" applyAlignment="1">
      <alignment horizontal="right"/>
    </xf>
    <xf numFmtId="175" fontId="110" fillId="0" borderId="0" xfId="45" applyNumberFormat="1" applyFont="1" applyAlignment="1">
      <alignment horizontal="right"/>
    </xf>
    <xf numFmtId="175" fontId="113" fillId="0" borderId="0" xfId="48" applyNumberFormat="1" applyFont="1" applyFill="1" applyBorder="1"/>
    <xf numFmtId="44" fontId="4" fillId="0" borderId="0" xfId="45" applyNumberFormat="1"/>
    <xf numFmtId="166" fontId="16" fillId="0" borderId="0" xfId="49" applyNumberFormat="1" applyFont="1" applyFill="1"/>
    <xf numFmtId="44" fontId="99" fillId="0" borderId="0" xfId="25" applyNumberFormat="1" applyFont="1" applyFill="1" applyBorder="1" applyAlignment="1">
      <alignment horizontal="center"/>
    </xf>
    <xf numFmtId="166" fontId="111" fillId="0" borderId="0" xfId="49" applyNumberFormat="1" applyFont="1" applyFill="1" applyAlignment="1">
      <alignment horizontal="center"/>
    </xf>
    <xf numFmtId="0" fontId="112" fillId="0" borderId="0" xfId="45" applyFont="1" applyAlignment="1">
      <alignment horizontal="center"/>
    </xf>
    <xf numFmtId="9" fontId="98" fillId="0" borderId="0" xfId="45" applyNumberFormat="1" applyFont="1" applyAlignment="1">
      <alignment horizontal="center"/>
    </xf>
    <xf numFmtId="165" fontId="16" fillId="7" borderId="0" xfId="48" applyNumberFormat="1" applyFont="1" applyFill="1"/>
    <xf numFmtId="165" fontId="16" fillId="7" borderId="1" xfId="48" applyNumberFormat="1" applyFont="1" applyFill="1" applyBorder="1"/>
    <xf numFmtId="0" fontId="4" fillId="0" borderId="0" xfId="45" applyAlignment="1">
      <alignment horizontal="left"/>
    </xf>
    <xf numFmtId="165" fontId="55" fillId="0" borderId="0" xfId="48" applyNumberFormat="1" applyFont="1" applyFill="1"/>
    <xf numFmtId="165" fontId="15" fillId="0" borderId="0" xfId="48" applyNumberFormat="1" applyFont="1" applyFill="1" applyBorder="1"/>
    <xf numFmtId="6" fontId="98" fillId="0" borderId="0" xfId="45" applyNumberFormat="1" applyFont="1" applyAlignment="1">
      <alignment horizontal="center"/>
    </xf>
    <xf numFmtId="0" fontId="23" fillId="0" borderId="0" xfId="45" applyFont="1" applyAlignment="1">
      <alignment horizontal="right"/>
    </xf>
    <xf numFmtId="164" fontId="110" fillId="0" borderId="0" xfId="48" applyNumberFormat="1" applyFont="1" applyFill="1" applyAlignment="1">
      <alignment horizontal="right"/>
    </xf>
    <xf numFmtId="166" fontId="4" fillId="0" borderId="0" xfId="45" applyNumberFormat="1"/>
    <xf numFmtId="0" fontId="110" fillId="0" borderId="0" xfId="45" applyFont="1" applyAlignment="1">
      <alignment horizontal="right"/>
    </xf>
    <xf numFmtId="0" fontId="16" fillId="0" borderId="0" xfId="45" applyFont="1"/>
    <xf numFmtId="3" fontId="15" fillId="0" borderId="0" xfId="45" applyNumberFormat="1" applyFont="1"/>
    <xf numFmtId="3" fontId="28" fillId="0" borderId="0" xfId="34" applyNumberFormat="1" applyFont="1"/>
    <xf numFmtId="10" fontId="28" fillId="0" borderId="0" xfId="34" applyNumberFormat="1" applyFont="1"/>
    <xf numFmtId="186" fontId="28" fillId="0" borderId="0" xfId="34" applyNumberFormat="1" applyFont="1"/>
    <xf numFmtId="0" fontId="28" fillId="0" borderId="0" xfId="34" applyFont="1"/>
    <xf numFmtId="184" fontId="28" fillId="0" borderId="0" xfId="34" applyNumberFormat="1" applyFont="1"/>
    <xf numFmtId="0" fontId="28" fillId="0" borderId="0" xfId="34" applyFont="1" applyAlignment="1">
      <alignment horizontal="left" indent="1"/>
    </xf>
    <xf numFmtId="0" fontId="28" fillId="0" borderId="0" xfId="34" applyFont="1" applyAlignment="1">
      <alignment horizontal="left"/>
    </xf>
    <xf numFmtId="8" fontId="5" fillId="0" borderId="0" xfId="40" applyNumberFormat="1"/>
    <xf numFmtId="9" fontId="5" fillId="0" borderId="0" xfId="40" applyNumberFormat="1"/>
    <xf numFmtId="10" fontId="0" fillId="0" borderId="0" xfId="44" applyNumberFormat="1" applyFont="1" applyAlignment="1">
      <alignment horizontal="center"/>
    </xf>
    <xf numFmtId="0" fontId="3" fillId="0" borderId="0" xfId="40" applyFont="1"/>
    <xf numFmtId="6" fontId="28" fillId="0" borderId="0" xfId="26" applyNumberFormat="1" applyFont="1" applyFill="1" applyBorder="1" applyAlignment="1">
      <alignment horizontal="right"/>
    </xf>
    <xf numFmtId="6" fontId="57" fillId="0" borderId="0" xfId="28" applyNumberFormat="1" applyFont="1"/>
    <xf numFmtId="0" fontId="94" fillId="0" borderId="0" xfId="28" applyFont="1"/>
    <xf numFmtId="0" fontId="57" fillId="0" borderId="0" xfId="27" applyFont="1" applyFill="1" applyAlignment="1">
      <alignment horizontal="center"/>
    </xf>
    <xf numFmtId="0" fontId="28" fillId="0" borderId="0" xfId="26" applyNumberFormat="1" applyFont="1" applyFill="1" applyBorder="1" applyAlignment="1">
      <alignment horizontal="right"/>
    </xf>
    <xf numFmtId="0" fontId="57" fillId="28" borderId="0" xfId="28" applyFont="1" applyFill="1" applyAlignment="1">
      <alignment horizontal="center"/>
    </xf>
    <xf numFmtId="0" fontId="53" fillId="29" borderId="0" xfId="28" applyFont="1" applyFill="1" applyAlignment="1">
      <alignment horizontal="center"/>
    </xf>
    <xf numFmtId="0" fontId="53" fillId="29" borderId="19" xfId="28" applyFont="1" applyFill="1" applyBorder="1" applyAlignment="1">
      <alignment horizontal="center"/>
    </xf>
    <xf numFmtId="171" fontId="13" fillId="0" borderId="0" xfId="4" applyNumberFormat="1" applyAlignment="1">
      <alignment horizontal="center"/>
    </xf>
    <xf numFmtId="6" fontId="102" fillId="0" borderId="39" xfId="0" applyNumberFormat="1" applyFont="1" applyBorder="1" applyAlignment="1">
      <alignment horizontal="center"/>
    </xf>
    <xf numFmtId="6" fontId="102" fillId="0" borderId="40" xfId="0" applyNumberFormat="1" applyFont="1" applyBorder="1" applyAlignment="1">
      <alignment horizontal="center"/>
    </xf>
    <xf numFmtId="8" fontId="28" fillId="28" borderId="0" xfId="26" applyNumberFormat="1" applyFont="1" applyFill="1" applyBorder="1" applyAlignment="1">
      <alignment horizontal="right"/>
    </xf>
    <xf numFmtId="8" fontId="28" fillId="28" borderId="38" xfId="26" applyNumberFormat="1" applyFont="1" applyFill="1" applyBorder="1" applyAlignment="1">
      <alignment horizontal="right"/>
    </xf>
    <xf numFmtId="10" fontId="17" fillId="0" borderId="0" xfId="15" applyNumberFormat="1" applyFont="1" applyAlignment="1">
      <alignment horizontal="center"/>
    </xf>
    <xf numFmtId="8" fontId="28" fillId="0" borderId="0" xfId="26" applyNumberFormat="1" applyFont="1" applyFill="1" applyBorder="1" applyAlignment="1">
      <alignment horizontal="right"/>
    </xf>
    <xf numFmtId="8" fontId="28" fillId="28" borderId="1" xfId="26" applyNumberFormat="1" applyFont="1" applyFill="1" applyBorder="1" applyAlignment="1">
      <alignment horizontal="right"/>
    </xf>
    <xf numFmtId="0" fontId="33" fillId="0" borderId="0" xfId="0" applyFont="1" applyAlignment="1">
      <alignment horizontal="center" vertical="center"/>
    </xf>
    <xf numFmtId="0" fontId="0" fillId="0" borderId="0" xfId="0" applyAlignment="1">
      <alignment horizontal="center" vertical="center"/>
    </xf>
    <xf numFmtId="0" fontId="15" fillId="0" borderId="41" xfId="0" applyFont="1" applyBorder="1" applyAlignment="1">
      <alignment horizontal="center"/>
    </xf>
    <xf numFmtId="166" fontId="6" fillId="0" borderId="0" xfId="3" applyNumberFormat="1" applyFont="1"/>
    <xf numFmtId="165" fontId="6" fillId="0" borderId="0" xfId="11" applyNumberFormat="1" applyFont="1"/>
    <xf numFmtId="166" fontId="6" fillId="0" borderId="0" xfId="3" applyNumberFormat="1" applyFont="1" applyAlignment="1">
      <alignment horizontal="right"/>
    </xf>
    <xf numFmtId="44" fontId="6" fillId="0" borderId="0" xfId="3" applyFont="1"/>
    <xf numFmtId="0" fontId="3" fillId="0" borderId="0" xfId="28" applyFont="1"/>
    <xf numFmtId="166" fontId="17" fillId="0" borderId="0" xfId="0" applyNumberFormat="1" applyFont="1"/>
    <xf numFmtId="166" fontId="23" fillId="0" borderId="5" xfId="0" applyNumberFormat="1" applyFont="1" applyBorder="1" applyAlignment="1">
      <alignment horizontal="center"/>
    </xf>
    <xf numFmtId="0" fontId="23" fillId="0" borderId="5" xfId="0" applyFont="1" applyBorder="1" applyAlignment="1">
      <alignment horizontal="center"/>
    </xf>
    <xf numFmtId="0" fontId="15" fillId="0" borderId="43" xfId="5" applyFont="1" applyBorder="1"/>
    <xf numFmtId="166" fontId="15" fillId="0" borderId="43" xfId="7" applyNumberFormat="1" applyFont="1" applyBorder="1"/>
    <xf numFmtId="170" fontId="15" fillId="0" borderId="43" xfId="10" applyNumberFormat="1" applyFont="1" applyBorder="1"/>
    <xf numFmtId="0" fontId="15" fillId="0" borderId="43" xfId="0" applyFont="1" applyBorder="1"/>
    <xf numFmtId="166" fontId="15" fillId="0" borderId="43" xfId="5" applyNumberFormat="1" applyFont="1" applyBorder="1"/>
    <xf numFmtId="6" fontId="15" fillId="0" borderId="43" xfId="5" applyNumberFormat="1" applyFont="1" applyBorder="1" applyAlignment="1">
      <alignment horizontal="center"/>
    </xf>
    <xf numFmtId="0" fontId="17" fillId="0" borderId="44" xfId="0" applyFont="1" applyBorder="1"/>
    <xf numFmtId="6" fontId="96" fillId="0" borderId="43" xfId="0" applyNumberFormat="1" applyFont="1" applyBorder="1"/>
    <xf numFmtId="0" fontId="15" fillId="0" borderId="43" xfId="0" applyFont="1" applyBorder="1" applyAlignment="1">
      <alignment horizontal="left"/>
    </xf>
    <xf numFmtId="165" fontId="24" fillId="7" borderId="43" xfId="1" applyNumberFormat="1" applyFont="1" applyFill="1" applyBorder="1"/>
    <xf numFmtId="165" fontId="15" fillId="0" borderId="47" xfId="1" applyNumberFormat="1" applyFont="1" applyFill="1" applyBorder="1"/>
    <xf numFmtId="165" fontId="15" fillId="0" borderId="43" xfId="1" applyNumberFormat="1" applyFont="1" applyFill="1" applyBorder="1"/>
    <xf numFmtId="6" fontId="96" fillId="0" borderId="43" xfId="0" applyNumberFormat="1" applyFont="1" applyBorder="1" applyAlignment="1">
      <alignment horizontal="right"/>
    </xf>
    <xf numFmtId="165" fontId="15" fillId="7" borderId="43" xfId="1" applyNumberFormat="1" applyFont="1" applyFill="1" applyBorder="1"/>
    <xf numFmtId="165" fontId="15" fillId="0" borderId="43" xfId="0" applyNumberFormat="1" applyFont="1" applyBorder="1"/>
    <xf numFmtId="165" fontId="13" fillId="7" borderId="43" xfId="1" applyNumberFormat="1" applyFill="1" applyBorder="1"/>
    <xf numFmtId="165" fontId="13" fillId="0" borderId="47" xfId="1" applyNumberFormat="1" applyFill="1" applyBorder="1"/>
    <xf numFmtId="165" fontId="13" fillId="0" borderId="43" xfId="1" applyNumberFormat="1" applyFill="1" applyBorder="1"/>
    <xf numFmtId="165" fontId="0" fillId="0" borderId="48" xfId="13" applyNumberFormat="1" applyFont="1" applyBorder="1"/>
    <xf numFmtId="165" fontId="0" fillId="0" borderId="49" xfId="13" applyNumberFormat="1" applyFont="1" applyBorder="1"/>
    <xf numFmtId="165" fontId="0" fillId="0" borderId="50" xfId="13" applyNumberFormat="1" applyFont="1" applyBorder="1"/>
    <xf numFmtId="166" fontId="31" fillId="0" borderId="44" xfId="0" applyNumberFormat="1" applyFont="1" applyBorder="1"/>
    <xf numFmtId="10" fontId="17" fillId="0" borderId="46" xfId="4" applyNumberFormat="1" applyFont="1" applyBorder="1" applyAlignment="1">
      <alignment horizontal="center"/>
    </xf>
    <xf numFmtId="166" fontId="23" fillId="0" borderId="44" xfId="0" applyNumberFormat="1" applyFont="1" applyBorder="1"/>
    <xf numFmtId="166" fontId="30" fillId="11" borderId="46" xfId="2" applyNumberFormat="1" applyFont="1" applyFill="1" applyBorder="1"/>
    <xf numFmtId="0" fontId="24" fillId="0" borderId="43" xfId="0" applyFont="1" applyBorder="1"/>
    <xf numFmtId="165" fontId="13" fillId="0" borderId="43" xfId="1" applyNumberFormat="1" applyBorder="1"/>
    <xf numFmtId="0" fontId="0" fillId="0" borderId="45" xfId="0" applyBorder="1"/>
    <xf numFmtId="0" fontId="114" fillId="0" borderId="51" xfId="0" applyFont="1" applyBorder="1" applyAlignment="1">
      <alignment horizontal="center"/>
    </xf>
    <xf numFmtId="44" fontId="114" fillId="0" borderId="52" xfId="2" applyFont="1" applyBorder="1"/>
    <xf numFmtId="0" fontId="114" fillId="0" borderId="53" xfId="0" applyFont="1" applyBorder="1" applyAlignment="1">
      <alignment horizontal="center"/>
    </xf>
    <xf numFmtId="44" fontId="114" fillId="0" borderId="54" xfId="2" applyFont="1" applyBorder="1"/>
    <xf numFmtId="0" fontId="20" fillId="5" borderId="44" xfId="0" applyFont="1" applyFill="1" applyBorder="1"/>
    <xf numFmtId="0" fontId="0" fillId="5" borderId="45" xfId="0" applyFill="1" applyBorder="1"/>
    <xf numFmtId="0" fontId="0" fillId="5" borderId="46" xfId="0" applyFill="1" applyBorder="1"/>
    <xf numFmtId="0" fontId="15" fillId="0" borderId="55" xfId="0" applyFont="1" applyBorder="1" applyAlignment="1">
      <alignment horizontal="center"/>
    </xf>
    <xf numFmtId="0" fontId="15" fillId="0" borderId="43" xfId="45" applyFont="1" applyBorder="1"/>
    <xf numFmtId="165" fontId="55" fillId="0" borderId="43" xfId="48" applyNumberFormat="1" applyFont="1" applyFill="1" applyBorder="1"/>
    <xf numFmtId="0" fontId="15" fillId="0" borderId="43" xfId="45" applyFont="1" applyBorder="1" applyAlignment="1">
      <alignment horizontal="left"/>
    </xf>
    <xf numFmtId="165" fontId="15" fillId="0" borderId="43" xfId="48" applyNumberFormat="1" applyFont="1" applyFill="1" applyBorder="1"/>
    <xf numFmtId="6" fontId="12" fillId="0" borderId="43" xfId="28" applyNumberFormat="1" applyBorder="1"/>
    <xf numFmtId="0" fontId="44" fillId="0" borderId="55" xfId="0" applyFont="1" applyBorder="1" applyAlignment="1">
      <alignment horizontal="center" vertical="center" wrapText="1"/>
    </xf>
    <xf numFmtId="0" fontId="15" fillId="0" borderId="55" xfId="0" applyFont="1" applyBorder="1"/>
    <xf numFmtId="0" fontId="0" fillId="0" borderId="55" xfId="0" applyBorder="1"/>
    <xf numFmtId="44" fontId="0" fillId="0" borderId="55" xfId="2" applyFont="1" applyBorder="1"/>
    <xf numFmtId="6" fontId="0" fillId="0" borderId="55" xfId="2" applyNumberFormat="1" applyFont="1" applyBorder="1"/>
    <xf numFmtId="167" fontId="0" fillId="0" borderId="55" xfId="4" applyNumberFormat="1" applyFont="1" applyBorder="1"/>
    <xf numFmtId="44" fontId="0" fillId="0" borderId="55" xfId="0" applyNumberFormat="1" applyBorder="1"/>
    <xf numFmtId="0" fontId="0" fillId="0" borderId="45" xfId="0" applyBorder="1" applyAlignment="1">
      <alignment horizontal="center"/>
    </xf>
    <xf numFmtId="8" fontId="0" fillId="0" borderId="45" xfId="0" applyNumberFormat="1" applyBorder="1" applyAlignment="1">
      <alignment horizontal="center"/>
    </xf>
    <xf numFmtId="6" fontId="0" fillId="0" borderId="45" xfId="0" applyNumberFormat="1" applyBorder="1"/>
    <xf numFmtId="3" fontId="0" fillId="0" borderId="45" xfId="0" applyNumberFormat="1" applyBorder="1" applyAlignment="1">
      <alignment horizontal="center"/>
    </xf>
    <xf numFmtId="4" fontId="0" fillId="0" borderId="46" xfId="0" applyNumberFormat="1" applyBorder="1" applyAlignment="1">
      <alignment horizontal="center"/>
    </xf>
    <xf numFmtId="0" fontId="15" fillId="0" borderId="44" xfId="0" applyFont="1" applyBorder="1" applyAlignment="1">
      <alignment horizontal="right"/>
    </xf>
    <xf numFmtId="167" fontId="15" fillId="0" borderId="45" xfId="4" applyNumberFormat="1" applyFont="1" applyBorder="1"/>
    <xf numFmtId="44" fontId="15" fillId="0" borderId="55" xfId="2" applyFont="1" applyBorder="1"/>
    <xf numFmtId="0" fontId="15" fillId="0" borderId="44" xfId="0" applyFont="1" applyBorder="1"/>
    <xf numFmtId="0" fontId="15" fillId="0" borderId="45" xfId="0" applyFont="1" applyBorder="1" applyAlignment="1">
      <alignment horizontal="right"/>
    </xf>
    <xf numFmtId="0" fontId="15" fillId="0" borderId="46" xfId="0" applyFont="1" applyBorder="1" applyAlignment="1">
      <alignment horizontal="right"/>
    </xf>
    <xf numFmtId="0" fontId="15" fillId="0" borderId="45" xfId="45" applyFont="1" applyBorder="1" applyAlignment="1">
      <alignment horizontal="left"/>
    </xf>
    <xf numFmtId="165" fontId="55" fillId="0" borderId="45" xfId="48" applyNumberFormat="1" applyFont="1" applyFill="1" applyBorder="1"/>
    <xf numFmtId="0" fontId="12" fillId="4" borderId="55" xfId="28" applyFill="1" applyBorder="1"/>
    <xf numFmtId="0" fontId="12" fillId="10" borderId="55" xfId="28" applyFill="1" applyBorder="1" applyAlignment="1">
      <alignment horizontal="center"/>
    </xf>
    <xf numFmtId="6" fontId="12" fillId="4" borderId="55" xfId="28" applyNumberFormat="1" applyFill="1" applyBorder="1"/>
    <xf numFmtId="0" fontId="3" fillId="4" borderId="55" xfId="28" applyFont="1" applyFill="1" applyBorder="1"/>
    <xf numFmtId="0" fontId="12" fillId="0" borderId="55" xfId="28" applyBorder="1"/>
    <xf numFmtId="6" fontId="28" fillId="0" borderId="45" xfId="26" applyNumberFormat="1" applyFont="1" applyFill="1" applyBorder="1" applyAlignment="1">
      <alignment horizontal="right"/>
    </xf>
    <xf numFmtId="6" fontId="57" fillId="0" borderId="45" xfId="28" applyNumberFormat="1" applyFont="1" applyBorder="1"/>
    <xf numFmtId="8" fontId="28" fillId="28" borderId="45" xfId="26" applyNumberFormat="1" applyFont="1" applyFill="1" applyBorder="1" applyAlignment="1">
      <alignment horizontal="right"/>
    </xf>
    <xf numFmtId="0" fontId="15" fillId="0" borderId="0" xfId="5" applyFont="1" applyAlignment="1">
      <alignment horizontal="center"/>
    </xf>
    <xf numFmtId="0" fontId="51" fillId="0" borderId="0" xfId="24"/>
    <xf numFmtId="165" fontId="96" fillId="0" borderId="0" xfId="0" applyNumberFormat="1" applyFont="1"/>
    <xf numFmtId="10" fontId="96" fillId="0" borderId="0" xfId="0" applyNumberFormat="1" applyFont="1"/>
    <xf numFmtId="0" fontId="2" fillId="0" borderId="0" xfId="0" applyFont="1" applyAlignment="1">
      <alignment vertical="top" wrapText="1"/>
    </xf>
    <xf numFmtId="0" fontId="2" fillId="0" borderId="17" xfId="0" applyFont="1" applyBorder="1" applyAlignment="1">
      <alignment horizontal="right"/>
    </xf>
    <xf numFmtId="0" fontId="2" fillId="0" borderId="0" xfId="0" applyFont="1" applyAlignment="1">
      <alignment horizontal="right"/>
    </xf>
    <xf numFmtId="0" fontId="2" fillId="0" borderId="0" xfId="0" applyFont="1"/>
    <xf numFmtId="0" fontId="2" fillId="0" borderId="0" xfId="5" applyFont="1"/>
    <xf numFmtId="170" fontId="2" fillId="0" borderId="0" xfId="5" applyNumberFormat="1" applyFont="1"/>
    <xf numFmtId="165" fontId="2" fillId="0" borderId="0" xfId="6" applyNumberFormat="1" applyFont="1"/>
    <xf numFmtId="0" fontId="2" fillId="0" borderId="0" xfId="5" applyFont="1" applyAlignment="1">
      <alignment horizontal="left" indent="1"/>
    </xf>
    <xf numFmtId="166" fontId="2" fillId="0" borderId="43" xfId="0" applyNumberFormat="1" applyFont="1" applyBorder="1"/>
    <xf numFmtId="166" fontId="2" fillId="0" borderId="0" xfId="5" applyNumberFormat="1" applyFont="1"/>
    <xf numFmtId="6" fontId="2" fillId="0" borderId="0" xfId="0" applyNumberFormat="1" applyFont="1" applyAlignment="1">
      <alignment horizontal="center"/>
    </xf>
    <xf numFmtId="0" fontId="2" fillId="0" borderId="0" xfId="0" applyFont="1" applyAlignment="1">
      <alignment horizontal="left"/>
    </xf>
    <xf numFmtId="0" fontId="2" fillId="0" borderId="0" xfId="0" applyFont="1" applyAlignment="1">
      <alignment horizontal="left" indent="1"/>
    </xf>
    <xf numFmtId="6" fontId="2" fillId="0" borderId="13" xfId="0" applyNumberFormat="1" applyFont="1" applyBorder="1" applyAlignment="1">
      <alignment horizontal="center"/>
    </xf>
    <xf numFmtId="8" fontId="2" fillId="0" borderId="0" xfId="0" applyNumberFormat="1" applyFont="1"/>
    <xf numFmtId="0" fontId="2" fillId="0" borderId="0" xfId="0" quotePrefix="1" applyFont="1"/>
    <xf numFmtId="0" fontId="2" fillId="0" borderId="0" xfId="0" applyFont="1" applyAlignment="1">
      <alignment horizontal="center"/>
    </xf>
    <xf numFmtId="164" fontId="2" fillId="0" borderId="0" xfId="0" applyNumberFormat="1" applyFont="1" applyAlignment="1">
      <alignment horizontal="center"/>
    </xf>
    <xf numFmtId="0" fontId="2" fillId="0" borderId="1" xfId="0" applyFont="1" applyBorder="1" applyAlignment="1">
      <alignment horizontal="center"/>
    </xf>
    <xf numFmtId="0" fontId="2" fillId="0" borderId="45" xfId="5" quotePrefix="1" applyFont="1" applyBorder="1"/>
    <xf numFmtId="0" fontId="2" fillId="0" borderId="46" xfId="0" applyFont="1" applyBorder="1"/>
    <xf numFmtId="0" fontId="2" fillId="0" borderId="37" xfId="0" applyFont="1" applyBorder="1" applyAlignment="1">
      <alignment horizontal="center"/>
    </xf>
    <xf numFmtId="0" fontId="2" fillId="0" borderId="0" xfId="0" applyFont="1" applyAlignment="1">
      <alignment horizontal="centerContinuous"/>
    </xf>
    <xf numFmtId="164" fontId="2" fillId="0" borderId="0" xfId="0" applyNumberFormat="1" applyFont="1"/>
    <xf numFmtId="166" fontId="2" fillId="0" borderId="0" xfId="0" applyNumberFormat="1" applyFont="1"/>
    <xf numFmtId="8" fontId="2" fillId="0" borderId="42" xfId="0" applyNumberFormat="1" applyFont="1" applyBorder="1" applyAlignment="1">
      <alignment horizontal="center"/>
    </xf>
    <xf numFmtId="6" fontId="2" fillId="0" borderId="0" xfId="0" applyNumberFormat="1" applyFont="1"/>
    <xf numFmtId="9" fontId="2" fillId="0" borderId="42" xfId="0" applyNumberFormat="1" applyFont="1" applyBorder="1" applyAlignment="1">
      <alignment horizontal="center"/>
    </xf>
    <xf numFmtId="6" fontId="2" fillId="0" borderId="45" xfId="0" applyNumberFormat="1" applyFont="1" applyBorder="1"/>
    <xf numFmtId="0" fontId="2" fillId="0" borderId="37" xfId="0" applyFont="1" applyBorder="1"/>
    <xf numFmtId="0" fontId="2" fillId="0" borderId="2" xfId="0" applyFont="1" applyBorder="1" applyAlignment="1">
      <alignment horizontal="right"/>
    </xf>
    <xf numFmtId="44" fontId="2" fillId="0" borderId="0" xfId="0" applyNumberFormat="1" applyFont="1"/>
    <xf numFmtId="165" fontId="2" fillId="0" borderId="0" xfId="1" applyNumberFormat="1" applyFont="1" applyFill="1"/>
    <xf numFmtId="44" fontId="2" fillId="0" borderId="2" xfId="0" applyNumberFormat="1" applyFont="1" applyBorder="1"/>
    <xf numFmtId="197" fontId="2" fillId="0" borderId="0" xfId="0" applyNumberFormat="1" applyFont="1"/>
    <xf numFmtId="0" fontId="2" fillId="0" borderId="0" xfId="0" applyFont="1" applyAlignment="1">
      <alignment horizontal="left" indent="2"/>
    </xf>
    <xf numFmtId="165" fontId="2" fillId="0" borderId="0" xfId="0" applyNumberFormat="1" applyFont="1"/>
    <xf numFmtId="9" fontId="2" fillId="0" borderId="0" xfId="0" applyNumberFormat="1" applyFont="1"/>
    <xf numFmtId="166" fontId="2" fillId="0" borderId="0" xfId="3" applyNumberFormat="1" applyFont="1"/>
    <xf numFmtId="44" fontId="2" fillId="0" borderId="0" xfId="3" applyFont="1"/>
    <xf numFmtId="0" fontId="2" fillId="5" borderId="0" xfId="0" applyFont="1" applyFill="1"/>
    <xf numFmtId="165" fontId="2" fillId="0" borderId="45" xfId="0" applyNumberFormat="1" applyFont="1" applyBorder="1"/>
    <xf numFmtId="10" fontId="2" fillId="0" borderId="0" xfId="0" applyNumberFormat="1" applyFont="1"/>
    <xf numFmtId="0" fontId="2" fillId="0" borderId="19" xfId="0" applyFont="1" applyBorder="1" applyAlignment="1">
      <alignment horizontal="center"/>
    </xf>
    <xf numFmtId="10" fontId="2" fillId="0" borderId="0" xfId="0" applyNumberFormat="1" applyFont="1" applyAlignment="1">
      <alignment horizontal="center"/>
    </xf>
    <xf numFmtId="176" fontId="2" fillId="0" borderId="0" xfId="0" applyNumberFormat="1" applyFont="1" applyAlignment="1">
      <alignment horizontal="center"/>
    </xf>
    <xf numFmtId="4" fontId="2" fillId="0" borderId="0" xfId="0" applyNumberFormat="1" applyFont="1" applyAlignment="1">
      <alignment horizontal="center"/>
    </xf>
    <xf numFmtId="9" fontId="2" fillId="0" borderId="0" xfId="0" applyNumberFormat="1" applyFont="1" applyAlignment="1">
      <alignment horizontal="center"/>
    </xf>
    <xf numFmtId="43" fontId="2" fillId="0" borderId="0" xfId="0" applyNumberFormat="1" applyFont="1"/>
    <xf numFmtId="0" fontId="2" fillId="0" borderId="0" xfId="0" applyFont="1" applyAlignment="1">
      <alignment horizontal="center" vertical="center"/>
    </xf>
    <xf numFmtId="0" fontId="2" fillId="0" borderId="0" xfId="0" applyFont="1" applyAlignment="1">
      <alignment vertical="center"/>
    </xf>
    <xf numFmtId="0" fontId="2" fillId="0" borderId="12" xfId="0" applyFont="1" applyBorder="1"/>
    <xf numFmtId="166" fontId="2" fillId="0" borderId="2" xfId="2" applyNumberFormat="1" applyFont="1" applyBorder="1"/>
    <xf numFmtId="166" fontId="2" fillId="0" borderId="46" xfId="0" applyNumberFormat="1" applyFont="1" applyBorder="1"/>
    <xf numFmtId="0" fontId="2" fillId="0" borderId="12" xfId="0" applyFont="1" applyBorder="1" applyAlignment="1">
      <alignment horizontal="left"/>
    </xf>
    <xf numFmtId="4" fontId="2" fillId="0" borderId="0" xfId="0" applyNumberFormat="1" applyFont="1"/>
    <xf numFmtId="0" fontId="2" fillId="0" borderId="45" xfId="0" applyFont="1" applyBorder="1"/>
    <xf numFmtId="0" fontId="2" fillId="0" borderId="19" xfId="0" applyFont="1" applyBorder="1"/>
    <xf numFmtId="0" fontId="2" fillId="0" borderId="24" xfId="0" applyFont="1" applyBorder="1" applyAlignment="1">
      <alignment horizontal="center"/>
    </xf>
    <xf numFmtId="8" fontId="2" fillId="0" borderId="0" xfId="0" applyNumberFormat="1" applyFont="1" applyAlignment="1">
      <alignment horizontal="center"/>
    </xf>
    <xf numFmtId="0" fontId="2" fillId="0" borderId="44" xfId="0" applyFont="1" applyBorder="1" applyAlignment="1">
      <alignment horizontal="right" indent="1"/>
    </xf>
    <xf numFmtId="0" fontId="2" fillId="0" borderId="1" xfId="0" applyFont="1" applyBorder="1" applyAlignment="1">
      <alignment horizontal="left" indent="1"/>
    </xf>
    <xf numFmtId="0" fontId="2" fillId="0" borderId="44" xfId="0" applyFont="1" applyBorder="1"/>
    <xf numFmtId="0" fontId="2" fillId="0" borderId="1" xfId="0" applyFont="1" applyBorder="1" applyAlignment="1">
      <alignment horizontal="right"/>
    </xf>
    <xf numFmtId="8" fontId="2" fillId="0" borderId="0" xfId="0" applyNumberFormat="1" applyFont="1" applyAlignment="1">
      <alignment horizontal="center" vertical="center"/>
    </xf>
    <xf numFmtId="6" fontId="2" fillId="0" borderId="0" xfId="0" applyNumberFormat="1" applyFont="1" applyAlignment="1">
      <alignment horizontal="center" vertical="center"/>
    </xf>
    <xf numFmtId="3" fontId="2" fillId="0" borderId="0" xfId="0" applyNumberFormat="1" applyFont="1" applyAlignment="1">
      <alignment horizontal="center" vertical="center"/>
    </xf>
    <xf numFmtId="3" fontId="2" fillId="0" borderId="0" xfId="1" applyNumberFormat="1" applyFont="1" applyAlignment="1">
      <alignment horizontal="center" vertical="top"/>
    </xf>
    <xf numFmtId="165" fontId="2" fillId="0" borderId="0" xfId="48" applyNumberFormat="1" applyFont="1" applyBorder="1" applyAlignment="1">
      <alignment horizontal="center"/>
    </xf>
    <xf numFmtId="164" fontId="2" fillId="0" borderId="0" xfId="47" applyNumberFormat="1" applyFont="1" applyBorder="1" applyAlignment="1">
      <alignment horizontal="center"/>
    </xf>
    <xf numFmtId="165" fontId="2" fillId="0" borderId="0" xfId="48" applyNumberFormat="1" applyFont="1" applyFill="1" applyBorder="1"/>
    <xf numFmtId="6" fontId="2" fillId="0" borderId="0" xfId="48" applyNumberFormat="1" applyFont="1" applyFill="1" applyAlignment="1">
      <alignment horizontal="center"/>
    </xf>
    <xf numFmtId="6" fontId="2" fillId="0" borderId="0" xfId="47" applyNumberFormat="1" applyFont="1" applyFill="1" applyBorder="1" applyAlignment="1">
      <alignment horizontal="center"/>
    </xf>
    <xf numFmtId="165" fontId="2" fillId="0" borderId="0" xfId="48" applyNumberFormat="1" applyFont="1" applyFill="1"/>
    <xf numFmtId="3" fontId="2" fillId="0" borderId="0" xfId="47" applyNumberFormat="1" applyFont="1" applyFill="1" applyBorder="1" applyAlignment="1">
      <alignment horizontal="right"/>
    </xf>
    <xf numFmtId="165" fontId="2" fillId="7" borderId="0" xfId="48" applyNumberFormat="1" applyFont="1" applyFill="1" applyAlignment="1">
      <alignment horizontal="center"/>
    </xf>
    <xf numFmtId="165" fontId="2" fillId="0" borderId="0" xfId="47" applyNumberFormat="1" applyFont="1" applyFill="1" applyBorder="1" applyAlignment="1">
      <alignment horizontal="right"/>
    </xf>
    <xf numFmtId="165" fontId="2" fillId="0" borderId="1" xfId="47" applyNumberFormat="1" applyFont="1" applyFill="1" applyBorder="1" applyAlignment="1">
      <alignment horizontal="right"/>
    </xf>
    <xf numFmtId="165" fontId="2" fillId="0" borderId="0" xfId="48" applyNumberFormat="1" applyFont="1"/>
    <xf numFmtId="165" fontId="2" fillId="0" borderId="1" xfId="48" applyNumberFormat="1" applyFont="1" applyFill="1" applyBorder="1"/>
    <xf numFmtId="9" fontId="2" fillId="0" borderId="0" xfId="47" applyFont="1" applyFill="1"/>
    <xf numFmtId="9" fontId="2" fillId="0" borderId="0" xfId="47" applyFont="1"/>
    <xf numFmtId="0" fontId="2" fillId="0" borderId="0" xfId="0" quotePrefix="1" applyFont="1" applyAlignment="1">
      <alignment horizontal="left"/>
    </xf>
    <xf numFmtId="0" fontId="2" fillId="0" borderId="3" xfId="0" applyFont="1" applyBorder="1"/>
    <xf numFmtId="0" fontId="2" fillId="0" borderId="10" xfId="0" applyFont="1" applyBorder="1"/>
    <xf numFmtId="0" fontId="2" fillId="0" borderId="19" xfId="0" quotePrefix="1" applyFont="1" applyBorder="1" applyAlignment="1">
      <alignment horizontal="left"/>
    </xf>
    <xf numFmtId="0" fontId="2" fillId="0" borderId="0" xfId="28" applyFont="1" applyAlignment="1">
      <alignment horizontal="left" indent="1"/>
    </xf>
    <xf numFmtId="0" fontId="2" fillId="0" borderId="21" xfId="28" applyFont="1" applyBorder="1" applyAlignment="1">
      <alignment horizontal="left" indent="1"/>
    </xf>
    <xf numFmtId="0" fontId="2" fillId="0" borderId="0" xfId="28" applyFont="1" applyAlignment="1">
      <alignment horizontal="center"/>
    </xf>
    <xf numFmtId="0" fontId="2" fillId="16" borderId="0" xfId="28" applyFont="1" applyFill="1" applyAlignment="1">
      <alignment horizontal="center"/>
    </xf>
    <xf numFmtId="0" fontId="2" fillId="16" borderId="0" xfId="28" applyFont="1" applyFill="1" applyAlignment="1">
      <alignment horizontal="left" indent="1"/>
    </xf>
    <xf numFmtId="0" fontId="1" fillId="0" borderId="0" xfId="0" applyFont="1" applyAlignment="1">
      <alignment vertical="center"/>
    </xf>
    <xf numFmtId="0" fontId="1" fillId="0" borderId="0" xfId="0" applyFont="1"/>
    <xf numFmtId="165" fontId="13" fillId="0" borderId="0" xfId="4" applyNumberFormat="1"/>
    <xf numFmtId="6" fontId="1" fillId="0" borderId="55" xfId="0" applyNumberFormat="1" applyFont="1" applyBorder="1" applyAlignment="1">
      <alignment horizontal="center" vertical="center" wrapText="1"/>
    </xf>
    <xf numFmtId="0" fontId="1" fillId="0" borderId="55" xfId="0" applyFont="1" applyBorder="1" applyAlignment="1">
      <alignment horizontal="center" vertical="center" wrapText="1"/>
    </xf>
    <xf numFmtId="10" fontId="1" fillId="0" borderId="55" xfId="0" applyNumberFormat="1" applyFont="1" applyBorder="1" applyAlignment="1">
      <alignment horizontal="center" vertical="center" wrapText="1"/>
    </xf>
    <xf numFmtId="0" fontId="1" fillId="0" borderId="0" xfId="0" applyFont="1" applyAlignment="1">
      <alignment horizontal="left" vertical="center"/>
    </xf>
    <xf numFmtId="0" fontId="1" fillId="0" borderId="0" xfId="0" applyFont="1" applyAlignment="1">
      <alignment horizontal="left" vertical="center" indent="2"/>
    </xf>
    <xf numFmtId="6" fontId="1" fillId="0" borderId="6" xfId="0" applyNumberFormat="1" applyFont="1" applyBorder="1" applyAlignment="1">
      <alignment horizontal="center" vertical="center" wrapText="1"/>
    </xf>
    <xf numFmtId="6" fontId="1" fillId="0" borderId="4" xfId="0" applyNumberFormat="1" applyFont="1" applyBorder="1" applyAlignment="1">
      <alignment horizontal="center" vertical="center" wrapText="1"/>
    </xf>
    <xf numFmtId="10" fontId="1" fillId="0" borderId="4" xfId="0" applyNumberFormat="1" applyFont="1" applyBorder="1" applyAlignment="1">
      <alignment horizontal="center" vertical="center" wrapText="1"/>
    </xf>
    <xf numFmtId="170" fontId="15" fillId="0" borderId="56" xfId="10" applyNumberFormat="1" applyFont="1" applyBorder="1"/>
    <xf numFmtId="0" fontId="20" fillId="6" borderId="57" xfId="5" applyFont="1" applyFill="1" applyBorder="1" applyAlignment="1">
      <alignment horizontal="center"/>
    </xf>
    <xf numFmtId="165" fontId="13" fillId="0" borderId="58" xfId="1" applyNumberFormat="1" applyFill="1" applyBorder="1"/>
    <xf numFmtId="165" fontId="13" fillId="0" borderId="56" xfId="1" applyNumberFormat="1" applyFill="1" applyBorder="1"/>
    <xf numFmtId="0" fontId="15" fillId="0" borderId="56" xfId="0" applyFont="1" applyBorder="1" applyAlignment="1">
      <alignment horizontal="left"/>
    </xf>
    <xf numFmtId="165" fontId="15" fillId="0" borderId="57" xfId="1" applyNumberFormat="1" applyFont="1" applyFill="1" applyBorder="1"/>
    <xf numFmtId="165" fontId="15" fillId="0" borderId="56" xfId="1" applyNumberFormat="1" applyFont="1" applyFill="1" applyBorder="1"/>
    <xf numFmtId="0" fontId="15" fillId="0" borderId="59" xfId="10" applyFont="1" applyBorder="1" applyAlignment="1">
      <alignment horizontal="center"/>
    </xf>
    <xf numFmtId="43" fontId="15" fillId="0" borderId="59" xfId="10" applyNumberFormat="1" applyFont="1" applyBorder="1" applyAlignment="1">
      <alignment horizontal="center"/>
    </xf>
    <xf numFmtId="165" fontId="0" fillId="0" borderId="60" xfId="13" applyNumberFormat="1" applyFont="1" applyBorder="1"/>
    <xf numFmtId="6" fontId="2" fillId="0" borderId="56" xfId="0" applyNumberFormat="1" applyFont="1" applyBorder="1"/>
    <xf numFmtId="166" fontId="13" fillId="0" borderId="56" xfId="2" applyNumberFormat="1" applyBorder="1"/>
    <xf numFmtId="165" fontId="2" fillId="0" borderId="56" xfId="0" applyNumberFormat="1" applyFont="1" applyBorder="1"/>
    <xf numFmtId="0" fontId="20" fillId="5" borderId="58" xfId="0" applyFont="1" applyFill="1" applyBorder="1"/>
    <xf numFmtId="0" fontId="21" fillId="5" borderId="56" xfId="0" applyFont="1" applyFill="1" applyBorder="1"/>
    <xf numFmtId="0" fontId="0" fillId="5" borderId="57" xfId="0" applyFill="1" applyBorder="1"/>
    <xf numFmtId="0" fontId="57" fillId="19" borderId="58" xfId="32" applyFont="1" applyBorder="1" applyAlignment="1">
      <alignment vertical="center"/>
    </xf>
    <xf numFmtId="0" fontId="11" fillId="19" borderId="56" xfId="32" applyBorder="1"/>
    <xf numFmtId="0" fontId="11" fillId="19" borderId="57" xfId="32" applyBorder="1"/>
    <xf numFmtId="0" fontId="0" fillId="0" borderId="58" xfId="0" applyBorder="1"/>
    <xf numFmtId="0" fontId="0" fillId="0" borderId="56" xfId="0" applyBorder="1"/>
    <xf numFmtId="166" fontId="17" fillId="0" borderId="57" xfId="0" applyNumberFormat="1" applyFont="1" applyBorder="1"/>
    <xf numFmtId="0" fontId="2" fillId="0" borderId="58" xfId="0" applyFont="1" applyBorder="1" applyAlignment="1">
      <alignment horizontal="right"/>
    </xf>
    <xf numFmtId="0" fontId="0" fillId="0" borderId="56" xfId="0" applyBorder="1" applyAlignment="1">
      <alignment horizontal="center"/>
    </xf>
    <xf numFmtId="8" fontId="0" fillId="0" borderId="56" xfId="0" applyNumberFormat="1" applyBorder="1" applyAlignment="1">
      <alignment horizontal="center"/>
    </xf>
    <xf numFmtId="6" fontId="0" fillId="0" borderId="56" xfId="0" applyNumberFormat="1" applyBorder="1"/>
    <xf numFmtId="2" fontId="0" fillId="0" borderId="57" xfId="0" applyNumberFormat="1" applyBorder="1" applyAlignment="1">
      <alignment horizontal="center"/>
    </xf>
    <xf numFmtId="4" fontId="0" fillId="0" borderId="57" xfId="0" applyNumberFormat="1" applyBorder="1" applyAlignment="1">
      <alignment horizontal="center"/>
    </xf>
    <xf numFmtId="0" fontId="20" fillId="5" borderId="56" xfId="0" applyFont="1" applyFill="1" applyBorder="1"/>
    <xf numFmtId="166" fontId="20" fillId="5" borderId="56" xfId="2" applyNumberFormat="1" applyFont="1" applyFill="1" applyBorder="1"/>
    <xf numFmtId="0" fontId="20" fillId="0" borderId="58" xfId="0" applyFont="1" applyBorder="1"/>
    <xf numFmtId="0" fontId="21" fillId="0" borderId="56" xfId="0" applyFont="1" applyBorder="1"/>
    <xf numFmtId="0" fontId="20" fillId="0" borderId="56" xfId="0" applyFont="1" applyBorder="1"/>
    <xf numFmtId="166" fontId="20" fillId="0" borderId="56" xfId="2" applyNumberFormat="1" applyFont="1" applyBorder="1"/>
    <xf numFmtId="0" fontId="0" fillId="0" borderId="59" xfId="0" applyBorder="1"/>
    <xf numFmtId="0" fontId="15" fillId="0" borderId="58" xfId="0" applyFont="1" applyBorder="1" applyAlignment="1">
      <alignment horizontal="right"/>
    </xf>
    <xf numFmtId="0" fontId="2" fillId="0" borderId="56" xfId="0" applyFont="1" applyBorder="1" applyAlignment="1">
      <alignment horizontal="right"/>
    </xf>
    <xf numFmtId="166" fontId="0" fillId="0" borderId="59" xfId="0" applyNumberFormat="1" applyBorder="1"/>
    <xf numFmtId="0" fontId="15" fillId="0" borderId="56" xfId="0" applyFont="1" applyBorder="1"/>
    <xf numFmtId="166" fontId="0" fillId="0" borderId="57" xfId="0" applyNumberFormat="1" applyBorder="1"/>
    <xf numFmtId="0" fontId="2" fillId="0" borderId="56" xfId="0" applyFont="1" applyBorder="1"/>
    <xf numFmtId="8" fontId="0" fillId="0" borderId="56" xfId="0" applyNumberFormat="1" applyBorder="1"/>
    <xf numFmtId="0" fontId="20" fillId="17" borderId="56" xfId="10" applyFont="1" applyFill="1" applyBorder="1"/>
    <xf numFmtId="0" fontId="20" fillId="17" borderId="56" xfId="10" applyFont="1" applyFill="1" applyBorder="1" applyAlignment="1">
      <alignment horizontal="center"/>
    </xf>
    <xf numFmtId="0" fontId="20" fillId="17" borderId="57" xfId="10" applyFont="1" applyFill="1" applyBorder="1" applyAlignment="1">
      <alignment horizontal="center"/>
    </xf>
    <xf numFmtId="0" fontId="15" fillId="0" borderId="56" xfId="45" applyFont="1" applyBorder="1" applyAlignment="1">
      <alignment horizontal="left"/>
    </xf>
    <xf numFmtId="165" fontId="15" fillId="0" borderId="56" xfId="48" applyNumberFormat="1" applyFont="1" applyFill="1" applyBorder="1"/>
    <xf numFmtId="6" fontId="28" fillId="0" borderId="56" xfId="26" applyNumberFormat="1" applyFont="1" applyFill="1" applyBorder="1" applyAlignment="1">
      <alignment horizontal="right"/>
    </xf>
    <xf numFmtId="8" fontId="12" fillId="0" borderId="56" xfId="28" applyNumberFormat="1" applyBorder="1"/>
    <xf numFmtId="165" fontId="23" fillId="0" borderId="0" xfId="1" applyNumberFormat="1" applyFont="1" applyFill="1" applyAlignment="1">
      <alignment horizontal="right"/>
    </xf>
    <xf numFmtId="9" fontId="1" fillId="0" borderId="10" xfId="0" applyNumberFormat="1" applyFont="1" applyBorder="1" applyAlignment="1">
      <alignment horizontal="center" vertical="center" wrapText="1"/>
    </xf>
    <xf numFmtId="9" fontId="1" fillId="0" borderId="4" xfId="0" applyNumberFormat="1" applyFont="1" applyBorder="1" applyAlignment="1">
      <alignment horizontal="center" vertical="center" wrapText="1"/>
    </xf>
    <xf numFmtId="0" fontId="28" fillId="0" borderId="0" xfId="0" applyFont="1" applyAlignment="1">
      <alignment horizontal="left" vertical="top" wrapText="1"/>
    </xf>
    <xf numFmtId="0" fontId="1" fillId="0" borderId="0" xfId="0" applyFont="1" applyAlignment="1">
      <alignment horizontal="left" vertical="top" wrapText="1"/>
    </xf>
    <xf numFmtId="0" fontId="0" fillId="0" borderId="0" xfId="0" applyAlignment="1">
      <alignment vertical="top" wrapText="1"/>
    </xf>
    <xf numFmtId="0" fontId="33" fillId="0" borderId="0" xfId="10" applyFont="1" applyAlignment="1">
      <alignment horizontal="left" vertical="top" wrapText="1" indent="1"/>
    </xf>
    <xf numFmtId="0" fontId="33" fillId="0" borderId="17" xfId="10" applyFont="1" applyBorder="1" applyAlignment="1">
      <alignment horizontal="left" vertical="top" wrapText="1" indent="1"/>
    </xf>
    <xf numFmtId="0" fontId="53" fillId="20" borderId="0" xfId="33" applyFont="1" applyAlignment="1">
      <alignment horizontal="center"/>
    </xf>
    <xf numFmtId="0" fontId="51" fillId="0" borderId="0" xfId="24" applyAlignment="1">
      <alignment horizontal="center"/>
    </xf>
    <xf numFmtId="0" fontId="20" fillId="5" borderId="0" xfId="0" applyFont="1" applyFill="1" applyAlignment="1">
      <alignment horizontal="center"/>
    </xf>
    <xf numFmtId="0" fontId="15" fillId="0" borderId="0" xfId="0" applyFont="1" applyAlignment="1">
      <alignment horizontal="center"/>
    </xf>
    <xf numFmtId="0" fontId="53" fillId="13" borderId="0" xfId="25" applyFont="1" applyAlignment="1">
      <alignment horizontal="center"/>
    </xf>
    <xf numFmtId="0" fontId="20" fillId="5" borderId="0" xfId="10" applyFont="1" applyFill="1" applyAlignment="1">
      <alignment horizontal="center"/>
    </xf>
    <xf numFmtId="0" fontId="20" fillId="5" borderId="58" xfId="0" applyFont="1" applyFill="1" applyBorder="1" applyAlignment="1">
      <alignment horizontal="center"/>
    </xf>
    <xf numFmtId="0" fontId="20" fillId="5" borderId="56" xfId="0" applyFont="1" applyFill="1" applyBorder="1" applyAlignment="1">
      <alignment horizontal="center"/>
    </xf>
    <xf numFmtId="0" fontId="20" fillId="5" borderId="57" xfId="0" applyFont="1" applyFill="1" applyBorder="1" applyAlignment="1">
      <alignment horizontal="center"/>
    </xf>
    <xf numFmtId="0" fontId="53" fillId="18" borderId="0" xfId="26" applyFont="1" applyFill="1" applyAlignment="1">
      <alignment horizontal="center"/>
    </xf>
    <xf numFmtId="49" fontId="19" fillId="18" borderId="0" xfId="23" applyNumberFormat="1" applyFont="1" applyFill="1" applyAlignment="1">
      <alignment horizontal="center" vertical="top" wrapText="1"/>
    </xf>
    <xf numFmtId="0" fontId="53" fillId="25" borderId="0" xfId="40" applyFont="1" applyFill="1" applyAlignment="1">
      <alignment horizontal="center"/>
    </xf>
    <xf numFmtId="0" fontId="53" fillId="24" borderId="0" xfId="40" applyFont="1" applyFill="1" applyAlignment="1">
      <alignment horizontal="center"/>
    </xf>
    <xf numFmtId="0" fontId="53" fillId="27" borderId="0" xfId="40" applyFont="1" applyFill="1" applyAlignment="1">
      <alignment horizontal="center"/>
    </xf>
    <xf numFmtId="0" fontId="20" fillId="17" borderId="56" xfId="10" applyFont="1" applyFill="1" applyBorder="1" applyAlignment="1">
      <alignment horizontal="center"/>
    </xf>
    <xf numFmtId="0" fontId="3" fillId="19" borderId="0" xfId="32" applyFont="1" applyAlignment="1">
      <alignment horizontal="center"/>
    </xf>
    <xf numFmtId="0" fontId="11" fillId="19" borderId="0" xfId="32" applyAlignment="1">
      <alignment horizontal="center"/>
    </xf>
    <xf numFmtId="0" fontId="53" fillId="14" borderId="0" xfId="26" applyFont="1" applyAlignment="1">
      <alignment horizontal="center"/>
    </xf>
    <xf numFmtId="0" fontId="20" fillId="17" borderId="58" xfId="10" applyFont="1" applyFill="1" applyBorder="1" applyAlignment="1">
      <alignment horizontal="center"/>
    </xf>
    <xf numFmtId="166" fontId="17" fillId="0" borderId="0" xfId="2" applyNumberFormat="1" applyFont="1" applyAlignment="1">
      <alignment horizontal="center"/>
    </xf>
    <xf numFmtId="0" fontId="20" fillId="17" borderId="0" xfId="10" applyFont="1" applyFill="1" applyAlignment="1">
      <alignment horizontal="center"/>
    </xf>
    <xf numFmtId="10" fontId="15" fillId="0" borderId="1" xfId="4" applyNumberFormat="1" applyFont="1" applyBorder="1" applyAlignment="1">
      <alignment horizontal="center"/>
    </xf>
    <xf numFmtId="0" fontId="20" fillId="17" borderId="12" xfId="10" applyFont="1" applyFill="1" applyBorder="1" applyAlignment="1">
      <alignment horizontal="center"/>
    </xf>
    <xf numFmtId="166" fontId="13" fillId="0" borderId="13" xfId="2" applyNumberFormat="1" applyBorder="1" applyAlignment="1">
      <alignment horizontal="center"/>
    </xf>
    <xf numFmtId="166" fontId="13" fillId="0" borderId="1" xfId="2" applyNumberFormat="1" applyBorder="1" applyAlignment="1">
      <alignment horizontal="center"/>
    </xf>
    <xf numFmtId="9" fontId="13" fillId="0" borderId="1" xfId="4" applyBorder="1" applyAlignment="1">
      <alignment horizontal="center"/>
    </xf>
    <xf numFmtId="0" fontId="57" fillId="15" borderId="0" xfId="27" applyFont="1" applyAlignment="1">
      <alignment horizontal="center"/>
    </xf>
    <xf numFmtId="0" fontId="53" fillId="14" borderId="14" xfId="26" applyFont="1" applyBorder="1" applyAlignment="1">
      <alignment horizontal="center"/>
    </xf>
    <xf numFmtId="0" fontId="53" fillId="14" borderId="15" xfId="26" applyFont="1" applyBorder="1" applyAlignment="1">
      <alignment horizontal="center"/>
    </xf>
    <xf numFmtId="0" fontId="53" fillId="14" borderId="16" xfId="26" applyFont="1" applyBorder="1" applyAlignment="1">
      <alignment horizontal="center"/>
    </xf>
    <xf numFmtId="0" fontId="57" fillId="0" borderId="0" xfId="28" applyFont="1" applyAlignment="1">
      <alignment horizontal="center" wrapText="1"/>
    </xf>
    <xf numFmtId="0" fontId="57" fillId="0" borderId="19" xfId="28" applyFont="1" applyBorder="1" applyAlignment="1">
      <alignment horizontal="center" wrapText="1"/>
    </xf>
    <xf numFmtId="0" fontId="54" fillId="14" borderId="0" xfId="26" applyAlignment="1">
      <alignment horizontal="center"/>
    </xf>
    <xf numFmtId="0" fontId="59" fillId="11" borderId="26" xfId="36" applyFont="1" applyFill="1" applyBorder="1" applyAlignment="1">
      <alignment horizontal="left"/>
    </xf>
    <xf numFmtId="0" fontId="59" fillId="11" borderId="0" xfId="36" applyFont="1" applyFill="1" applyAlignment="1">
      <alignment horizontal="left"/>
    </xf>
    <xf numFmtId="44" fontId="93" fillId="11" borderId="0" xfId="38" applyFont="1" applyFill="1" applyAlignment="1">
      <alignment horizontal="center"/>
    </xf>
    <xf numFmtId="0" fontId="57" fillId="11" borderId="0" xfId="36" applyFont="1" applyFill="1" applyAlignment="1">
      <alignment horizontal="center" wrapText="1"/>
    </xf>
    <xf numFmtId="0" fontId="57" fillId="11" borderId="25" xfId="36" applyFont="1" applyFill="1" applyBorder="1" applyAlignment="1">
      <alignment horizontal="center" wrapText="1"/>
    </xf>
    <xf numFmtId="0" fontId="57" fillId="11" borderId="1" xfId="36" applyFont="1" applyFill="1" applyBorder="1" applyAlignment="1">
      <alignment horizontal="center" wrapText="1"/>
    </xf>
    <xf numFmtId="0" fontId="57" fillId="11" borderId="27" xfId="36" applyFont="1" applyFill="1" applyBorder="1" applyAlignment="1">
      <alignment horizontal="center" wrapText="1"/>
    </xf>
    <xf numFmtId="0" fontId="89" fillId="11" borderId="0" xfId="36" applyFont="1" applyFill="1" applyAlignment="1">
      <alignment horizontal="center"/>
    </xf>
    <xf numFmtId="0" fontId="59" fillId="11" borderId="29" xfId="36" applyFont="1" applyFill="1" applyBorder="1" applyAlignment="1">
      <alignment horizontal="left"/>
    </xf>
    <xf numFmtId="0" fontId="59" fillId="11" borderId="56" xfId="36" applyFont="1" applyFill="1" applyBorder="1" applyAlignment="1">
      <alignment horizontal="left"/>
    </xf>
  </cellXfs>
  <cellStyles count="50">
    <cellStyle name="20% - Accent1" xfId="32" builtinId="30"/>
    <cellStyle name="40% - Accent1" xfId="27" builtinId="31"/>
    <cellStyle name="40% - Accent3" xfId="35" builtinId="39"/>
    <cellStyle name="Accent1" xfId="26" builtinId="29"/>
    <cellStyle name="Accent4" xfId="33" builtinId="41"/>
    <cellStyle name="Accent6" xfId="25" builtinId="49"/>
    <cellStyle name="Comma" xfId="1" builtinId="3"/>
    <cellStyle name="Comma 2" xfId="6" xr:uid="{00000000-0005-0000-0000-000001000000}"/>
    <cellStyle name="Comma 2 2" xfId="11" xr:uid="{00000000-0005-0000-0000-000002000000}"/>
    <cellStyle name="Comma 3" xfId="13" xr:uid="{00000000-0005-0000-0000-000003000000}"/>
    <cellStyle name="Comma 4" xfId="23" xr:uid="{00000000-0005-0000-0000-000004000000}"/>
    <cellStyle name="Comma 5" xfId="37" xr:uid="{97361930-60FB-49F0-9BD8-1D66122D61C6}"/>
    <cellStyle name="Comma 6" xfId="43" xr:uid="{9E888740-3CB9-4DDA-8102-76867E8B34C4}"/>
    <cellStyle name="Comma 7" xfId="48" xr:uid="{D8B2E331-A891-41A8-87EC-FBA475D0CD27}"/>
    <cellStyle name="Currency" xfId="2" builtinId="4"/>
    <cellStyle name="Currency 2" xfId="3" xr:uid="{00000000-0005-0000-0000-000006000000}"/>
    <cellStyle name="Currency 2 2" xfId="38" xr:uid="{3BCD26E9-7D73-4F6A-B61E-B2C003D2556F}"/>
    <cellStyle name="Currency 3" xfId="14" xr:uid="{00000000-0005-0000-0000-000007000000}"/>
    <cellStyle name="Currency 4" xfId="31" xr:uid="{B1FD28A5-5DE5-4474-B33D-8FEFD364E554}"/>
    <cellStyle name="Currency 5" xfId="49" xr:uid="{F8C76691-3867-4048-A48F-8A3D4CA30163}"/>
    <cellStyle name="Hyperlink" xfId="24" builtinId="8"/>
    <cellStyle name="Hyperlink 2" xfId="41" xr:uid="{16D83230-AE81-4F9E-8C9D-299FC2DDBA8E}"/>
    <cellStyle name="Normal" xfId="0" builtinId="0"/>
    <cellStyle name="Normal 10" xfId="45" xr:uid="{4E149AB4-40D3-4BCA-8320-5F0166E09D6E}"/>
    <cellStyle name="Normal 2" xfId="5" xr:uid="{00000000-0005-0000-0000-000009000000}"/>
    <cellStyle name="Normal 2 2" xfId="10" xr:uid="{00000000-0005-0000-0000-00000A000000}"/>
    <cellStyle name="Normal 2 3" xfId="30" xr:uid="{5F3C42FC-E6D6-4561-9B51-07E2F832B6CA}"/>
    <cellStyle name="Normal 2 4" xfId="46" xr:uid="{11838949-5C9A-40B8-AAAD-6BF36D160924}"/>
    <cellStyle name="Normal 3" xfId="9" xr:uid="{00000000-0005-0000-0000-00000B000000}"/>
    <cellStyle name="Normal 3 2" xfId="42" xr:uid="{7E3C9D21-8FB7-48CC-A60D-9DA665E92D5F}"/>
    <cellStyle name="Normal 4" xfId="8" xr:uid="{00000000-0005-0000-0000-00000C000000}"/>
    <cellStyle name="Normal 5" xfId="22" xr:uid="{00000000-0005-0000-0000-00000D000000}"/>
    <cellStyle name="Normal 6" xfId="28" xr:uid="{CFECB08B-76BB-41DA-B4B4-9E9393A1477D}"/>
    <cellStyle name="Normal 7" xfId="29" xr:uid="{8161AA81-848D-49EB-8484-770534499EE6}"/>
    <cellStyle name="Normal 8" xfId="34" xr:uid="{A1542CFA-B2CB-4538-89E1-E270706DB8A7}"/>
    <cellStyle name="Normal 8 2" xfId="36" xr:uid="{07F2B53D-04FD-44DF-AB06-4FD2E8055FCD}"/>
    <cellStyle name="Normal 9" xfId="40" xr:uid="{668FC191-D656-4A9D-8D6E-7C56D5FFC84A}"/>
    <cellStyle name="Percent" xfId="4" builtinId="5"/>
    <cellStyle name="Percent 2" xfId="7" xr:uid="{00000000-0005-0000-0000-00000F000000}"/>
    <cellStyle name="Percent 2 2" xfId="12" xr:uid="{00000000-0005-0000-0000-000010000000}"/>
    <cellStyle name="Percent 2 2 2" xfId="47" xr:uid="{0D135B84-358C-436A-BC0B-68EE6726DB68}"/>
    <cellStyle name="Percent 3" xfId="15" xr:uid="{00000000-0005-0000-0000-000011000000}"/>
    <cellStyle name="Percent 4" xfId="39" xr:uid="{79C5FAB2-7FCE-4E04-A52E-EE1D03F3AEDF}"/>
    <cellStyle name="Percent 5" xfId="44" xr:uid="{F0A42C10-063D-4709-ADB8-157D02BA9AFC}"/>
    <cellStyle name="Style 1163" xfId="16" xr:uid="{00000000-0005-0000-0000-000012000000}"/>
    <cellStyle name="Style 1167" xfId="17" xr:uid="{00000000-0005-0000-0000-000013000000}"/>
    <cellStyle name="Style 1301" xfId="18" xr:uid="{00000000-0005-0000-0000-000014000000}"/>
    <cellStyle name="Style 1305" xfId="19" xr:uid="{00000000-0005-0000-0000-000015000000}"/>
    <cellStyle name="Style 1541" xfId="20" xr:uid="{00000000-0005-0000-0000-000016000000}"/>
    <cellStyle name="Style 1545" xfId="21" xr:uid="{00000000-0005-0000-0000-000017000000}"/>
  </cellStyles>
  <dxfs count="36">
    <dxf>
      <font>
        <color rgb="FF0000FF"/>
      </font>
      <fill>
        <patternFill>
          <bgColor rgb="FFFFFF00"/>
        </patternFill>
      </fill>
    </dxf>
    <dxf>
      <font>
        <b/>
        <i/>
        <color theme="0"/>
      </font>
      <fill>
        <patternFill>
          <bgColor rgb="FFFF0000"/>
        </patternFill>
      </fill>
    </dxf>
    <dxf>
      <font>
        <color theme="0"/>
      </font>
      <numFmt numFmtId="0" formatCode="General"/>
      <fill>
        <patternFill patternType="none">
          <bgColor auto="1"/>
        </patternFill>
      </fill>
    </dxf>
    <dxf>
      <numFmt numFmtId="179" formatCode="0.00&quot;X&quot;"/>
    </dxf>
    <dxf>
      <numFmt numFmtId="198" formatCode="&quot; up to &quot;0.00&quot;X EM to LP&quot;"/>
    </dxf>
    <dxf>
      <numFmt numFmtId="198" formatCode="&quot; up to &quot;0.00&quot;X EM to LP&quot;"/>
    </dxf>
    <dxf>
      <numFmt numFmtId="198" formatCode="&quot; up to &quot;0.00&quot;X EM to LP&quot;"/>
    </dxf>
    <dxf>
      <numFmt numFmtId="198" formatCode="&quot; up to &quot;0.00&quot;X EM to LP&quot;"/>
    </dxf>
    <dxf>
      <numFmt numFmtId="198" formatCode="&quot; up to &quot;0.00&quot;X EM to LP&quot;"/>
    </dxf>
    <dxf>
      <numFmt numFmtId="198" formatCode="&quot; up to &quot;0.00&quot;X EM to LP&quot;"/>
    </dxf>
    <dxf>
      <numFmt numFmtId="198" formatCode="&quot; up to &quot;0.00&quot;X EM to LP&quot;"/>
    </dxf>
    <dxf>
      <numFmt numFmtId="198" formatCode="&quot; up to &quot;0.00&quot;X EM to LP&quot;"/>
    </dxf>
    <dxf>
      <numFmt numFmtId="198" formatCode="&quot; up to &quot;0.00&quot;X EM to LP&quot;"/>
    </dxf>
    <dxf>
      <numFmt numFmtId="198" formatCode="&quot; up to &quot;0.00&quot;X EM to LP&quot;"/>
    </dxf>
    <dxf>
      <numFmt numFmtId="198" formatCode="&quot; up to &quot;0.00&quot;X EM to LP&quot;"/>
    </dxf>
    <dxf>
      <numFmt numFmtId="198" formatCode="&quot; up to &quot;0.00&quot;X EM to LP&quot;"/>
    </dxf>
    <dxf>
      <font>
        <color theme="0"/>
      </font>
      <fill>
        <patternFill patternType="none">
          <bgColor auto="1"/>
        </patternFill>
      </fill>
    </dxf>
    <dxf>
      <numFmt numFmtId="198" formatCode="&quot; up to &quot;0.00&quot;X EM to LP&quot;"/>
    </dxf>
    <dxf>
      <font>
        <color theme="0"/>
      </font>
      <numFmt numFmtId="0" formatCode="General"/>
      <fill>
        <patternFill patternType="none">
          <bgColor auto="1"/>
        </patternFill>
      </fill>
    </dxf>
    <dxf>
      <font>
        <color theme="9" tint="-0.24994659260841701"/>
      </font>
    </dxf>
    <dxf>
      <font>
        <color rgb="FF9C0006"/>
      </font>
      <fill>
        <patternFill>
          <bgColor rgb="FFFFC7CE"/>
        </patternFill>
      </fill>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ill>
        <patternFill>
          <bgColor theme="3" tint="0.59996337778862885"/>
        </patternFill>
      </fill>
      <border>
        <left style="thin">
          <color auto="1"/>
        </left>
        <right style="thin">
          <color auto="1"/>
        </right>
        <top style="thin">
          <color auto="1"/>
        </top>
        <bottom style="thin">
          <color auto="1"/>
        </bottom>
      </border>
    </dxf>
    <dxf>
      <fill>
        <patternFill>
          <bgColor theme="3" tint="0.59996337778862885"/>
        </patternFill>
      </fill>
      <border>
        <left style="thin">
          <color auto="1"/>
        </left>
        <right style="thin">
          <color auto="1"/>
        </right>
        <top style="thin">
          <color auto="1"/>
        </top>
        <bottom style="thin">
          <color auto="1"/>
        </bottom>
      </border>
    </dxf>
    <dxf>
      <font>
        <color rgb="FF0000FF"/>
      </font>
    </dxf>
    <dxf>
      <font>
        <color rgb="FF0000FF"/>
      </font>
    </dxf>
    <dxf>
      <font>
        <color rgb="FF0000FF"/>
      </font>
    </dxf>
    <dxf>
      <font>
        <color rgb="FF0000FF"/>
      </font>
    </dxf>
    <dxf>
      <font>
        <color rgb="FF0000FF"/>
      </font>
    </dxf>
  </dxfs>
  <tableStyles count="0" defaultTableStyle="TableStyleMedium2" defaultPivotStyle="PivotStyleLight16"/>
  <colors>
    <mruColors>
      <color rgb="FF0000FF"/>
      <color rgb="FFFF9E42"/>
      <color rgb="FF12457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hartsheet" Target="chartsheets/sheet1.xml"/><Relationship Id="rId18" Type="http://schemas.openxmlformats.org/officeDocument/2006/relationships/externalLink" Target="externalLinks/externalLink1.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6.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5.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4.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3.xml"/><Relationship Id="rId22" Type="http://schemas.microsoft.com/office/2017/10/relationships/person" Target="persons/person.xml"/><Relationship Id="rId27" Type="http://schemas.openxmlformats.org/officeDocument/2006/relationships/customXml" Target="../customXml/item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rotection>
    <c:chartObject val="0"/>
    <c:data val="0"/>
    <c:formatting val="0"/>
    <c:selection val="0"/>
    <c:userInterface val="0"/>
  </c:protection>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Historical</a:t>
            </a:r>
            <a:r>
              <a:rPr lang="en-US" baseline="0"/>
              <a:t> / Future Comparison</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1"/>
          <c:order val="0"/>
          <c:tx>
            <c:v>Income</c:v>
          </c:tx>
          <c:spPr>
            <a:solidFill>
              <a:schemeClr val="accent2"/>
            </a:solidFill>
            <a:ln>
              <a:noFill/>
            </a:ln>
            <a:effectLst/>
          </c:spPr>
          <c:invertIfNegative val="0"/>
          <c:cat>
            <c:strRef>
              <c:f>'IE SUMMARY'!$B$110:$H$110</c:f>
              <c:strCache>
                <c:ptCount val="7"/>
                <c:pt idx="0">
                  <c:v>2019</c:v>
                </c:pt>
                <c:pt idx="1">
                  <c:v>2020</c:v>
                </c:pt>
                <c:pt idx="2">
                  <c:v>2021</c:v>
                </c:pt>
                <c:pt idx="3">
                  <c:v>Trailing 12</c:v>
                </c:pt>
                <c:pt idx="4">
                  <c:v>2022 Ann.</c:v>
                </c:pt>
                <c:pt idx="5">
                  <c:v>Broker</c:v>
                </c:pt>
                <c:pt idx="6">
                  <c:v>BVG Yr 1</c:v>
                </c:pt>
              </c:strCache>
            </c:strRef>
          </c:cat>
          <c:val>
            <c:numRef>
              <c:f>('IE SUMMARY'!$B$26:$G$26,'IE SUMMARY'!$H$26)</c:f>
              <c:numCache>
                <c:formatCode>"$"#,##0_);[Red]\("$"#,##0\)</c:formatCode>
                <c:ptCount val="7"/>
                <c:pt idx="0">
                  <c:v>0</c:v>
                </c:pt>
                <c:pt idx="1">
                  <c:v>0</c:v>
                </c:pt>
                <c:pt idx="2">
                  <c:v>466220.35</c:v>
                </c:pt>
                <c:pt idx="3">
                  <c:v>0</c:v>
                </c:pt>
                <c:pt idx="4">
                  <c:v>0</c:v>
                </c:pt>
                <c:pt idx="5">
                  <c:v>0</c:v>
                </c:pt>
                <c:pt idx="6">
                  <c:v>484886.8</c:v>
                </c:pt>
              </c:numCache>
            </c:numRef>
          </c:val>
          <c:extLst>
            <c:ext xmlns:c16="http://schemas.microsoft.com/office/drawing/2014/chart" uri="{C3380CC4-5D6E-409C-BE32-E72D297353CC}">
              <c16:uniqueId val="{00000000-E7AA-441E-A5C0-0610D03FBD88}"/>
            </c:ext>
          </c:extLst>
        </c:ser>
        <c:ser>
          <c:idx val="2"/>
          <c:order val="1"/>
          <c:tx>
            <c:v>Expenses</c:v>
          </c:tx>
          <c:spPr>
            <a:solidFill>
              <a:schemeClr val="accent3"/>
            </a:solidFill>
            <a:ln>
              <a:noFill/>
            </a:ln>
            <a:effectLst/>
          </c:spPr>
          <c:invertIfNegative val="0"/>
          <c:cat>
            <c:strRef>
              <c:f>'IE SUMMARY'!$B$110:$H$110</c:f>
              <c:strCache>
                <c:ptCount val="7"/>
                <c:pt idx="0">
                  <c:v>2019</c:v>
                </c:pt>
                <c:pt idx="1">
                  <c:v>2020</c:v>
                </c:pt>
                <c:pt idx="2">
                  <c:v>2021</c:v>
                </c:pt>
                <c:pt idx="3">
                  <c:v>Trailing 12</c:v>
                </c:pt>
                <c:pt idx="4">
                  <c:v>2022 Ann.</c:v>
                </c:pt>
                <c:pt idx="5">
                  <c:v>Broker</c:v>
                </c:pt>
                <c:pt idx="6">
                  <c:v>BVG Yr 1</c:v>
                </c:pt>
              </c:strCache>
            </c:strRef>
          </c:cat>
          <c:val>
            <c:numRef>
              <c:f>('IE SUMMARY'!$B$56:$G$56,'IE SUMMARY'!$H$56)</c:f>
              <c:numCache>
                <c:formatCode>"$"#,##0_);[Red]\("$"#,##0\)</c:formatCode>
                <c:ptCount val="7"/>
                <c:pt idx="0">
                  <c:v>0</c:v>
                </c:pt>
                <c:pt idx="1">
                  <c:v>0</c:v>
                </c:pt>
                <c:pt idx="2">
                  <c:v>268373.3</c:v>
                </c:pt>
                <c:pt idx="3">
                  <c:v>0</c:v>
                </c:pt>
                <c:pt idx="4">
                  <c:v>0</c:v>
                </c:pt>
                <c:pt idx="5">
                  <c:v>294201</c:v>
                </c:pt>
                <c:pt idx="6">
                  <c:v>304188.50839999999</c:v>
                </c:pt>
              </c:numCache>
            </c:numRef>
          </c:val>
          <c:extLst>
            <c:ext xmlns:c16="http://schemas.microsoft.com/office/drawing/2014/chart" uri="{C3380CC4-5D6E-409C-BE32-E72D297353CC}">
              <c16:uniqueId val="{00000001-E7AA-441E-A5C0-0610D03FBD88}"/>
            </c:ext>
          </c:extLst>
        </c:ser>
        <c:ser>
          <c:idx val="0"/>
          <c:order val="2"/>
          <c:tx>
            <c:v>NOI</c:v>
          </c:tx>
          <c:spPr>
            <a:solidFill>
              <a:schemeClr val="accent1"/>
            </a:solidFill>
            <a:ln>
              <a:noFill/>
            </a:ln>
            <a:effectLst/>
          </c:spPr>
          <c:invertIfNegative val="0"/>
          <c:cat>
            <c:strRef>
              <c:f>'IE SUMMARY'!$B$110:$H$110</c:f>
              <c:strCache>
                <c:ptCount val="7"/>
                <c:pt idx="0">
                  <c:v>2019</c:v>
                </c:pt>
                <c:pt idx="1">
                  <c:v>2020</c:v>
                </c:pt>
                <c:pt idx="2">
                  <c:v>2021</c:v>
                </c:pt>
                <c:pt idx="3">
                  <c:v>Trailing 12</c:v>
                </c:pt>
                <c:pt idx="4">
                  <c:v>2022 Ann.</c:v>
                </c:pt>
                <c:pt idx="5">
                  <c:v>Broker</c:v>
                </c:pt>
                <c:pt idx="6">
                  <c:v>BVG Yr 1</c:v>
                </c:pt>
              </c:strCache>
            </c:strRef>
          </c:cat>
          <c:val>
            <c:numRef>
              <c:f>('IE SUMMARY'!$B$61:$G$61,'IE SUMMARY'!$H$61)</c:f>
              <c:numCache>
                <c:formatCode>"$"#,##0_);[Red]\("$"#,##0\)</c:formatCode>
                <c:ptCount val="7"/>
                <c:pt idx="0">
                  <c:v>0</c:v>
                </c:pt>
                <c:pt idx="1">
                  <c:v>0</c:v>
                </c:pt>
                <c:pt idx="2">
                  <c:v>197847.05</c:v>
                </c:pt>
                <c:pt idx="3">
                  <c:v>0</c:v>
                </c:pt>
                <c:pt idx="4">
                  <c:v>0</c:v>
                </c:pt>
                <c:pt idx="5">
                  <c:v>-294201</c:v>
                </c:pt>
                <c:pt idx="6">
                  <c:v>180698.2916</c:v>
                </c:pt>
              </c:numCache>
            </c:numRef>
          </c:val>
          <c:extLst>
            <c:ext xmlns:c16="http://schemas.microsoft.com/office/drawing/2014/chart" uri="{C3380CC4-5D6E-409C-BE32-E72D297353CC}">
              <c16:uniqueId val="{00000002-E7AA-441E-A5C0-0610D03FBD88}"/>
            </c:ext>
          </c:extLst>
        </c:ser>
        <c:dLbls>
          <c:showLegendKey val="0"/>
          <c:showVal val="0"/>
          <c:showCatName val="0"/>
          <c:showSerName val="0"/>
          <c:showPercent val="0"/>
          <c:showBubbleSize val="0"/>
        </c:dLbls>
        <c:gapWidth val="150"/>
        <c:axId val="-68998656"/>
        <c:axId val="-69004096"/>
      </c:barChart>
      <c:catAx>
        <c:axId val="-689986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69004096"/>
        <c:crosses val="autoZero"/>
        <c:auto val="1"/>
        <c:lblAlgn val="ctr"/>
        <c:lblOffset val="100"/>
        <c:noMultiLvlLbl val="0"/>
      </c:catAx>
      <c:valAx>
        <c:axId val="-69004096"/>
        <c:scaling>
          <c:orientation val="minMax"/>
        </c:scaling>
        <c:delete val="0"/>
        <c:axPos val="l"/>
        <c:majorGridlines>
          <c:spPr>
            <a:ln w="9525" cap="flat" cmpd="sng" algn="ctr">
              <a:solidFill>
                <a:schemeClr val="tx1">
                  <a:lumMod val="15000"/>
                  <a:lumOff val="85000"/>
                </a:schemeClr>
              </a:solidFill>
              <a:round/>
            </a:ln>
            <a:effectLst/>
          </c:spPr>
        </c:majorGridlines>
        <c:numFmt formatCode="&quot;$&quot;#,##0_);[Red]\(&quot;$&quot;#,##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899865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a:t>Historical Expense Comparison</a:t>
            </a:r>
          </a:p>
        </c:rich>
      </c:tx>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'IE SUMMARY'!$B$31</c:f>
              <c:strCache>
                <c:ptCount val="1"/>
                <c:pt idx="0">
                  <c:v>2019</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cene3d>
              <a:camera prst="orthographicFront">
                <a:rot lat="0" lon="0" rev="0"/>
              </a:camera>
              <a:lightRig rig="threePt" dir="t">
                <a:rot lat="0" lon="0" rev="1200000"/>
              </a:lightRig>
            </a:scene3d>
            <a:sp3d>
              <a:bevelT w="63500" h="25400"/>
            </a:sp3d>
          </c:spPr>
          <c:invertIfNegative val="0"/>
          <c:cat>
            <c:strRef>
              <c:f>'IE SUMMARY'!$A$32:$A$55</c:f>
              <c:strCache>
                <c:ptCount val="24"/>
                <c:pt idx="0">
                  <c:v>Manager/Maint Salary Expense</c:v>
                </c:pt>
                <c:pt idx="1">
                  <c:v>Payroll Taxes</c:v>
                </c:pt>
                <c:pt idx="2">
                  <c:v>Workers Comp</c:v>
                </c:pt>
                <c:pt idx="3">
                  <c:v>Electric</c:v>
                </c:pt>
                <c:pt idx="4">
                  <c:v>Gas</c:v>
                </c:pt>
                <c:pt idx="5">
                  <c:v>Trash</c:v>
                </c:pt>
                <c:pt idx="6">
                  <c:v>Sewer-septic</c:v>
                </c:pt>
                <c:pt idx="7">
                  <c:v>Water </c:v>
                </c:pt>
                <c:pt idx="8">
                  <c:v>Phone/Cable </c:v>
                </c:pt>
                <c:pt idx="9">
                  <c:v>Auto expense &amp; travel</c:v>
                </c:pt>
                <c:pt idx="10">
                  <c:v>Maintenance $250 per space </c:v>
                </c:pt>
                <c:pt idx="11">
                  <c:v>Outside Services -plumbing, electrical, etc</c:v>
                </c:pt>
                <c:pt idx="12">
                  <c:v>Landscape, pool, &amp; sweeping maintenance &amp; supplies</c:v>
                </c:pt>
                <c:pt idx="13">
                  <c:v>Property Taxes </c:v>
                </c:pt>
                <c:pt idx="14">
                  <c:v>Insurance </c:v>
                </c:pt>
                <c:pt idx="15">
                  <c:v>Billing Software</c:v>
                </c:pt>
                <c:pt idx="16">
                  <c:v>Legal Expenses</c:v>
                </c:pt>
                <c:pt idx="17">
                  <c:v>LLC/LP Tax</c:v>
                </c:pt>
                <c:pt idx="18">
                  <c:v>Advertising</c:v>
                </c:pt>
                <c:pt idx="19">
                  <c:v>Tax Return Preparation/accounting</c:v>
                </c:pt>
                <c:pt idx="20">
                  <c:v>Licenses and Permits</c:v>
                </c:pt>
                <c:pt idx="21">
                  <c:v>Banking and Merchant fees (est)</c:v>
                </c:pt>
                <c:pt idx="22">
                  <c:v>Office Supplies, Postage, Pager, Printing, dues, subscr, Misc.</c:v>
                </c:pt>
                <c:pt idx="23">
                  <c:v>Professional Mgmt </c:v>
                </c:pt>
              </c:strCache>
            </c:strRef>
          </c:cat>
          <c:val>
            <c:numRef>
              <c:f>'IE SUMMARY'!$B$32:$B$55</c:f>
              <c:numCache>
                <c:formatCode>"$"#,##0_);[Red]\("$"#,##0\)</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numCache>
            </c:numRef>
          </c:val>
          <c:extLst>
            <c:ext xmlns:c16="http://schemas.microsoft.com/office/drawing/2014/chart" uri="{C3380CC4-5D6E-409C-BE32-E72D297353CC}">
              <c16:uniqueId val="{00000000-8C16-44D1-B4ED-52863D21BCB7}"/>
            </c:ext>
          </c:extLst>
        </c:ser>
        <c:ser>
          <c:idx val="1"/>
          <c:order val="1"/>
          <c:tx>
            <c:strRef>
              <c:f>'IE SUMMARY'!$C$31</c:f>
              <c:strCache>
                <c:ptCount val="1"/>
                <c:pt idx="0">
                  <c:v>2020</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cene3d>
              <a:camera prst="orthographicFront">
                <a:rot lat="0" lon="0" rev="0"/>
              </a:camera>
              <a:lightRig rig="threePt" dir="t">
                <a:rot lat="0" lon="0" rev="1200000"/>
              </a:lightRig>
            </a:scene3d>
            <a:sp3d>
              <a:bevelT w="63500" h="25400"/>
            </a:sp3d>
          </c:spPr>
          <c:invertIfNegative val="0"/>
          <c:cat>
            <c:strRef>
              <c:f>'IE SUMMARY'!$A$32:$A$55</c:f>
              <c:strCache>
                <c:ptCount val="24"/>
                <c:pt idx="0">
                  <c:v>Manager/Maint Salary Expense</c:v>
                </c:pt>
                <c:pt idx="1">
                  <c:v>Payroll Taxes</c:v>
                </c:pt>
                <c:pt idx="2">
                  <c:v>Workers Comp</c:v>
                </c:pt>
                <c:pt idx="3">
                  <c:v>Electric</c:v>
                </c:pt>
                <c:pt idx="4">
                  <c:v>Gas</c:v>
                </c:pt>
                <c:pt idx="5">
                  <c:v>Trash</c:v>
                </c:pt>
                <c:pt idx="6">
                  <c:v>Sewer-septic</c:v>
                </c:pt>
                <c:pt idx="7">
                  <c:v>Water </c:v>
                </c:pt>
                <c:pt idx="8">
                  <c:v>Phone/Cable </c:v>
                </c:pt>
                <c:pt idx="9">
                  <c:v>Auto expense &amp; travel</c:v>
                </c:pt>
                <c:pt idx="10">
                  <c:v>Maintenance $250 per space </c:v>
                </c:pt>
                <c:pt idx="11">
                  <c:v>Outside Services -plumbing, electrical, etc</c:v>
                </c:pt>
                <c:pt idx="12">
                  <c:v>Landscape, pool, &amp; sweeping maintenance &amp; supplies</c:v>
                </c:pt>
                <c:pt idx="13">
                  <c:v>Property Taxes </c:v>
                </c:pt>
                <c:pt idx="14">
                  <c:v>Insurance </c:v>
                </c:pt>
                <c:pt idx="15">
                  <c:v>Billing Software</c:v>
                </c:pt>
                <c:pt idx="16">
                  <c:v>Legal Expenses</c:v>
                </c:pt>
                <c:pt idx="17">
                  <c:v>LLC/LP Tax</c:v>
                </c:pt>
                <c:pt idx="18">
                  <c:v>Advertising</c:v>
                </c:pt>
                <c:pt idx="19">
                  <c:v>Tax Return Preparation/accounting</c:v>
                </c:pt>
                <c:pt idx="20">
                  <c:v>Licenses and Permits</c:v>
                </c:pt>
                <c:pt idx="21">
                  <c:v>Banking and Merchant fees (est)</c:v>
                </c:pt>
                <c:pt idx="22">
                  <c:v>Office Supplies, Postage, Pager, Printing, dues, subscr, Misc.</c:v>
                </c:pt>
                <c:pt idx="23">
                  <c:v>Professional Mgmt </c:v>
                </c:pt>
              </c:strCache>
            </c:strRef>
          </c:cat>
          <c:val>
            <c:numRef>
              <c:f>'IE SUMMARY'!$C$32:$C$55</c:f>
              <c:numCache>
                <c:formatCode>"$"#,##0_);[Red]\("$"#,##0\)</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numCache>
            </c:numRef>
          </c:val>
          <c:extLst>
            <c:ext xmlns:c16="http://schemas.microsoft.com/office/drawing/2014/chart" uri="{C3380CC4-5D6E-409C-BE32-E72D297353CC}">
              <c16:uniqueId val="{00000001-8C16-44D1-B4ED-52863D21BCB7}"/>
            </c:ext>
          </c:extLst>
        </c:ser>
        <c:ser>
          <c:idx val="2"/>
          <c:order val="2"/>
          <c:tx>
            <c:strRef>
              <c:f>'IE SUMMARY'!$D$31</c:f>
              <c:strCache>
                <c:ptCount val="1"/>
                <c:pt idx="0">
                  <c:v>2021</c:v>
                </c:pt>
              </c:strCache>
            </c:strRef>
          </c:tx>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cene3d>
              <a:camera prst="orthographicFront">
                <a:rot lat="0" lon="0" rev="0"/>
              </a:camera>
              <a:lightRig rig="threePt" dir="t">
                <a:rot lat="0" lon="0" rev="1200000"/>
              </a:lightRig>
            </a:scene3d>
            <a:sp3d>
              <a:bevelT w="63500" h="25400"/>
            </a:sp3d>
          </c:spPr>
          <c:invertIfNegative val="0"/>
          <c:cat>
            <c:strRef>
              <c:f>'IE SUMMARY'!$A$32:$A$55</c:f>
              <c:strCache>
                <c:ptCount val="24"/>
                <c:pt idx="0">
                  <c:v>Manager/Maint Salary Expense</c:v>
                </c:pt>
                <c:pt idx="1">
                  <c:v>Payroll Taxes</c:v>
                </c:pt>
                <c:pt idx="2">
                  <c:v>Workers Comp</c:v>
                </c:pt>
                <c:pt idx="3">
                  <c:v>Electric</c:v>
                </c:pt>
                <c:pt idx="4">
                  <c:v>Gas</c:v>
                </c:pt>
                <c:pt idx="5">
                  <c:v>Trash</c:v>
                </c:pt>
                <c:pt idx="6">
                  <c:v>Sewer-septic</c:v>
                </c:pt>
                <c:pt idx="7">
                  <c:v>Water </c:v>
                </c:pt>
                <c:pt idx="8">
                  <c:v>Phone/Cable </c:v>
                </c:pt>
                <c:pt idx="9">
                  <c:v>Auto expense &amp; travel</c:v>
                </c:pt>
                <c:pt idx="10">
                  <c:v>Maintenance $250 per space </c:v>
                </c:pt>
                <c:pt idx="11">
                  <c:v>Outside Services -plumbing, electrical, etc</c:v>
                </c:pt>
                <c:pt idx="12">
                  <c:v>Landscape, pool, &amp; sweeping maintenance &amp; supplies</c:v>
                </c:pt>
                <c:pt idx="13">
                  <c:v>Property Taxes </c:v>
                </c:pt>
                <c:pt idx="14">
                  <c:v>Insurance </c:v>
                </c:pt>
                <c:pt idx="15">
                  <c:v>Billing Software</c:v>
                </c:pt>
                <c:pt idx="16">
                  <c:v>Legal Expenses</c:v>
                </c:pt>
                <c:pt idx="17">
                  <c:v>LLC/LP Tax</c:v>
                </c:pt>
                <c:pt idx="18">
                  <c:v>Advertising</c:v>
                </c:pt>
                <c:pt idx="19">
                  <c:v>Tax Return Preparation/accounting</c:v>
                </c:pt>
                <c:pt idx="20">
                  <c:v>Licenses and Permits</c:v>
                </c:pt>
                <c:pt idx="21">
                  <c:v>Banking and Merchant fees (est)</c:v>
                </c:pt>
                <c:pt idx="22">
                  <c:v>Office Supplies, Postage, Pager, Printing, dues, subscr, Misc.</c:v>
                </c:pt>
                <c:pt idx="23">
                  <c:v>Professional Mgmt </c:v>
                </c:pt>
              </c:strCache>
            </c:strRef>
          </c:cat>
          <c:val>
            <c:numRef>
              <c:f>'IE SUMMARY'!$D$32:$D$55</c:f>
              <c:numCache>
                <c:formatCode>"$"#,##0_);[Red]\("$"#,##0\)</c:formatCode>
                <c:ptCount val="24"/>
                <c:pt idx="0">
                  <c:v>37875.879999999997</c:v>
                </c:pt>
                <c:pt idx="1">
                  <c:v>0</c:v>
                </c:pt>
                <c:pt idx="2">
                  <c:v>5702</c:v>
                </c:pt>
                <c:pt idx="3">
                  <c:v>4588.75</c:v>
                </c:pt>
                <c:pt idx="4">
                  <c:v>1038.8499999999999</c:v>
                </c:pt>
                <c:pt idx="5">
                  <c:v>25393.64</c:v>
                </c:pt>
                <c:pt idx="6">
                  <c:v>31358.97</c:v>
                </c:pt>
                <c:pt idx="7">
                  <c:v>29221.96</c:v>
                </c:pt>
                <c:pt idx="8">
                  <c:v>6159.7899999999991</c:v>
                </c:pt>
                <c:pt idx="9">
                  <c:v>2727.25</c:v>
                </c:pt>
                <c:pt idx="10">
                  <c:v>36709.519999999997</c:v>
                </c:pt>
                <c:pt idx="11">
                  <c:v>1013</c:v>
                </c:pt>
                <c:pt idx="12">
                  <c:v>23852.53</c:v>
                </c:pt>
                <c:pt idx="13">
                  <c:v>39744.04</c:v>
                </c:pt>
                <c:pt idx="14">
                  <c:v>7711.74</c:v>
                </c:pt>
                <c:pt idx="15">
                  <c:v>0</c:v>
                </c:pt>
                <c:pt idx="16">
                  <c:v>554.20000000000005</c:v>
                </c:pt>
                <c:pt idx="17">
                  <c:v>0</c:v>
                </c:pt>
                <c:pt idx="18">
                  <c:v>0</c:v>
                </c:pt>
                <c:pt idx="19">
                  <c:v>2647.12</c:v>
                </c:pt>
                <c:pt idx="20">
                  <c:v>3219</c:v>
                </c:pt>
                <c:pt idx="21">
                  <c:v>24</c:v>
                </c:pt>
                <c:pt idx="22">
                  <c:v>8831.06</c:v>
                </c:pt>
                <c:pt idx="23">
                  <c:v>0</c:v>
                </c:pt>
              </c:numCache>
            </c:numRef>
          </c:val>
          <c:extLst>
            <c:ext xmlns:c16="http://schemas.microsoft.com/office/drawing/2014/chart" uri="{C3380CC4-5D6E-409C-BE32-E72D297353CC}">
              <c16:uniqueId val="{00000002-8C16-44D1-B4ED-52863D21BCB7}"/>
            </c:ext>
          </c:extLst>
        </c:ser>
        <c:ser>
          <c:idx val="3"/>
          <c:order val="3"/>
          <c:tx>
            <c:strRef>
              <c:f>'IE SUMMARY'!$E$31</c:f>
              <c:strCache>
                <c:ptCount val="1"/>
                <c:pt idx="0">
                  <c:v>Trailing 12</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cene3d>
              <a:camera prst="orthographicFront">
                <a:rot lat="0" lon="0" rev="0"/>
              </a:camera>
              <a:lightRig rig="threePt" dir="t">
                <a:rot lat="0" lon="0" rev="1200000"/>
              </a:lightRig>
            </a:scene3d>
            <a:sp3d>
              <a:bevelT w="63500" h="25400"/>
            </a:sp3d>
          </c:spPr>
          <c:invertIfNegative val="0"/>
          <c:cat>
            <c:strRef>
              <c:f>'IE SUMMARY'!$A$32:$A$55</c:f>
              <c:strCache>
                <c:ptCount val="24"/>
                <c:pt idx="0">
                  <c:v>Manager/Maint Salary Expense</c:v>
                </c:pt>
                <c:pt idx="1">
                  <c:v>Payroll Taxes</c:v>
                </c:pt>
                <c:pt idx="2">
                  <c:v>Workers Comp</c:v>
                </c:pt>
                <c:pt idx="3">
                  <c:v>Electric</c:v>
                </c:pt>
                <c:pt idx="4">
                  <c:v>Gas</c:v>
                </c:pt>
                <c:pt idx="5">
                  <c:v>Trash</c:v>
                </c:pt>
                <c:pt idx="6">
                  <c:v>Sewer-septic</c:v>
                </c:pt>
                <c:pt idx="7">
                  <c:v>Water </c:v>
                </c:pt>
                <c:pt idx="8">
                  <c:v>Phone/Cable </c:v>
                </c:pt>
                <c:pt idx="9">
                  <c:v>Auto expense &amp; travel</c:v>
                </c:pt>
                <c:pt idx="10">
                  <c:v>Maintenance $250 per space </c:v>
                </c:pt>
                <c:pt idx="11">
                  <c:v>Outside Services -plumbing, electrical, etc</c:v>
                </c:pt>
                <c:pt idx="12">
                  <c:v>Landscape, pool, &amp; sweeping maintenance &amp; supplies</c:v>
                </c:pt>
                <c:pt idx="13">
                  <c:v>Property Taxes </c:v>
                </c:pt>
                <c:pt idx="14">
                  <c:v>Insurance </c:v>
                </c:pt>
                <c:pt idx="15">
                  <c:v>Billing Software</c:v>
                </c:pt>
                <c:pt idx="16">
                  <c:v>Legal Expenses</c:v>
                </c:pt>
                <c:pt idx="17">
                  <c:v>LLC/LP Tax</c:v>
                </c:pt>
                <c:pt idx="18">
                  <c:v>Advertising</c:v>
                </c:pt>
                <c:pt idx="19">
                  <c:v>Tax Return Preparation/accounting</c:v>
                </c:pt>
                <c:pt idx="20">
                  <c:v>Licenses and Permits</c:v>
                </c:pt>
                <c:pt idx="21">
                  <c:v>Banking and Merchant fees (est)</c:v>
                </c:pt>
                <c:pt idx="22">
                  <c:v>Office Supplies, Postage, Pager, Printing, dues, subscr, Misc.</c:v>
                </c:pt>
                <c:pt idx="23">
                  <c:v>Professional Mgmt </c:v>
                </c:pt>
              </c:strCache>
            </c:strRef>
          </c:cat>
          <c:val>
            <c:numRef>
              <c:f>'IE SUMMARY'!$E$32:$E$55</c:f>
              <c:numCache>
                <c:formatCode>"$"#,##0_);[Red]\("$"#,##0\)</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numCache>
            </c:numRef>
          </c:val>
          <c:extLst>
            <c:ext xmlns:c16="http://schemas.microsoft.com/office/drawing/2014/chart" uri="{C3380CC4-5D6E-409C-BE32-E72D297353CC}">
              <c16:uniqueId val="{00000003-8C16-44D1-B4ED-52863D21BCB7}"/>
            </c:ext>
          </c:extLst>
        </c:ser>
        <c:ser>
          <c:idx val="4"/>
          <c:order val="4"/>
          <c:tx>
            <c:strRef>
              <c:f>'IE SUMMARY'!$F$31</c:f>
              <c:strCache>
                <c:ptCount val="1"/>
                <c:pt idx="0">
                  <c:v>2022 Annualized</c:v>
                </c:pt>
              </c:strCache>
            </c:strRef>
          </c:tx>
          <c:spPr>
            <a:gradFill rotWithShape="1">
              <a:gsLst>
                <a:gs pos="0">
                  <a:schemeClr val="accent5">
                    <a:satMod val="103000"/>
                    <a:lumMod val="102000"/>
                    <a:tint val="94000"/>
                  </a:schemeClr>
                </a:gs>
                <a:gs pos="50000">
                  <a:schemeClr val="accent5">
                    <a:satMod val="110000"/>
                    <a:lumMod val="100000"/>
                    <a:shade val="100000"/>
                  </a:schemeClr>
                </a:gs>
                <a:gs pos="100000">
                  <a:schemeClr val="accent5">
                    <a:lumMod val="99000"/>
                    <a:satMod val="120000"/>
                    <a:shade val="78000"/>
                  </a:schemeClr>
                </a:gs>
              </a:gsLst>
              <a:lin ang="5400000" scaled="0"/>
            </a:gradFill>
            <a:ln>
              <a:noFill/>
            </a:ln>
            <a:effectLst>
              <a:outerShdw blurRad="57150" dist="19050" dir="5400000" algn="ctr" rotWithShape="0">
                <a:srgbClr val="000000">
                  <a:alpha val="63000"/>
                </a:srgbClr>
              </a:outerShdw>
            </a:effectLst>
            <a:scene3d>
              <a:camera prst="orthographicFront">
                <a:rot lat="0" lon="0" rev="0"/>
              </a:camera>
              <a:lightRig rig="threePt" dir="t">
                <a:rot lat="0" lon="0" rev="1200000"/>
              </a:lightRig>
            </a:scene3d>
            <a:sp3d>
              <a:bevelT w="63500" h="25400"/>
            </a:sp3d>
          </c:spPr>
          <c:invertIfNegative val="0"/>
          <c:cat>
            <c:strRef>
              <c:f>'IE SUMMARY'!$A$32:$A$55</c:f>
              <c:strCache>
                <c:ptCount val="24"/>
                <c:pt idx="0">
                  <c:v>Manager/Maint Salary Expense</c:v>
                </c:pt>
                <c:pt idx="1">
                  <c:v>Payroll Taxes</c:v>
                </c:pt>
                <c:pt idx="2">
                  <c:v>Workers Comp</c:v>
                </c:pt>
                <c:pt idx="3">
                  <c:v>Electric</c:v>
                </c:pt>
                <c:pt idx="4">
                  <c:v>Gas</c:v>
                </c:pt>
                <c:pt idx="5">
                  <c:v>Trash</c:v>
                </c:pt>
                <c:pt idx="6">
                  <c:v>Sewer-septic</c:v>
                </c:pt>
                <c:pt idx="7">
                  <c:v>Water </c:v>
                </c:pt>
                <c:pt idx="8">
                  <c:v>Phone/Cable </c:v>
                </c:pt>
                <c:pt idx="9">
                  <c:v>Auto expense &amp; travel</c:v>
                </c:pt>
                <c:pt idx="10">
                  <c:v>Maintenance $250 per space </c:v>
                </c:pt>
                <c:pt idx="11">
                  <c:v>Outside Services -plumbing, electrical, etc</c:v>
                </c:pt>
                <c:pt idx="12">
                  <c:v>Landscape, pool, &amp; sweeping maintenance &amp; supplies</c:v>
                </c:pt>
                <c:pt idx="13">
                  <c:v>Property Taxes </c:v>
                </c:pt>
                <c:pt idx="14">
                  <c:v>Insurance </c:v>
                </c:pt>
                <c:pt idx="15">
                  <c:v>Billing Software</c:v>
                </c:pt>
                <c:pt idx="16">
                  <c:v>Legal Expenses</c:v>
                </c:pt>
                <c:pt idx="17">
                  <c:v>LLC/LP Tax</c:v>
                </c:pt>
                <c:pt idx="18">
                  <c:v>Advertising</c:v>
                </c:pt>
                <c:pt idx="19">
                  <c:v>Tax Return Preparation/accounting</c:v>
                </c:pt>
                <c:pt idx="20">
                  <c:v>Licenses and Permits</c:v>
                </c:pt>
                <c:pt idx="21">
                  <c:v>Banking and Merchant fees (est)</c:v>
                </c:pt>
                <c:pt idx="22">
                  <c:v>Office Supplies, Postage, Pager, Printing, dues, subscr, Misc.</c:v>
                </c:pt>
                <c:pt idx="23">
                  <c:v>Professional Mgmt </c:v>
                </c:pt>
              </c:strCache>
            </c:strRef>
          </c:cat>
          <c:val>
            <c:numRef>
              <c:f>'IE SUMMARY'!$F$32:$F$55</c:f>
              <c:numCache>
                <c:formatCode>"$"#,##0_);[Red]\("$"#,##0\)</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numCache>
            </c:numRef>
          </c:val>
          <c:extLst>
            <c:ext xmlns:c16="http://schemas.microsoft.com/office/drawing/2014/chart" uri="{C3380CC4-5D6E-409C-BE32-E72D297353CC}">
              <c16:uniqueId val="{00000004-8C16-44D1-B4ED-52863D21BCB7}"/>
            </c:ext>
          </c:extLst>
        </c:ser>
        <c:ser>
          <c:idx val="5"/>
          <c:order val="5"/>
          <c:tx>
            <c:strRef>
              <c:f>'IE SUMMARY'!$G$31</c:f>
              <c:strCache>
                <c:ptCount val="1"/>
                <c:pt idx="0">
                  <c:v>Broker Projection</c:v>
                </c:pt>
              </c:strCache>
            </c:strRef>
          </c:tx>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a:scene3d>
              <a:camera prst="orthographicFront">
                <a:rot lat="0" lon="0" rev="0"/>
              </a:camera>
              <a:lightRig rig="threePt" dir="t">
                <a:rot lat="0" lon="0" rev="1200000"/>
              </a:lightRig>
            </a:scene3d>
            <a:sp3d>
              <a:bevelT w="63500" h="25400"/>
            </a:sp3d>
          </c:spPr>
          <c:invertIfNegative val="0"/>
          <c:cat>
            <c:strRef>
              <c:f>'IE SUMMARY'!$A$32:$A$55</c:f>
              <c:strCache>
                <c:ptCount val="24"/>
                <c:pt idx="0">
                  <c:v>Manager/Maint Salary Expense</c:v>
                </c:pt>
                <c:pt idx="1">
                  <c:v>Payroll Taxes</c:v>
                </c:pt>
                <c:pt idx="2">
                  <c:v>Workers Comp</c:v>
                </c:pt>
                <c:pt idx="3">
                  <c:v>Electric</c:v>
                </c:pt>
                <c:pt idx="4">
                  <c:v>Gas</c:v>
                </c:pt>
                <c:pt idx="5">
                  <c:v>Trash</c:v>
                </c:pt>
                <c:pt idx="6">
                  <c:v>Sewer-septic</c:v>
                </c:pt>
                <c:pt idx="7">
                  <c:v>Water </c:v>
                </c:pt>
                <c:pt idx="8">
                  <c:v>Phone/Cable </c:v>
                </c:pt>
                <c:pt idx="9">
                  <c:v>Auto expense &amp; travel</c:v>
                </c:pt>
                <c:pt idx="10">
                  <c:v>Maintenance $250 per space </c:v>
                </c:pt>
                <c:pt idx="11">
                  <c:v>Outside Services -plumbing, electrical, etc</c:v>
                </c:pt>
                <c:pt idx="12">
                  <c:v>Landscape, pool, &amp; sweeping maintenance &amp; supplies</c:v>
                </c:pt>
                <c:pt idx="13">
                  <c:v>Property Taxes </c:v>
                </c:pt>
                <c:pt idx="14">
                  <c:v>Insurance </c:v>
                </c:pt>
                <c:pt idx="15">
                  <c:v>Billing Software</c:v>
                </c:pt>
                <c:pt idx="16">
                  <c:v>Legal Expenses</c:v>
                </c:pt>
                <c:pt idx="17">
                  <c:v>LLC/LP Tax</c:v>
                </c:pt>
                <c:pt idx="18">
                  <c:v>Advertising</c:v>
                </c:pt>
                <c:pt idx="19">
                  <c:v>Tax Return Preparation/accounting</c:v>
                </c:pt>
                <c:pt idx="20">
                  <c:v>Licenses and Permits</c:v>
                </c:pt>
                <c:pt idx="21">
                  <c:v>Banking and Merchant fees (est)</c:v>
                </c:pt>
                <c:pt idx="22">
                  <c:v>Office Supplies, Postage, Pager, Printing, dues, subscr, Misc.</c:v>
                </c:pt>
                <c:pt idx="23">
                  <c:v>Professional Mgmt </c:v>
                </c:pt>
              </c:strCache>
            </c:strRef>
          </c:cat>
          <c:val>
            <c:numRef>
              <c:f>'IE SUMMARY'!$G$32:$G$55</c:f>
              <c:numCache>
                <c:formatCode>"$"#,##0_);[Red]\("$"#,##0\)</c:formatCode>
                <c:ptCount val="24"/>
                <c:pt idx="0">
                  <c:v>37875</c:v>
                </c:pt>
                <c:pt idx="1">
                  <c:v>0</c:v>
                </c:pt>
                <c:pt idx="2">
                  <c:v>5702</c:v>
                </c:pt>
                <c:pt idx="3">
                  <c:v>91602</c:v>
                </c:pt>
                <c:pt idx="4">
                  <c:v>0</c:v>
                </c:pt>
                <c:pt idx="5">
                  <c:v>0</c:v>
                </c:pt>
                <c:pt idx="6">
                  <c:v>0</c:v>
                </c:pt>
                <c:pt idx="7">
                  <c:v>0</c:v>
                </c:pt>
                <c:pt idx="8">
                  <c:v>1645</c:v>
                </c:pt>
                <c:pt idx="9">
                  <c:v>0</c:v>
                </c:pt>
                <c:pt idx="10">
                  <c:v>37102</c:v>
                </c:pt>
                <c:pt idx="11">
                  <c:v>1013</c:v>
                </c:pt>
                <c:pt idx="12">
                  <c:v>23852</c:v>
                </c:pt>
                <c:pt idx="13">
                  <c:v>74750</c:v>
                </c:pt>
                <c:pt idx="14">
                  <c:v>7711</c:v>
                </c:pt>
                <c:pt idx="15">
                  <c:v>0</c:v>
                </c:pt>
                <c:pt idx="16">
                  <c:v>0</c:v>
                </c:pt>
                <c:pt idx="17">
                  <c:v>0</c:v>
                </c:pt>
                <c:pt idx="18">
                  <c:v>0</c:v>
                </c:pt>
                <c:pt idx="19">
                  <c:v>0</c:v>
                </c:pt>
                <c:pt idx="20">
                  <c:v>3219</c:v>
                </c:pt>
                <c:pt idx="21">
                  <c:v>0</c:v>
                </c:pt>
                <c:pt idx="22">
                  <c:v>9730</c:v>
                </c:pt>
                <c:pt idx="23">
                  <c:v>0</c:v>
                </c:pt>
              </c:numCache>
            </c:numRef>
          </c:val>
          <c:extLst>
            <c:ext xmlns:c16="http://schemas.microsoft.com/office/drawing/2014/chart" uri="{C3380CC4-5D6E-409C-BE32-E72D297353CC}">
              <c16:uniqueId val="{00000005-8C16-44D1-B4ED-52863D21BCB7}"/>
            </c:ext>
          </c:extLst>
        </c:ser>
        <c:ser>
          <c:idx val="6"/>
          <c:order val="6"/>
          <c:tx>
            <c:strRef>
              <c:f>'IE SUMMARY'!$H$31</c:f>
              <c:strCache>
                <c:ptCount val="1"/>
                <c:pt idx="0">
                  <c:v>BVG Yr 1 Projection</c:v>
                </c:pt>
              </c:strCache>
            </c:strRef>
          </c:tx>
          <c:spPr>
            <a:gradFill rotWithShape="1">
              <a:gsLst>
                <a:gs pos="0">
                  <a:schemeClr val="accent1">
                    <a:lumMod val="60000"/>
                    <a:satMod val="103000"/>
                    <a:lumMod val="102000"/>
                    <a:tint val="94000"/>
                  </a:schemeClr>
                </a:gs>
                <a:gs pos="50000">
                  <a:schemeClr val="accent1">
                    <a:lumMod val="60000"/>
                    <a:satMod val="110000"/>
                    <a:lumMod val="100000"/>
                    <a:shade val="100000"/>
                  </a:schemeClr>
                </a:gs>
                <a:gs pos="100000">
                  <a:schemeClr val="accent1">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a:scene3d>
              <a:camera prst="orthographicFront">
                <a:rot lat="0" lon="0" rev="0"/>
              </a:camera>
              <a:lightRig rig="threePt" dir="t">
                <a:rot lat="0" lon="0" rev="1200000"/>
              </a:lightRig>
            </a:scene3d>
            <a:sp3d>
              <a:bevelT w="63500" h="25400"/>
            </a:sp3d>
          </c:spPr>
          <c:invertIfNegative val="0"/>
          <c:cat>
            <c:strRef>
              <c:f>'IE SUMMARY'!$A$32:$A$55</c:f>
              <c:strCache>
                <c:ptCount val="24"/>
                <c:pt idx="0">
                  <c:v>Manager/Maint Salary Expense</c:v>
                </c:pt>
                <c:pt idx="1">
                  <c:v>Payroll Taxes</c:v>
                </c:pt>
                <c:pt idx="2">
                  <c:v>Workers Comp</c:v>
                </c:pt>
                <c:pt idx="3">
                  <c:v>Electric</c:v>
                </c:pt>
                <c:pt idx="4">
                  <c:v>Gas</c:v>
                </c:pt>
                <c:pt idx="5">
                  <c:v>Trash</c:v>
                </c:pt>
                <c:pt idx="6">
                  <c:v>Sewer-septic</c:v>
                </c:pt>
                <c:pt idx="7">
                  <c:v>Water </c:v>
                </c:pt>
                <c:pt idx="8">
                  <c:v>Phone/Cable </c:v>
                </c:pt>
                <c:pt idx="9">
                  <c:v>Auto expense &amp; travel</c:v>
                </c:pt>
                <c:pt idx="10">
                  <c:v>Maintenance $250 per space </c:v>
                </c:pt>
                <c:pt idx="11">
                  <c:v>Outside Services -plumbing, electrical, etc</c:v>
                </c:pt>
                <c:pt idx="12">
                  <c:v>Landscape, pool, &amp; sweeping maintenance &amp; supplies</c:v>
                </c:pt>
                <c:pt idx="13">
                  <c:v>Property Taxes </c:v>
                </c:pt>
                <c:pt idx="14">
                  <c:v>Insurance </c:v>
                </c:pt>
                <c:pt idx="15">
                  <c:v>Billing Software</c:v>
                </c:pt>
                <c:pt idx="16">
                  <c:v>Legal Expenses</c:v>
                </c:pt>
                <c:pt idx="17">
                  <c:v>LLC/LP Tax</c:v>
                </c:pt>
                <c:pt idx="18">
                  <c:v>Advertising</c:v>
                </c:pt>
                <c:pt idx="19">
                  <c:v>Tax Return Preparation/accounting</c:v>
                </c:pt>
                <c:pt idx="20">
                  <c:v>Licenses and Permits</c:v>
                </c:pt>
                <c:pt idx="21">
                  <c:v>Banking and Merchant fees (est)</c:v>
                </c:pt>
                <c:pt idx="22">
                  <c:v>Office Supplies, Postage, Pager, Printing, dues, subscr, Misc.</c:v>
                </c:pt>
                <c:pt idx="23">
                  <c:v>Professional Mgmt </c:v>
                </c:pt>
              </c:strCache>
            </c:strRef>
          </c:cat>
          <c:val>
            <c:numRef>
              <c:f>'IE SUMMARY'!$H$32:$H$55</c:f>
              <c:numCache>
                <c:formatCode>"$"#,##0_);[Red]\("$"#,##0\)</c:formatCode>
                <c:ptCount val="24"/>
                <c:pt idx="0">
                  <c:v>48620</c:v>
                </c:pt>
                <c:pt idx="1">
                  <c:v>8265.4000000000015</c:v>
                </c:pt>
                <c:pt idx="2">
                  <c:v>2917.2</c:v>
                </c:pt>
                <c:pt idx="3">
                  <c:v>4680.5249999999996</c:v>
                </c:pt>
                <c:pt idx="4">
                  <c:v>1059.627</c:v>
                </c:pt>
                <c:pt idx="5">
                  <c:v>25901.512800000004</c:v>
                </c:pt>
                <c:pt idx="6">
                  <c:v>31986.149400000002</c:v>
                </c:pt>
                <c:pt idx="7">
                  <c:v>29806.3992</c:v>
                </c:pt>
                <c:pt idx="8">
                  <c:v>1080</c:v>
                </c:pt>
                <c:pt idx="9">
                  <c:v>1000</c:v>
                </c:pt>
                <c:pt idx="10">
                  <c:v>20200</c:v>
                </c:pt>
                <c:pt idx="11">
                  <c:v>5000</c:v>
                </c:pt>
                <c:pt idx="12">
                  <c:v>12000</c:v>
                </c:pt>
                <c:pt idx="13">
                  <c:v>67398.974999999991</c:v>
                </c:pt>
                <c:pt idx="14">
                  <c:v>7500</c:v>
                </c:pt>
                <c:pt idx="15">
                  <c:v>1095</c:v>
                </c:pt>
                <c:pt idx="16">
                  <c:v>2500</c:v>
                </c:pt>
                <c:pt idx="17">
                  <c:v>1700</c:v>
                </c:pt>
                <c:pt idx="18">
                  <c:v>0</c:v>
                </c:pt>
                <c:pt idx="19">
                  <c:v>2450</c:v>
                </c:pt>
                <c:pt idx="20">
                  <c:v>3283.38</c:v>
                </c:pt>
                <c:pt idx="21">
                  <c:v>0</c:v>
                </c:pt>
                <c:pt idx="22">
                  <c:v>1500</c:v>
                </c:pt>
                <c:pt idx="23">
                  <c:v>24244.340000000004</c:v>
                </c:pt>
              </c:numCache>
            </c:numRef>
          </c:val>
          <c:extLst>
            <c:ext xmlns:c16="http://schemas.microsoft.com/office/drawing/2014/chart" uri="{C3380CC4-5D6E-409C-BE32-E72D297353CC}">
              <c16:uniqueId val="{00000006-8C16-44D1-B4ED-52863D21BCB7}"/>
            </c:ext>
          </c:extLst>
        </c:ser>
        <c:dLbls>
          <c:showLegendKey val="0"/>
          <c:showVal val="0"/>
          <c:showCatName val="0"/>
          <c:showSerName val="0"/>
          <c:showPercent val="0"/>
          <c:showBubbleSize val="0"/>
        </c:dLbls>
        <c:gapWidth val="100"/>
        <c:overlap val="-24"/>
        <c:axId val="750202264"/>
        <c:axId val="750202592"/>
      </c:barChart>
      <c:catAx>
        <c:axId val="750202264"/>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750202592"/>
        <c:crosses val="autoZero"/>
        <c:auto val="1"/>
        <c:lblAlgn val="ctr"/>
        <c:lblOffset val="100"/>
        <c:noMultiLvlLbl val="0"/>
      </c:catAx>
      <c:valAx>
        <c:axId val="750202592"/>
        <c:scaling>
          <c:orientation val="minMax"/>
        </c:scaling>
        <c:delete val="0"/>
        <c:axPos val="l"/>
        <c:majorGridlines>
          <c:spPr>
            <a:ln w="9525" cap="flat" cmpd="sng" algn="ctr">
              <a:solidFill>
                <a:schemeClr val="lt1">
                  <a:lumMod val="95000"/>
                  <a:alpha val="10000"/>
                </a:schemeClr>
              </a:solidFill>
              <a:round/>
            </a:ln>
            <a:effectLst/>
          </c:spPr>
        </c:majorGridlines>
        <c:numFmt formatCode="&quot;$&quot;#,##0_);[Red]\(&quot;$&quot;#,##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750202264"/>
        <c:crosses val="autoZero"/>
        <c:crossBetween val="between"/>
      </c:valAx>
      <c:spPr>
        <a:noFill/>
        <a:ln>
          <a:noFill/>
        </a:ln>
        <a:effectLst/>
      </c:spPr>
    </c:plotArea>
    <c:legend>
      <c:legendPos val="b"/>
      <c:layout>
        <c:manualLayout>
          <c:xMode val="edge"/>
          <c:yMode val="edge"/>
          <c:x val="0.35259784107105308"/>
          <c:y val="0.93092637229207786"/>
          <c:w val="0.25375585099340325"/>
          <c:h val="5.752128201322515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heets/_rels/sheet1.xml.rels><?xml version="1.0" encoding="UTF-8" standalone="yes"?>
<Relationships xmlns="http://schemas.openxmlformats.org/package/2006/relationships"><Relationship Id="rId1" Type="http://schemas.openxmlformats.org/officeDocument/2006/relationships/drawing" Target="../drawings/drawing4.xml"/></Relationships>
</file>

<file path=xl/chartsheets/sheet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AA7A6008-31BD-40D9-8117-02E0CA5173B3}">
  <sheetPr codeName="Chart12">
    <tabColor rgb="FF7030A0"/>
  </sheetPr>
  <sheetViews>
    <sheetView zoomScale="78" workbookViewId="0" zoomToFit="1"/>
  </sheetViews>
  <sheetProtection algorithmName="SHA-512" hashValue="U1ZOq2r3mCmce82Lm4/3/h/Hcq1zpEhsla0Fk9spWvvUYtiO9Xr4igN2iVZ6B33O3sDdWGOYbNugflRhGOgFhw==" saltValue="QRK3OsI5I1O+b+F9GncQLQ==" spinCount="100000" objects="1"/>
  <pageMargins left="0.7" right="0.7" top="0.75" bottom="0.75" header="0.3" footer="0.3"/>
  <drawing r:id="rId1"/>
</chartsheet>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jpg"/><Relationship Id="rId2" Type="http://schemas.openxmlformats.org/officeDocument/2006/relationships/image" Target="../media/image3.jpg"/><Relationship Id="rId1" Type="http://schemas.openxmlformats.org/officeDocument/2006/relationships/image" Target="../media/image2.jpg"/><Relationship Id="rId6" Type="http://schemas.openxmlformats.org/officeDocument/2006/relationships/image" Target="../media/image7.jpg"/><Relationship Id="rId5" Type="http://schemas.openxmlformats.org/officeDocument/2006/relationships/image" Target="../media/image6.jpg"/><Relationship Id="rId4" Type="http://schemas.openxmlformats.org/officeDocument/2006/relationships/image" Target="../media/image5.jpg"/></Relationships>
</file>

<file path=xl/drawings/_rels/drawing3.xml.rels><?xml version="1.0" encoding="UTF-8" standalone="yes"?>
<Relationships xmlns="http://schemas.openxmlformats.org/package/2006/relationships"><Relationship Id="rId1" Type="http://schemas.openxmlformats.org/officeDocument/2006/relationships/image" Target="../media/image8.emf"/></Relationships>
</file>

<file path=xl/drawings/_rels/drawing4.xml.rels><?xml version="1.0" encoding="UTF-8" standalone="yes"?>
<Relationships xmlns="http://schemas.openxmlformats.org/package/2006/relationships"><Relationship Id="rId1" Type="http://schemas.openxmlformats.org/officeDocument/2006/relationships/chart" Target="../charts/chart1.xml"/></Relationships>
</file>

<file path=xl/drawings/_rels/drawing5.xml.rels><?xml version="1.0" encoding="UTF-8" standalone="yes"?>
<Relationships xmlns="http://schemas.openxmlformats.org/package/2006/relationships"><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0</xdr:col>
      <xdr:colOff>259080</xdr:colOff>
      <xdr:row>29</xdr:row>
      <xdr:rowOff>7620</xdr:rowOff>
    </xdr:from>
    <xdr:to>
      <xdr:col>8</xdr:col>
      <xdr:colOff>640080</xdr:colOff>
      <xdr:row>30</xdr:row>
      <xdr:rowOff>22860</xdr:rowOff>
    </xdr:to>
    <xdr:sp macro="" textlink="">
      <xdr:nvSpPr>
        <xdr:cNvPr id="3" name="TextBox 2">
          <a:extLst>
            <a:ext uri="{FF2B5EF4-FFF2-40B4-BE49-F238E27FC236}">
              <a16:creationId xmlns:a16="http://schemas.microsoft.com/office/drawing/2014/main" id="{3E9FA150-E4BB-4EDD-A800-81217D8D36B4}"/>
            </a:ext>
          </a:extLst>
        </xdr:cNvPr>
        <xdr:cNvSpPr txBox="1"/>
      </xdr:nvSpPr>
      <xdr:spPr>
        <a:xfrm>
          <a:off x="259080" y="6271260"/>
          <a:ext cx="6659880" cy="138684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chemeClr val="dk1"/>
              </a:solidFill>
              <a:effectLst/>
              <a:latin typeface="+mn-lt"/>
              <a:ea typeface="+mn-ea"/>
              <a:cs typeface="+mn-cs"/>
            </a:rPr>
            <a:t>Bringing the park to full occupancy at market rates while increasing in place rents will generate significant revenue growth during the stabilization period. A strong in place management team and little deferred maintenance will help to expedite the execution of this business plan. We are projecting the ability to increase net operating income by 188% over the first five years of the hold period. </a:t>
          </a:r>
        </a:p>
      </xdr:txBody>
    </xdr:sp>
    <xdr:clientData/>
  </xdr:twoCellAnchor>
  <xdr:twoCellAnchor>
    <xdr:from>
      <xdr:col>1</xdr:col>
      <xdr:colOff>0</xdr:colOff>
      <xdr:row>18</xdr:row>
      <xdr:rowOff>15240</xdr:rowOff>
    </xdr:from>
    <xdr:to>
      <xdr:col>8</xdr:col>
      <xdr:colOff>645795</xdr:colOff>
      <xdr:row>18</xdr:row>
      <xdr:rowOff>1962150</xdr:rowOff>
    </xdr:to>
    <xdr:sp macro="" textlink="">
      <xdr:nvSpPr>
        <xdr:cNvPr id="4" name="TextBox 3">
          <a:extLst>
            <a:ext uri="{FF2B5EF4-FFF2-40B4-BE49-F238E27FC236}">
              <a16:creationId xmlns:a16="http://schemas.microsoft.com/office/drawing/2014/main" id="{03B3B327-1FA2-402C-A4BF-B83C3F95014B}"/>
            </a:ext>
          </a:extLst>
        </xdr:cNvPr>
        <xdr:cNvSpPr txBox="1"/>
      </xdr:nvSpPr>
      <xdr:spPr>
        <a:xfrm>
          <a:off x="257175" y="3491865"/>
          <a:ext cx="6579870" cy="194691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chemeClr val="dk1"/>
              </a:solidFill>
              <a:effectLst/>
              <a:latin typeface="+mn-lt"/>
              <a:ea typeface="+mn-ea"/>
              <a:cs typeface="+mn-cs"/>
            </a:rPr>
            <a:t>Echo Hills Estates is an exceptionally clean park, silhouetted by beautiful mountains in a quiet corner of Hemet, California. Amenities include a remodeled clubhouse and pool. The park has been owned by the same family for several decades and has been very well maintained. We were able to acquire the asset at an extremely attractive price of $57,000 per space. For comparison, we recently refinanced a similar quality park in Hemet which appraised for over $110,000 per space. </a:t>
          </a:r>
        </a:p>
        <a:p>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The entire electrical and gas infrastructure was replaced 2016, and the roads were replaced shortly thereafter. With very little deferred maintenance to deal with, the primary value driver for this asset will be filling vacant pads and bringing rents to market. The park has 25 vacant pads in a market that should not have any vacancy in an asset of this quality. </a:t>
          </a:r>
        </a:p>
      </xdr:txBody>
    </xdr:sp>
    <xdr:clientData/>
  </xdr:twoCellAnchor>
  <xdr:twoCellAnchor editAs="oneCell">
    <xdr:from>
      <xdr:col>0</xdr:col>
      <xdr:colOff>0</xdr:colOff>
      <xdr:row>0</xdr:row>
      <xdr:rowOff>0</xdr:rowOff>
    </xdr:from>
    <xdr:to>
      <xdr:col>2</xdr:col>
      <xdr:colOff>324390</xdr:colOff>
      <xdr:row>4</xdr:row>
      <xdr:rowOff>126364</xdr:rowOff>
    </xdr:to>
    <xdr:pic>
      <xdr:nvPicPr>
        <xdr:cNvPr id="6" name="Picture 5">
          <a:extLst>
            <a:ext uri="{FF2B5EF4-FFF2-40B4-BE49-F238E27FC236}">
              <a16:creationId xmlns:a16="http://schemas.microsoft.com/office/drawing/2014/main" id="{CA5F806C-B140-4437-969E-262A5C5F6A91}"/>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0" y="0"/>
          <a:ext cx="1665510" cy="800099"/>
        </a:xfrm>
        <a:prstGeom prst="rect">
          <a:avLst/>
        </a:prstGeom>
      </xdr:spPr>
    </xdr:pic>
    <xdr:clientData/>
  </xdr:twoCellAnchor>
  <xdr:twoCellAnchor>
    <xdr:from>
      <xdr:col>0</xdr:col>
      <xdr:colOff>247650</xdr:colOff>
      <xdr:row>20</xdr:row>
      <xdr:rowOff>74296</xdr:rowOff>
    </xdr:from>
    <xdr:to>
      <xdr:col>9</xdr:col>
      <xdr:colOff>0</xdr:colOff>
      <xdr:row>20</xdr:row>
      <xdr:rowOff>809626</xdr:rowOff>
    </xdr:to>
    <xdr:sp macro="" textlink="">
      <xdr:nvSpPr>
        <xdr:cNvPr id="5" name="TextBox 4">
          <a:extLst>
            <a:ext uri="{FF2B5EF4-FFF2-40B4-BE49-F238E27FC236}">
              <a16:creationId xmlns:a16="http://schemas.microsoft.com/office/drawing/2014/main" id="{2C23BDF4-D59C-4AC2-903F-B4F24B5C315D}"/>
            </a:ext>
          </a:extLst>
        </xdr:cNvPr>
        <xdr:cNvSpPr txBox="1"/>
      </xdr:nvSpPr>
      <xdr:spPr>
        <a:xfrm>
          <a:off x="247650" y="5522596"/>
          <a:ext cx="6505575" cy="73533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chemeClr val="dk1"/>
              </a:solidFill>
              <a:effectLst/>
              <a:latin typeface="+mn-lt"/>
              <a:ea typeface="+mn-ea"/>
              <a:cs typeface="+mn-cs"/>
            </a:rPr>
            <a:t>We have reserved $625,000 in additional capital. The largest capital expenditure will be for installation of new homes in the park, and we have reserved $470,000 for lot preparation and home setup. We have also reserved for cosmetic upgrades to the park entrance, landscaping, and roads. </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17</xdr:col>
      <xdr:colOff>266700</xdr:colOff>
      <xdr:row>2</xdr:row>
      <xdr:rowOff>11999</xdr:rowOff>
    </xdr:from>
    <xdr:to>
      <xdr:col>25</xdr:col>
      <xdr:colOff>314200</xdr:colOff>
      <xdr:row>24</xdr:row>
      <xdr:rowOff>28574</xdr:rowOff>
    </xdr:to>
    <xdr:pic>
      <xdr:nvPicPr>
        <xdr:cNvPr id="3" name="Picture 2">
          <a:extLst>
            <a:ext uri="{FF2B5EF4-FFF2-40B4-BE49-F238E27FC236}">
              <a16:creationId xmlns:a16="http://schemas.microsoft.com/office/drawing/2014/main" id="{8C1AEE29-A8CF-F146-2692-30BA3270D23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306050" y="459674"/>
          <a:ext cx="4771900" cy="3578925"/>
        </a:xfrm>
        <a:prstGeom prst="rect">
          <a:avLst/>
        </a:prstGeom>
      </xdr:spPr>
    </xdr:pic>
    <xdr:clientData/>
  </xdr:twoCellAnchor>
  <xdr:twoCellAnchor editAs="oneCell">
    <xdr:from>
      <xdr:col>9</xdr:col>
      <xdr:colOff>83325</xdr:colOff>
      <xdr:row>2</xdr:row>
      <xdr:rowOff>9599</xdr:rowOff>
    </xdr:from>
    <xdr:to>
      <xdr:col>17</xdr:col>
      <xdr:colOff>130825</xdr:colOff>
      <xdr:row>24</xdr:row>
      <xdr:rowOff>26174</xdr:rowOff>
    </xdr:to>
    <xdr:pic>
      <xdr:nvPicPr>
        <xdr:cNvPr id="5" name="Picture 4">
          <a:extLst>
            <a:ext uri="{FF2B5EF4-FFF2-40B4-BE49-F238E27FC236}">
              <a16:creationId xmlns:a16="http://schemas.microsoft.com/office/drawing/2014/main" id="{50F6E866-734F-7C79-76F7-68124317FBE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98275" y="457274"/>
          <a:ext cx="4771900" cy="3578925"/>
        </a:xfrm>
        <a:prstGeom prst="rect">
          <a:avLst/>
        </a:prstGeom>
      </xdr:spPr>
    </xdr:pic>
    <xdr:clientData/>
  </xdr:twoCellAnchor>
  <xdr:twoCellAnchor editAs="oneCell">
    <xdr:from>
      <xdr:col>17</xdr:col>
      <xdr:colOff>271425</xdr:colOff>
      <xdr:row>24</xdr:row>
      <xdr:rowOff>150074</xdr:rowOff>
    </xdr:from>
    <xdr:to>
      <xdr:col>25</xdr:col>
      <xdr:colOff>318925</xdr:colOff>
      <xdr:row>47</xdr:row>
      <xdr:rowOff>4724</xdr:rowOff>
    </xdr:to>
    <xdr:pic>
      <xdr:nvPicPr>
        <xdr:cNvPr id="7" name="Picture 6">
          <a:extLst>
            <a:ext uri="{FF2B5EF4-FFF2-40B4-BE49-F238E27FC236}">
              <a16:creationId xmlns:a16="http://schemas.microsoft.com/office/drawing/2014/main" id="{EB8E1A9B-7652-7DDC-120A-5EA8A886F7EF}"/>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0310775" y="4160099"/>
          <a:ext cx="4771900" cy="3578925"/>
        </a:xfrm>
        <a:prstGeom prst="rect">
          <a:avLst/>
        </a:prstGeom>
      </xdr:spPr>
    </xdr:pic>
    <xdr:clientData/>
  </xdr:twoCellAnchor>
  <xdr:twoCellAnchor editAs="oneCell">
    <xdr:from>
      <xdr:col>0</xdr:col>
      <xdr:colOff>526200</xdr:colOff>
      <xdr:row>24</xdr:row>
      <xdr:rowOff>157199</xdr:rowOff>
    </xdr:from>
    <xdr:to>
      <xdr:col>8</xdr:col>
      <xdr:colOff>573700</xdr:colOff>
      <xdr:row>47</xdr:row>
      <xdr:rowOff>11849</xdr:rowOff>
    </xdr:to>
    <xdr:pic>
      <xdr:nvPicPr>
        <xdr:cNvPr id="9" name="Picture 8">
          <a:extLst>
            <a:ext uri="{FF2B5EF4-FFF2-40B4-BE49-F238E27FC236}">
              <a16:creationId xmlns:a16="http://schemas.microsoft.com/office/drawing/2014/main" id="{FE7F2D88-0B5A-5CCD-5AE7-1B805FE5799E}"/>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526200" y="4167224"/>
          <a:ext cx="4771900" cy="3578925"/>
        </a:xfrm>
        <a:prstGeom prst="rect">
          <a:avLst/>
        </a:prstGeom>
      </xdr:spPr>
    </xdr:pic>
    <xdr:clientData/>
  </xdr:twoCellAnchor>
  <xdr:twoCellAnchor editAs="oneCell">
    <xdr:from>
      <xdr:col>0</xdr:col>
      <xdr:colOff>514275</xdr:colOff>
      <xdr:row>2</xdr:row>
      <xdr:rowOff>2399</xdr:rowOff>
    </xdr:from>
    <xdr:to>
      <xdr:col>8</xdr:col>
      <xdr:colOff>561775</xdr:colOff>
      <xdr:row>24</xdr:row>
      <xdr:rowOff>18974</xdr:rowOff>
    </xdr:to>
    <xdr:pic>
      <xdr:nvPicPr>
        <xdr:cNvPr id="11" name="Picture 10">
          <a:extLst>
            <a:ext uri="{FF2B5EF4-FFF2-40B4-BE49-F238E27FC236}">
              <a16:creationId xmlns:a16="http://schemas.microsoft.com/office/drawing/2014/main" id="{7AE24749-BB33-3FD9-8AD7-0DA979711CF7}"/>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514275" y="450074"/>
          <a:ext cx="4771900" cy="3578925"/>
        </a:xfrm>
        <a:prstGeom prst="rect">
          <a:avLst/>
        </a:prstGeom>
      </xdr:spPr>
    </xdr:pic>
    <xdr:clientData/>
  </xdr:twoCellAnchor>
  <xdr:twoCellAnchor editAs="oneCell">
    <xdr:from>
      <xdr:col>9</xdr:col>
      <xdr:colOff>92775</xdr:colOff>
      <xdr:row>24</xdr:row>
      <xdr:rowOff>152399</xdr:rowOff>
    </xdr:from>
    <xdr:to>
      <xdr:col>17</xdr:col>
      <xdr:colOff>140275</xdr:colOff>
      <xdr:row>47</xdr:row>
      <xdr:rowOff>7049</xdr:rowOff>
    </xdr:to>
    <xdr:pic>
      <xdr:nvPicPr>
        <xdr:cNvPr id="13" name="Picture 12">
          <a:extLst>
            <a:ext uri="{FF2B5EF4-FFF2-40B4-BE49-F238E27FC236}">
              <a16:creationId xmlns:a16="http://schemas.microsoft.com/office/drawing/2014/main" id="{D2134AAB-75B6-4BDA-EEBB-624B760A72E1}"/>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5407725" y="4162424"/>
          <a:ext cx="4771900" cy="35789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44</xdr:col>
      <xdr:colOff>0</xdr:colOff>
      <xdr:row>1</xdr:row>
      <xdr:rowOff>0</xdr:rowOff>
    </xdr:from>
    <xdr:to>
      <xdr:col>54</xdr:col>
      <xdr:colOff>571500</xdr:colOff>
      <xdr:row>53</xdr:row>
      <xdr:rowOff>143932</xdr:rowOff>
    </xdr:to>
    <xdr:pic>
      <xdr:nvPicPr>
        <xdr:cNvPr id="7" name="Picture 6">
          <a:extLst>
            <a:ext uri="{FF2B5EF4-FFF2-40B4-BE49-F238E27FC236}">
              <a16:creationId xmlns:a16="http://schemas.microsoft.com/office/drawing/2014/main" id="{00000000-0008-0000-07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28041600" y="161924"/>
          <a:ext cx="6667500" cy="86285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absoluteAnchor>
    <xdr:pos x="0" y="0"/>
    <xdr:ext cx="12993077" cy="9439519"/>
    <xdr:graphicFrame macro="">
      <xdr:nvGraphicFramePr>
        <xdr:cNvPr id="2" name="Chart 1">
          <a:extLst>
            <a:ext uri="{FF2B5EF4-FFF2-40B4-BE49-F238E27FC236}">
              <a16:creationId xmlns:a16="http://schemas.microsoft.com/office/drawing/2014/main" id="{53A7B91D-A119-452C-AB3B-312D4A5F9E05}"/>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xml><?xml version="1.0" encoding="utf-8"?>
<xdr:wsDr xmlns:xdr="http://schemas.openxmlformats.org/drawingml/2006/spreadsheetDrawing" xmlns:a="http://schemas.openxmlformats.org/drawingml/2006/main">
  <xdr:twoCellAnchor>
    <xdr:from>
      <xdr:col>0</xdr:col>
      <xdr:colOff>285750</xdr:colOff>
      <xdr:row>1</xdr:row>
      <xdr:rowOff>42861</xdr:rowOff>
    </xdr:from>
    <xdr:to>
      <xdr:col>42</xdr:col>
      <xdr:colOff>361950</xdr:colOff>
      <xdr:row>35</xdr:row>
      <xdr:rowOff>161924</xdr:rowOff>
    </xdr:to>
    <xdr:graphicFrame macro="">
      <xdr:nvGraphicFramePr>
        <xdr:cNvPr id="2" name="Chart 1">
          <a:extLst>
            <a:ext uri="{FF2B5EF4-FFF2-40B4-BE49-F238E27FC236}">
              <a16:creationId xmlns:a16="http://schemas.microsoft.com/office/drawing/2014/main" id="{DC4ACCEF-F067-4A6B-886A-E084D4689A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USERS/LEWIS/00REPORT/00-9897/ESUITEBP/ESUITFIX.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Ophist1"/>
      <sheetName val="Ophist2"/>
      <sheetName val="Ophist%"/>
      <sheetName val="Ophist YTD"/>
      <sheetName val="Trailing 12"/>
      <sheetName val="Base Year"/>
      <sheetName val="FixVar"/>
      <sheetName val="Hotel Tax Model"/>
      <sheetName val="Projection"/>
      <sheetName val="Hotel Tax Model-Report Table"/>
      <sheetName val="bpcaexplan"/>
      <sheetName val="Recapture"/>
      <sheetName val="Hotel % Rent"/>
      <sheetName val="All Tax Comps"/>
      <sheetName val="Selected Tax Comps"/>
      <sheetName val="Ten Year"/>
      <sheetName val="DCF"/>
      <sheetName val="Matrix"/>
      <sheetName val="Fin Summary"/>
      <sheetName val="Comps"/>
      <sheetName val="Ind Avgs"/>
      <sheetName val="Inv Survey"/>
      <sheetName val="Inc Exp"/>
      <sheetName val="IE Forecast"/>
      <sheetName val="Dialog2"/>
      <sheetName val="Dialog5"/>
      <sheetName val="Module1"/>
      <sheetName val="L"/>
      <sheetName val="Dialog1"/>
      <sheetName val="Dialog3"/>
      <sheetName val="Dialog4"/>
    </sheetNames>
    <sheetDataSet>
      <sheetData sheetId="0"/>
      <sheetData sheetId="1"/>
      <sheetData sheetId="2"/>
      <sheetData sheetId="3"/>
      <sheetData sheetId="4"/>
      <sheetData sheetId="5"/>
      <sheetData sheetId="6" refreshError="1"/>
      <sheetData sheetId="7"/>
      <sheetData sheetId="8" refreshError="1"/>
      <sheetData sheetId="9"/>
      <sheetData sheetId="10" refreshError="1"/>
      <sheetData sheetId="11" refreshError="1"/>
      <sheetData sheetId="12" refreshError="1"/>
      <sheetData sheetId="13" refreshError="1"/>
      <sheetData sheetId="14" refreshError="1"/>
      <sheetData sheetId="15" refreshError="1"/>
      <sheetData sheetId="16"/>
      <sheetData sheetId="17"/>
      <sheetData sheetId="18"/>
      <sheetData sheetId="19" refreshError="1"/>
      <sheetData sheetId="20"/>
      <sheetData sheetId="21"/>
      <sheetData sheetId="22" refreshError="1"/>
      <sheetData sheetId="23"/>
      <sheetData sheetId="24"/>
      <sheetData sheetId="25" refreshError="1"/>
      <sheetData sheetId="26" refreshError="1"/>
      <sheetData sheetId="27" refreshError="1"/>
      <sheetData sheetId="28"/>
      <sheetData sheetId="29" refreshError="1"/>
      <sheetData sheetId="30" refreshError="1"/>
      <sheetData sheetId="31" refreshError="1"/>
    </sheetDataSet>
  </externalBook>
</externalLink>
</file>

<file path=xl/persons/person.xml><?xml version="1.0" encoding="utf-8"?>
<personList xmlns="http://schemas.microsoft.com/office/spreadsheetml/2018/threadedcomments" xmlns:x="http://schemas.openxmlformats.org/spreadsheetml/2006/main">
  <person displayName="Alan Stevenson" id="{1CFF247D-A6C0-41AC-920A-A1895715E697}" userId="Alan Stevenson" providerId="None"/>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C27" dT="2021-04-23T14:06:08.20" personId="{1CFF247D-A6C0-41AC-920A-A1895715E697}" id="{4A5875FD-6FE4-41FD-AAD3-38CC87E06ECE}">
    <text>Alan Stevenson:
For historicals, this is the total summed up vacancy (i.e. we do not break out vacancy between the three bvg categories)</text>
  </threadedComment>
  <threadedComment ref="C39" dT="2021-04-23T14:07:36.07" personId="{1CFF247D-A6C0-41AC-920A-A1895715E697}" id="{8D5A141D-9A3A-44F8-800C-FF25B58CEFF3}">
    <text>like Vacancy, this is a total number for the historicals column (since the historical categoties are not going to match the bvg categories)</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9.bin"/><Relationship Id="rId4" Type="http://schemas.microsoft.com/office/2017/10/relationships/threadedComment" Target="../threadedComments/threadedComment1.xml"/></Relationships>
</file>

<file path=xl/worksheets/_rels/sheet11.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www.zillow.com/hemet-ca/house,condo,apartment_duplex,townhouse_type/?searchQueryState=%7B%22pagination%22%3A%7B%7D%2C%22usersSearchTerm%22%3A%22Hemet%2C%20CA%22%2C%22mapBounds%22%3A%7B%22west%22%3A-117.3087731220703%2C%22east%22%3A-116.50539787792968%2C%22south%22%3A33.41638075529056%2C%22north%22%3A33.893057926275056%7D%2C%22regionSelection%22%3A%5B%7B%22regionId%22%3A11865%2C%22regionType%22%3A6%7D%5D%2C%22isMapVisible%22%3Atrue%2C%22filterState%22%3A%7B%22sort%22%3A%7B%22value%22%3A%22pricea%22%7D%2C%22ah%22%3A%7B%22value%22%3Atrue%7D%2C%22manu%22%3A%7B%22value%22%3Afalse%7D%2C%22land%22%3A%7B%22value%22%3Afalse%7D%7D%2C%22isListVisible%22%3Atrue%2C%22mapZoom%22%3A11%7D" TargetMode="External"/><Relationship Id="rId1" Type="http://schemas.openxmlformats.org/officeDocument/2006/relationships/hyperlink" Target="https://www.zillow.com/hemet-ca/apartments/2-bedrooms/?searchQueryState=%7B%22pagination%22%3A%7B%7D%2C%22usersSearchTerm%22%3A%22Hemet%2C%20CA%22%2C%22mapBounds%22%3A%7B%22west%22%3A-117.3087731220703%2C%22east%22%3A-116.50539787792968%2C%22south%22%3A33.41638075529056%2C%22north%22%3A33.893057926275056%7D%2C%22regionSelection%22%3A%5B%7B%22regionId%22%3A11865%2C%22regionType%22%3A6%7D%5D%2C%22isMapVisible%22%3Atrue%2C%22filterState%22%3A%7B%22sort%22%3A%7B%22value%22%3A%22paymenta%22%7D%2C%22fsba%22%3A%7B%22value%22%3Afalse%7D%2C%22fsbo%22%3A%7B%22value%22%3Afalse%7D%2C%22nc%22%3A%7B%22value%22%3Afalse%7D%2C%22fore%22%3A%7B%22value%22%3Afalse%7D%2C%22cmsn%22%3A%7B%22value%22%3Afalse%7D%2C%22auc%22%3A%7B%22value%22%3Afalse%7D%2C%22fr%22%3A%7B%22value%22%3Atrue%7D%2C%22ah%22%3A%7B%22value%22%3Atrue%7D%2C%22manu%22%3A%7B%22value%22%3Afalse%7D%2C%22land%22%3A%7B%22value%22%3Afalse%7D%2C%22beds%22%3A%7B%22min%22%3A2%2C%22max%22%3A2%7D%7D%2C%22isListVisible%22%3Atrue%2C%22mapZoom%22%3A11%7D" TargetMode="External"/><Relationship Id="rId4" Type="http://schemas.openxmlformats.org/officeDocument/2006/relationships/drawing" Target="../drawings/drawing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002060"/>
  </sheetPr>
  <dimension ref="B6:I59"/>
  <sheetViews>
    <sheetView tabSelected="1" workbookViewId="0"/>
  </sheetViews>
  <sheetFormatPr baseColWidth="10" defaultColWidth="8.83203125" defaultRowHeight="13" x14ac:dyDescent="0.15"/>
  <cols>
    <col min="1" max="1" width="3.83203125" customWidth="1"/>
    <col min="2" max="2" width="15.6640625" customWidth="1"/>
    <col min="3" max="3" width="13" customWidth="1"/>
    <col min="4" max="4" width="11.33203125" customWidth="1"/>
    <col min="5" max="5" width="12.83203125" customWidth="1"/>
    <col min="6" max="6" width="11" customWidth="1"/>
    <col min="7" max="7" width="14" customWidth="1"/>
    <col min="8" max="8" width="11.1640625" customWidth="1"/>
    <col min="9" max="9" width="9.6640625" customWidth="1"/>
  </cols>
  <sheetData>
    <row r="6" spans="2:9" x14ac:dyDescent="0.15">
      <c r="B6" s="7" t="str">
        <f>Proforma!C1</f>
        <v xml:space="preserve">Echo Hills Estates - 1700 S State Street, Hemet, CA </v>
      </c>
    </row>
    <row r="8" spans="2:9" ht="33" customHeight="1" x14ac:dyDescent="0.15">
      <c r="B8" s="673" t="s">
        <v>0</v>
      </c>
      <c r="C8" s="673" t="s">
        <v>1</v>
      </c>
      <c r="D8" s="673" t="s">
        <v>2</v>
      </c>
      <c r="E8" s="673" t="s">
        <v>3</v>
      </c>
      <c r="F8" s="673" t="s">
        <v>4</v>
      </c>
      <c r="G8" s="673" t="s">
        <v>5</v>
      </c>
      <c r="H8" s="673" t="s">
        <v>6</v>
      </c>
      <c r="I8" s="673" t="s">
        <v>7</v>
      </c>
    </row>
    <row r="9" spans="2:9" ht="26" customHeight="1" x14ac:dyDescent="0.15">
      <c r="B9" s="799">
        <f>'Financial Summary'!B5</f>
        <v>5750000</v>
      </c>
      <c r="C9" s="800">
        <f>Proforma!D15</f>
        <v>101</v>
      </c>
      <c r="D9" s="799">
        <f>B9/C9</f>
        <v>56930.69306930693</v>
      </c>
      <c r="E9" s="799">
        <f>Proforma!D5</f>
        <v>660000</v>
      </c>
      <c r="F9" s="801">
        <f>Proforma!G15</f>
        <v>0.24752475247524752</v>
      </c>
      <c r="G9" s="800">
        <f>Proforma!D17</f>
        <v>1</v>
      </c>
      <c r="H9" s="801">
        <f ca="1">Proforma!D8</f>
        <v>2.8190061092043681E-2</v>
      </c>
      <c r="I9" s="801">
        <f ca="1">Proforma!D134</f>
        <v>0.14021667765014034</v>
      </c>
    </row>
    <row r="11" spans="2:9" ht="15" x14ac:dyDescent="0.15">
      <c r="B11" s="112" t="s">
        <v>8</v>
      </c>
    </row>
    <row r="12" spans="2:9" ht="13.25" customHeight="1" x14ac:dyDescent="0.2">
      <c r="B12" s="796" t="s">
        <v>9</v>
      </c>
      <c r="C12" s="796"/>
      <c r="D12" s="797"/>
      <c r="F12" s="796" t="s">
        <v>10</v>
      </c>
      <c r="G12" s="796"/>
      <c r="H12" s="796"/>
      <c r="I12" s="796"/>
    </row>
    <row r="13" spans="2:9" ht="15" x14ac:dyDescent="0.2">
      <c r="B13" s="797" t="s">
        <v>11</v>
      </c>
      <c r="C13" s="796"/>
      <c r="D13" s="797"/>
      <c r="F13" s="796" t="s">
        <v>12</v>
      </c>
      <c r="G13" s="796"/>
      <c r="H13" s="796"/>
      <c r="I13" s="796"/>
    </row>
    <row r="14" spans="2:9" ht="15" x14ac:dyDescent="0.2">
      <c r="B14" s="796" t="s">
        <v>13</v>
      </c>
      <c r="C14" s="796"/>
      <c r="D14" s="797"/>
      <c r="F14" s="796" t="s">
        <v>14</v>
      </c>
      <c r="G14" s="796"/>
      <c r="H14" s="796"/>
      <c r="I14" s="796"/>
    </row>
    <row r="15" spans="2:9" ht="15" x14ac:dyDescent="0.15">
      <c r="B15" s="796"/>
      <c r="C15" s="796"/>
      <c r="D15" s="796"/>
      <c r="E15" s="796"/>
      <c r="F15" s="796"/>
      <c r="H15" s="796"/>
      <c r="I15" s="796"/>
    </row>
    <row r="16" spans="2:9" ht="13.25" customHeight="1" x14ac:dyDescent="0.15">
      <c r="B16" s="796"/>
    </row>
    <row r="18" spans="2:9" ht="15" x14ac:dyDescent="0.15">
      <c r="B18" s="112" t="s">
        <v>15</v>
      </c>
    </row>
    <row r="19" spans="2:9" ht="169.5" customHeight="1" x14ac:dyDescent="0.15">
      <c r="B19" s="859"/>
      <c r="C19" s="859"/>
      <c r="D19" s="859"/>
      <c r="E19" s="859"/>
      <c r="F19" s="859"/>
      <c r="G19" s="859"/>
      <c r="H19" s="859"/>
      <c r="I19" s="859"/>
    </row>
    <row r="20" spans="2:9" ht="15" x14ac:dyDescent="0.15">
      <c r="B20" s="112" t="s">
        <v>16</v>
      </c>
      <c r="C20" s="705"/>
      <c r="D20" s="705"/>
      <c r="E20" s="705"/>
      <c r="F20" s="705"/>
      <c r="G20" s="705"/>
      <c r="H20" s="705"/>
      <c r="I20" s="705"/>
    </row>
    <row r="21" spans="2:9" ht="70.5" customHeight="1" x14ac:dyDescent="0.15">
      <c r="B21" s="802"/>
      <c r="C21" s="705"/>
      <c r="D21" s="705"/>
      <c r="E21" s="705"/>
      <c r="F21" s="705"/>
      <c r="G21" s="705"/>
      <c r="H21" s="705"/>
      <c r="I21" s="705"/>
    </row>
    <row r="22" spans="2:9" ht="15" hidden="1" x14ac:dyDescent="0.15">
      <c r="B22" s="803"/>
      <c r="C22" s="705"/>
      <c r="D22" s="705"/>
      <c r="E22" s="705"/>
      <c r="F22" s="705"/>
      <c r="G22" s="705"/>
      <c r="H22" s="705"/>
      <c r="I22" s="705"/>
    </row>
    <row r="23" spans="2:9" ht="15" hidden="1" x14ac:dyDescent="0.15">
      <c r="B23" s="803"/>
      <c r="C23" s="705"/>
      <c r="D23" s="705"/>
      <c r="E23" s="705"/>
      <c r="F23" s="705"/>
      <c r="G23" s="705"/>
      <c r="H23" s="705"/>
      <c r="I23" s="705"/>
    </row>
    <row r="24" spans="2:9" ht="15" hidden="1" x14ac:dyDescent="0.15">
      <c r="B24" s="803"/>
    </row>
    <row r="25" spans="2:9" ht="15" hidden="1" x14ac:dyDescent="0.15">
      <c r="B25" s="803"/>
    </row>
    <row r="26" spans="2:9" hidden="1" x14ac:dyDescent="0.15"/>
    <row r="27" spans="2:9" hidden="1" x14ac:dyDescent="0.15"/>
    <row r="28" spans="2:9" hidden="1" x14ac:dyDescent="0.15"/>
    <row r="29" spans="2:9" ht="20.5" customHeight="1" x14ac:dyDescent="0.15">
      <c r="B29" s="112" t="s">
        <v>17</v>
      </c>
    </row>
    <row r="30" spans="2:9" ht="108" customHeight="1" x14ac:dyDescent="0.15">
      <c r="B30" s="860"/>
      <c r="C30" s="861"/>
      <c r="D30" s="861"/>
      <c r="E30" s="861"/>
      <c r="F30" s="861"/>
      <c r="G30" s="861"/>
      <c r="H30" s="861"/>
    </row>
    <row r="31" spans="2:9" ht="15" x14ac:dyDescent="0.15">
      <c r="B31" s="803"/>
    </row>
    <row r="32" spans="2:9" ht="14" thickBot="1" x14ac:dyDescent="0.2"/>
    <row r="33" spans="2:9" ht="15" x14ac:dyDescent="0.15">
      <c r="B33" s="113" t="s">
        <v>18</v>
      </c>
      <c r="C33" s="113" t="s">
        <v>19</v>
      </c>
      <c r="D33" s="113" t="s">
        <v>4</v>
      </c>
      <c r="E33" s="113" t="s">
        <v>20</v>
      </c>
      <c r="F33" s="114" t="s">
        <v>21</v>
      </c>
      <c r="G33" s="115"/>
    </row>
    <row r="34" spans="2:9" ht="27.75" customHeight="1" thickBot="1" x14ac:dyDescent="0.2">
      <c r="B34" s="804">
        <f ca="1">Proforma!J102</f>
        <v>10392060.543665443</v>
      </c>
      <c r="C34" s="805">
        <f ca="1">B34/C9</f>
        <v>102891.688551143</v>
      </c>
      <c r="D34" s="806">
        <f>Proforma!E38</f>
        <v>0.05</v>
      </c>
      <c r="E34" s="806">
        <f>Proforma!D9</f>
        <v>0.05</v>
      </c>
      <c r="F34" s="857">
        <f ca="1">Proforma!D136/-Proforma!E130</f>
        <v>1.3052195484316527</v>
      </c>
      <c r="G34" s="858"/>
    </row>
    <row r="35" spans="2:9" ht="14" thickBot="1" x14ac:dyDescent="0.2"/>
    <row r="36" spans="2:9" ht="18" x14ac:dyDescent="0.2">
      <c r="B36" s="85" t="s">
        <v>22</v>
      </c>
      <c r="C36" s="86"/>
      <c r="D36" s="86"/>
      <c r="E36" s="86"/>
      <c r="F36" s="86"/>
      <c r="G36" s="86"/>
      <c r="H36" s="86"/>
      <c r="I36" s="87"/>
    </row>
    <row r="37" spans="2:9" x14ac:dyDescent="0.15">
      <c r="B37" s="88"/>
      <c r="C37" s="40"/>
      <c r="D37" s="40"/>
      <c r="E37" s="40"/>
      <c r="F37" s="40"/>
      <c r="G37" s="40"/>
      <c r="H37" s="40"/>
      <c r="I37" s="706"/>
    </row>
    <row r="38" spans="2:9" ht="13.25" customHeight="1" thickBot="1" x14ac:dyDescent="0.25">
      <c r="B38" s="107" t="s">
        <v>23</v>
      </c>
      <c r="C38" s="61"/>
      <c r="D38" s="89">
        <f>-Proforma!E115</f>
        <v>2960000</v>
      </c>
      <c r="E38" s="862" t="str">
        <f>TEXT(Proforma!K22,"0%")&amp;" preferred return paid to investors.  All cash flow including refinance proceeds above the "&amp;TEXT(Proforma!K22,"0%")&amp;" preferred shall be paid to investors until 100% of their investment is returned.  After 100% of the original capital has been returned, then investors and BVG shall split the cash flow and refinance proceeds "&amp;TEXT(Proforma!K20,"00%")&amp;"/"&amp;TEXT(Proforma!K21,"00%")</f>
        <v>5% preferred return paid to investors.  All cash flow including refinance proceeds above the 5% preferred shall be paid to investors until 100% of their investment is returned.  After 100% of the original capital has been returned, then investors and BVG shall split the cash flow and refinance proceeds 50%/50%</v>
      </c>
      <c r="F38" s="862"/>
      <c r="G38" s="862"/>
      <c r="H38" s="862"/>
      <c r="I38" s="863"/>
    </row>
    <row r="39" spans="2:9" ht="16" thickBot="1" x14ac:dyDescent="0.25">
      <c r="B39" s="109" t="s">
        <v>24</v>
      </c>
      <c r="C39" s="110"/>
      <c r="D39" s="111">
        <f>D38</f>
        <v>2960000</v>
      </c>
      <c r="E39" s="862"/>
      <c r="F39" s="862"/>
      <c r="G39" s="862"/>
      <c r="H39" s="862"/>
      <c r="I39" s="863"/>
    </row>
    <row r="40" spans="2:9" ht="14" x14ac:dyDescent="0.2">
      <c r="B40" s="107" t="s">
        <v>25</v>
      </c>
      <c r="C40" s="61"/>
      <c r="D40" s="90">
        <f>IF(InvestorPromote=50%,D39/(D38/5000),D39/(D38/6000))</f>
        <v>5000</v>
      </c>
      <c r="E40" s="862"/>
      <c r="F40" s="862"/>
      <c r="G40" s="862"/>
      <c r="H40" s="862"/>
      <c r="I40" s="863"/>
    </row>
    <row r="41" spans="2:9" ht="14" x14ac:dyDescent="0.2">
      <c r="B41" s="104"/>
      <c r="C41" s="61" t="s">
        <v>26</v>
      </c>
      <c r="D41" s="103">
        <f>D40/10000</f>
        <v>0.5</v>
      </c>
      <c r="E41" s="862"/>
      <c r="F41" s="862"/>
      <c r="G41" s="862"/>
      <c r="H41" s="862"/>
      <c r="I41" s="863"/>
    </row>
    <row r="42" spans="2:9" ht="14" x14ac:dyDescent="0.2">
      <c r="B42" s="108"/>
      <c r="C42" s="61"/>
      <c r="D42" s="89"/>
      <c r="E42" s="862"/>
      <c r="F42" s="862"/>
      <c r="G42" s="862"/>
      <c r="H42" s="862"/>
      <c r="I42" s="863"/>
    </row>
    <row r="43" spans="2:9" ht="14" x14ac:dyDescent="0.2">
      <c r="B43" s="108"/>
      <c r="C43" s="61"/>
      <c r="D43" s="91"/>
      <c r="E43" s="92"/>
      <c r="F43" s="92"/>
      <c r="G43" s="92"/>
      <c r="H43" s="92"/>
      <c r="I43" s="93"/>
    </row>
    <row r="44" spans="2:9" ht="14" x14ac:dyDescent="0.2">
      <c r="B44" s="104" t="s">
        <v>27</v>
      </c>
      <c r="C44" s="61"/>
      <c r="D44" s="61"/>
      <c r="E44" s="105" t="s">
        <v>28</v>
      </c>
      <c r="F44" s="105" t="s">
        <v>29</v>
      </c>
      <c r="G44" s="105" t="s">
        <v>30</v>
      </c>
      <c r="H44" s="105" t="s">
        <v>31</v>
      </c>
      <c r="I44" s="106" t="s">
        <v>32</v>
      </c>
    </row>
    <row r="45" spans="2:9" ht="14" x14ac:dyDescent="0.2">
      <c r="B45" s="104"/>
      <c r="C45" s="61"/>
      <c r="D45" s="61"/>
      <c r="E45" s="94">
        <f ca="1">$D$39*E46</f>
        <v>44879.916599999997</v>
      </c>
      <c r="F45" s="94">
        <f t="shared" ref="F45:I45" ca="1" si="0">$D$39*F46</f>
        <v>141962.10145377007</v>
      </c>
      <c r="G45" s="94">
        <f t="shared" ca="1" si="0"/>
        <v>415675.05733093224</v>
      </c>
      <c r="H45" s="94">
        <f t="shared" ca="1" si="0"/>
        <v>243875.85578658892</v>
      </c>
      <c r="I45" s="95">
        <f t="shared" ca="1" si="0"/>
        <v>3017056.9321864001</v>
      </c>
    </row>
    <row r="46" spans="2:9" ht="14" x14ac:dyDescent="0.2">
      <c r="B46" s="104"/>
      <c r="C46" s="61"/>
      <c r="D46" s="61"/>
      <c r="E46" s="96">
        <f ca="1">'Financial Summary'!E17</f>
        <v>1.5162133986486486E-2</v>
      </c>
      <c r="F46" s="96">
        <f ca="1">'Financial Summary'!F17</f>
        <v>4.7960169410057457E-2</v>
      </c>
      <c r="G46" s="96">
        <f ca="1">'Financial Summary'!G17</f>
        <v>0.14043076261180143</v>
      </c>
      <c r="H46" s="96">
        <f ca="1">'Financial Summary'!H17</f>
        <v>8.2390491819793549E-2</v>
      </c>
      <c r="I46" s="97">
        <f ca="1">'Financial Summary'!I17</f>
        <v>1.0192759906035136</v>
      </c>
    </row>
    <row r="47" spans="2:9" ht="6.5" customHeight="1" x14ac:dyDescent="0.2">
      <c r="B47" s="104"/>
      <c r="C47" s="61"/>
      <c r="D47" s="61"/>
      <c r="E47" s="61"/>
      <c r="F47" s="61"/>
      <c r="G47" s="61"/>
      <c r="H47" s="61"/>
      <c r="I47" s="98"/>
    </row>
    <row r="48" spans="2:9" ht="14" x14ac:dyDescent="0.2">
      <c r="B48" s="104" t="s">
        <v>33</v>
      </c>
      <c r="C48" s="61"/>
      <c r="D48" s="61"/>
      <c r="E48" s="99">
        <f>$D$41*Proforma!F140*2</f>
        <v>-4600000</v>
      </c>
      <c r="F48" s="99">
        <f>$D$41*Proforma!G140*2</f>
        <v>0</v>
      </c>
      <c r="G48" s="99">
        <f>$D$41*Proforma!H140*2</f>
        <v>0</v>
      </c>
      <c r="H48" s="99">
        <f>$D$41*Proforma!I140*2</f>
        <v>0</v>
      </c>
      <c r="I48" s="100">
        <f>$D$41*Proforma!J140*2</f>
        <v>0</v>
      </c>
    </row>
    <row r="49" spans="2:9" ht="14" x14ac:dyDescent="0.2">
      <c r="B49" s="104"/>
      <c r="C49" s="61"/>
      <c r="D49" s="61"/>
      <c r="E49" s="61"/>
      <c r="F49" s="61"/>
      <c r="G49" s="61"/>
      <c r="H49" s="61"/>
      <c r="I49" s="98"/>
    </row>
    <row r="50" spans="2:9" ht="14" x14ac:dyDescent="0.2">
      <c r="B50" s="104" t="s">
        <v>34</v>
      </c>
      <c r="E50" s="116">
        <f ca="1">SUM(E45:I45)</f>
        <v>3863449.8633576911</v>
      </c>
      <c r="H50" s="117" t="s">
        <v>35</v>
      </c>
      <c r="I50" s="118">
        <f ca="1">Proforma!D134</f>
        <v>0.14021667765014034</v>
      </c>
    </row>
    <row r="51" spans="2:9" ht="17" x14ac:dyDescent="0.35">
      <c r="B51" s="104" t="s">
        <v>36</v>
      </c>
      <c r="E51" s="119">
        <f ca="1">D41*(Proforma!J102-IF(Proforma!D97&lt;&gt;5,Proforma!J97,Proforma!K91))</f>
        <v>2078412.1087330887</v>
      </c>
      <c r="H51" s="117" t="s">
        <v>37</v>
      </c>
      <c r="I51" s="118">
        <f ca="1">Proforma!D144</f>
        <v>0.26283723798946013</v>
      </c>
    </row>
    <row r="52" spans="2:9" ht="14" x14ac:dyDescent="0.2">
      <c r="B52" s="374" t="s">
        <v>38</v>
      </c>
      <c r="C52" s="375"/>
      <c r="D52" s="375"/>
      <c r="E52" s="376">
        <f ca="1">E50+E51</f>
        <v>5941861.9720907798</v>
      </c>
      <c r="I52" s="377"/>
    </row>
    <row r="53" spans="2:9" ht="15" thickBot="1" x14ac:dyDescent="0.25">
      <c r="B53" s="372" t="s">
        <v>39</v>
      </c>
      <c r="C53" s="101"/>
      <c r="D53" s="101"/>
      <c r="E53" s="373">
        <f ca="1">+E52/D39</f>
        <v>2.0073858013820201</v>
      </c>
      <c r="F53" s="101"/>
      <c r="G53" s="101"/>
      <c r="H53" s="101"/>
      <c r="I53" s="120"/>
    </row>
    <row r="55" spans="2:9" x14ac:dyDescent="0.15">
      <c r="I55" s="707" t="s">
        <v>40</v>
      </c>
    </row>
    <row r="56" spans="2:9" x14ac:dyDescent="0.15">
      <c r="F56" s="708" t="s">
        <v>41</v>
      </c>
      <c r="I56" s="707" t="s">
        <v>42</v>
      </c>
    </row>
    <row r="58" spans="2:9" x14ac:dyDescent="0.15">
      <c r="H58" s="708"/>
      <c r="I58" s="77"/>
    </row>
    <row r="59" spans="2:9" x14ac:dyDescent="0.15">
      <c r="I59" s="77"/>
    </row>
  </sheetData>
  <sheetProtection algorithmName="SHA-512" hashValue="qsDr+scv9KuEzopjdZO1ZPYuY+Of3RvhvUhQtYxZmV+InosGAxK2ptoLgdZlhtYU8FUGzGOjKCj0ClWuSn498A==" saltValue="Wsw61q2H4iX5YkCQrlrfnA==" spinCount="100000" sheet="1" objects="1" scenarios="1"/>
  <protectedRanges>
    <protectedRange sqref="D39" name="Range1"/>
  </protectedRanges>
  <mergeCells count="4">
    <mergeCell ref="F34:G34"/>
    <mergeCell ref="B19:I19"/>
    <mergeCell ref="B30:H30"/>
    <mergeCell ref="E38:I42"/>
  </mergeCells>
  <pageMargins left="0.5" right="0.5" top="0.5" bottom="0.5" header="0.3" footer="0.3"/>
  <pageSetup scale="90"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6A6B5A-EF59-450E-B937-F42803D67DDA}">
  <sheetPr>
    <tabColor rgb="FF7030A0"/>
    <pageSetUpPr fitToPage="1"/>
  </sheetPr>
  <dimension ref="A1:BX77"/>
  <sheetViews>
    <sheetView topLeftCell="B1" workbookViewId="0">
      <selection sqref="A1:L1"/>
    </sheetView>
  </sheetViews>
  <sheetFormatPr baseColWidth="10" defaultColWidth="12.33203125" defaultRowHeight="13" x14ac:dyDescent="0.15"/>
  <cols>
    <col min="1" max="1" width="15.83203125" style="539" hidden="1" customWidth="1"/>
    <col min="2" max="2" width="54.33203125" style="539" bestFit="1" customWidth="1"/>
    <col min="3" max="3" width="14.5" style="592" customWidth="1"/>
    <col min="4" max="4" width="16.5" style="539" bestFit="1" customWidth="1"/>
    <col min="5" max="5" width="16" style="539" bestFit="1" customWidth="1"/>
    <col min="6" max="6" width="15.33203125" style="539" customWidth="1"/>
    <col min="7" max="7" width="12.33203125" style="539" customWidth="1"/>
    <col min="8" max="8" width="27.1640625" style="539" customWidth="1"/>
    <col min="9" max="9" width="14.83203125" style="539" bestFit="1" customWidth="1"/>
    <col min="10" max="11" width="14.5" style="539" bestFit="1" customWidth="1"/>
    <col min="12" max="12" width="13.83203125" style="539" customWidth="1"/>
    <col min="13" max="13" width="15.1640625" style="539" customWidth="1"/>
    <col min="14" max="16" width="13.33203125" style="539" customWidth="1"/>
    <col min="17" max="17" width="12.33203125" style="539" customWidth="1"/>
    <col min="18" max="22" width="12.83203125" style="539" bestFit="1" customWidth="1"/>
    <col min="23" max="23" width="14" style="539" bestFit="1" customWidth="1"/>
    <col min="24" max="33" width="12.83203125" style="539" bestFit="1" customWidth="1"/>
    <col min="34" max="34" width="16.1640625" style="539" bestFit="1" customWidth="1"/>
    <col min="35" max="16384" width="12.33203125" style="539"/>
  </cols>
  <sheetData>
    <row r="1" spans="2:24" x14ac:dyDescent="0.15">
      <c r="B1" s="538" t="str">
        <f>+Proforma!C1</f>
        <v xml:space="preserve">Echo Hills Estates - 1700 S State Street, Hemet, CA </v>
      </c>
      <c r="C1" s="865" t="str">
        <f>HYPERLINK("http://maps.google.com/maps?q="&amp;S1,"View on Google Map")</f>
        <v>View on Google Map</v>
      </c>
      <c r="D1" s="865"/>
      <c r="S1" s="540" t="str">
        <f>RIGHT(B1,LEN(B1)-SEARCH("-",B1))</f>
        <v xml:space="preserve"> 1700 S State Street, Hemet, CA </v>
      </c>
      <c r="T1" s="540" t="str">
        <f>LEFT(B1,FIND("-",B1)-1)</f>
        <v xml:space="preserve">Echo Hills Estates </v>
      </c>
      <c r="U1" s="540" t="s">
        <v>73</v>
      </c>
      <c r="V1" s="540"/>
      <c r="W1" s="540"/>
    </row>
    <row r="2" spans="2:24" x14ac:dyDescent="0.15">
      <c r="C2" s="541"/>
      <c r="S2" s="540"/>
      <c r="T2" s="540"/>
      <c r="U2" s="540"/>
      <c r="V2" s="540"/>
      <c r="W2" s="540"/>
    </row>
    <row r="3" spans="2:24" x14ac:dyDescent="0.15">
      <c r="B3" s="542" t="s">
        <v>74</v>
      </c>
      <c r="C3" s="542"/>
      <c r="D3" s="543" t="s">
        <v>75</v>
      </c>
      <c r="H3" s="542" t="s">
        <v>76</v>
      </c>
      <c r="I3" s="542"/>
      <c r="J3" s="542"/>
      <c r="K3" s="542"/>
      <c r="L3" s="542"/>
      <c r="M3" s="542"/>
      <c r="N3" s="544"/>
      <c r="O3" s="538"/>
      <c r="S3" s="540"/>
      <c r="T3" s="540"/>
      <c r="U3" s="540"/>
      <c r="V3" s="540"/>
      <c r="W3" s="540"/>
    </row>
    <row r="4" spans="2:24" x14ac:dyDescent="0.15">
      <c r="B4" s="545" t="s">
        <v>43</v>
      </c>
      <c r="C4" s="546">
        <f>+Purchase_Price</f>
        <v>5750000</v>
      </c>
      <c r="D4" s="547">
        <f>C4/$C$10</f>
        <v>56930.69306930693</v>
      </c>
      <c r="H4" s="539" t="s">
        <v>80</v>
      </c>
      <c r="I4" s="150">
        <v>0.05</v>
      </c>
      <c r="L4" s="548" t="s">
        <v>78</v>
      </c>
      <c r="M4" s="549">
        <v>2020</v>
      </c>
      <c r="N4" s="544"/>
      <c r="S4" s="540">
        <v>0</v>
      </c>
      <c r="T4" s="550">
        <v>2017</v>
      </c>
      <c r="U4" s="540">
        <v>0</v>
      </c>
      <c r="V4" s="540">
        <v>1</v>
      </c>
      <c r="W4" s="540">
        <v>2</v>
      </c>
      <c r="X4" s="539">
        <v>4</v>
      </c>
    </row>
    <row r="5" spans="2:24" x14ac:dyDescent="0.15">
      <c r="B5" s="551"/>
      <c r="C5" s="773"/>
      <c r="D5" s="547"/>
      <c r="H5" s="539" t="s">
        <v>85</v>
      </c>
      <c r="I5" s="152">
        <v>1750</v>
      </c>
      <c r="S5" s="540">
        <v>1</v>
      </c>
      <c r="T5" s="550" t="s">
        <v>83</v>
      </c>
      <c r="U5" s="540"/>
      <c r="V5" s="540"/>
      <c r="W5" s="540"/>
    </row>
    <row r="6" spans="2:24" x14ac:dyDescent="0.15">
      <c r="B6" s="552" t="s">
        <v>65</v>
      </c>
      <c r="C6" s="553" t="s">
        <v>48</v>
      </c>
      <c r="D6" s="553" t="s">
        <v>99</v>
      </c>
      <c r="E6" s="553" t="s">
        <v>100</v>
      </c>
      <c r="F6" s="553" t="s">
        <v>101</v>
      </c>
      <c r="H6" s="539" t="s">
        <v>93</v>
      </c>
      <c r="I6" s="152">
        <v>250</v>
      </c>
      <c r="J6" s="554" t="s">
        <v>94</v>
      </c>
      <c r="S6" s="540">
        <v>2</v>
      </c>
      <c r="T6" s="550" t="s">
        <v>87</v>
      </c>
      <c r="U6" s="540"/>
      <c r="V6" s="540"/>
      <c r="W6" s="540"/>
    </row>
    <row r="7" spans="2:24" x14ac:dyDescent="0.15">
      <c r="B7" s="545" t="s">
        <v>102</v>
      </c>
      <c r="C7" s="544">
        <f>+Proforma!D12</f>
        <v>76</v>
      </c>
      <c r="D7" s="544">
        <f>+Proforma!E12</f>
        <v>76</v>
      </c>
      <c r="E7" s="544">
        <f>C7-D7</f>
        <v>0</v>
      </c>
      <c r="F7" s="555">
        <f>E7/C7</f>
        <v>0</v>
      </c>
      <c r="S7" s="540">
        <v>4</v>
      </c>
      <c r="T7" s="550" t="s">
        <v>91</v>
      </c>
      <c r="U7" s="540"/>
      <c r="V7" s="540"/>
      <c r="W7" s="540"/>
    </row>
    <row r="8" spans="2:24" x14ac:dyDescent="0.15">
      <c r="B8" s="545" t="s">
        <v>442</v>
      </c>
      <c r="C8" s="544">
        <f>+Proforma!D13</f>
        <v>25</v>
      </c>
      <c r="D8" s="544">
        <f>+Proforma!E13</f>
        <v>0</v>
      </c>
      <c r="E8" s="544">
        <f>C8-D8</f>
        <v>25</v>
      </c>
      <c r="F8" s="555">
        <f>IF(ISERROR((E8/C8)),"-",(E8/C8))</f>
        <v>1</v>
      </c>
    </row>
    <row r="9" spans="2:24" x14ac:dyDescent="0.15">
      <c r="B9" s="556" t="s">
        <v>104</v>
      </c>
      <c r="C9" s="557">
        <f>+Proforma!D14</f>
        <v>0</v>
      </c>
      <c r="D9" s="557">
        <f>+Proforma!E14</f>
        <v>0</v>
      </c>
      <c r="E9" s="557">
        <f>C9-D9</f>
        <v>0</v>
      </c>
      <c r="F9" s="558" t="str">
        <f>IF(ISERROR((E9/C9)),"-",(E9/C9))</f>
        <v>-</v>
      </c>
    </row>
    <row r="10" spans="2:24" x14ac:dyDescent="0.15">
      <c r="B10" s="559" t="s">
        <v>48</v>
      </c>
      <c r="C10" s="560">
        <f>SUM(C7:C9)</f>
        <v>101</v>
      </c>
      <c r="D10" s="560">
        <f>SUM(D7:D9)</f>
        <v>76</v>
      </c>
      <c r="E10" s="544">
        <f t="shared" ref="E10" si="0">C10-D10</f>
        <v>25</v>
      </c>
      <c r="F10" s="774">
        <f>E10/C10</f>
        <v>0.24752475247524752</v>
      </c>
    </row>
    <row r="11" spans="2:24" x14ac:dyDescent="0.15">
      <c r="B11" s="545"/>
      <c r="C11" s="561"/>
      <c r="D11" s="561"/>
      <c r="E11" s="544"/>
    </row>
    <row r="12" spans="2:24" x14ac:dyDescent="0.15">
      <c r="B12" s="562" t="s">
        <v>105</v>
      </c>
      <c r="C12" s="563">
        <v>0</v>
      </c>
      <c r="D12" s="563">
        <v>0</v>
      </c>
      <c r="E12" s="544">
        <f>C12-D12</f>
        <v>0</v>
      </c>
    </row>
    <row r="13" spans="2:24" x14ac:dyDescent="0.15">
      <c r="B13" s="545"/>
      <c r="C13" s="563"/>
      <c r="D13" s="563"/>
      <c r="E13" s="544"/>
    </row>
    <row r="14" spans="2:24" x14ac:dyDescent="0.15">
      <c r="C14" s="541"/>
      <c r="D14" s="541"/>
      <c r="F14" s="564"/>
    </row>
    <row r="15" spans="2:24" x14ac:dyDescent="0.15">
      <c r="B15" s="565" t="s">
        <v>443</v>
      </c>
      <c r="C15" s="566" t="s">
        <v>444</v>
      </c>
      <c r="D15" s="566" t="s">
        <v>445</v>
      </c>
    </row>
    <row r="16" spans="2:24" x14ac:dyDescent="0.15">
      <c r="B16" s="538" t="s">
        <v>137</v>
      </c>
      <c r="C16" s="567"/>
      <c r="D16" s="548"/>
      <c r="E16" s="775"/>
    </row>
    <row r="17" spans="1:13" x14ac:dyDescent="0.15">
      <c r="B17" s="551" t="str">
        <f>B7</f>
        <v xml:space="preserve">MH </v>
      </c>
      <c r="C17" s="776">
        <f>+Proforma!D29</f>
        <v>512</v>
      </c>
      <c r="D17" s="777">
        <f>+Proforma!F29</f>
        <v>522</v>
      </c>
      <c r="I17" s="544"/>
    </row>
    <row r="18" spans="1:13" x14ac:dyDescent="0.15">
      <c r="B18" s="551" t="str">
        <f>B8</f>
        <v>RV</v>
      </c>
      <c r="C18" s="776">
        <f>+Proforma!D30</f>
        <v>0</v>
      </c>
      <c r="D18" s="777">
        <f>+Proforma!F30</f>
        <v>0</v>
      </c>
    </row>
    <row r="19" spans="1:13" x14ac:dyDescent="0.15">
      <c r="B19" s="551" t="str">
        <f>B9</f>
        <v>Other</v>
      </c>
      <c r="C19" s="776">
        <f>+Proforma!D31</f>
        <v>0</v>
      </c>
      <c r="D19" s="777">
        <f>+Proforma!F31</f>
        <v>0</v>
      </c>
    </row>
    <row r="20" spans="1:13" x14ac:dyDescent="0.15">
      <c r="A20" s="544" t="s">
        <v>132</v>
      </c>
      <c r="B20" s="551"/>
      <c r="C20" s="778"/>
      <c r="D20" s="779"/>
    </row>
    <row r="21" spans="1:13" x14ac:dyDescent="0.15">
      <c r="B21" s="565" t="s">
        <v>446</v>
      </c>
      <c r="C21" s="566" t="s">
        <v>444</v>
      </c>
      <c r="D21" s="566" t="s">
        <v>445</v>
      </c>
      <c r="E21" s="568" t="s">
        <v>154</v>
      </c>
    </row>
    <row r="22" spans="1:13" ht="16" x14ac:dyDescent="0.3">
      <c r="B22" s="538" t="s">
        <v>138</v>
      </c>
      <c r="C22" s="569">
        <f>+C45</f>
        <v>2020</v>
      </c>
      <c r="D22" s="570"/>
      <c r="E22" s="775"/>
    </row>
    <row r="23" spans="1:13" x14ac:dyDescent="0.15">
      <c r="B23" s="551" t="str">
        <f>B17</f>
        <v xml:space="preserve">MH </v>
      </c>
      <c r="C23" s="778">
        <f ca="1">OFFSET('IE SUMMARY'!D7,0,MoveCount)</f>
        <v>433593.94</v>
      </c>
      <c r="D23" s="571">
        <f>+D17*C7*12</f>
        <v>476064</v>
      </c>
      <c r="E23" s="775">
        <f>+D23/NoOfSpaces</f>
        <v>4713.5049504950493</v>
      </c>
    </row>
    <row r="24" spans="1:13" x14ac:dyDescent="0.15">
      <c r="B24" s="551" t="str">
        <f>B18</f>
        <v>RV</v>
      </c>
      <c r="C24" s="778">
        <f ca="1">OFFSET('IE SUMMARY'!D8,0,MoveCount)</f>
        <v>0</v>
      </c>
      <c r="D24" s="571">
        <f>+D18*C8*12</f>
        <v>0</v>
      </c>
      <c r="E24" s="775">
        <f>+D24/NoOfSpaces</f>
        <v>0</v>
      </c>
    </row>
    <row r="25" spans="1:13" x14ac:dyDescent="0.15">
      <c r="B25" s="551" t="str">
        <f>B19</f>
        <v>Other</v>
      </c>
      <c r="C25" s="778">
        <f ca="1">OFFSET('IE SUMMARY'!D9,0,MoveCount)</f>
        <v>0</v>
      </c>
      <c r="D25" s="571">
        <f>+D19*C9*12</f>
        <v>0</v>
      </c>
      <c r="E25" s="775">
        <f>+D25/NoOfSpaces</f>
        <v>0</v>
      </c>
    </row>
    <row r="26" spans="1:13" x14ac:dyDescent="0.15">
      <c r="B26" s="572"/>
      <c r="C26" s="573"/>
      <c r="D26" s="574"/>
      <c r="E26" s="575"/>
      <c r="F26" s="572"/>
    </row>
    <row r="27" spans="1:13" x14ac:dyDescent="0.15">
      <c r="B27" s="551" t="str">
        <f>B23&amp;" Min Vacancy Rate"</f>
        <v>MH  Min Vacancy Rate</v>
      </c>
      <c r="C27" s="778">
        <f ca="1">OFFSET('IE SUMMARY'!D10,0,MoveCount)</f>
        <v>0</v>
      </c>
      <c r="D27" s="775">
        <f>+Proforma!F38*12</f>
        <v>-23803.200000000001</v>
      </c>
      <c r="E27" s="775">
        <f>+D27/NoOfSpaces</f>
        <v>-235.67524752475248</v>
      </c>
    </row>
    <row r="28" spans="1:13" x14ac:dyDescent="0.15">
      <c r="B28" s="551" t="str">
        <f>B24&amp;" Min Vacancy Rate"</f>
        <v>RV Min Vacancy Rate</v>
      </c>
      <c r="C28" s="780"/>
      <c r="D28" s="775">
        <f>+Proforma!F39*12</f>
        <v>0</v>
      </c>
      <c r="E28" s="775">
        <f>+D28/NoOfSpaces</f>
        <v>0</v>
      </c>
      <c r="H28" s="538"/>
      <c r="I28" s="538"/>
      <c r="J28" s="538"/>
    </row>
    <row r="29" spans="1:13" x14ac:dyDescent="0.15">
      <c r="B29" s="551" t="str">
        <f t="shared" ref="B29" si="1">B25&amp;" Min Vacancy Rate"</f>
        <v>Other Min Vacancy Rate</v>
      </c>
      <c r="C29" s="780"/>
      <c r="D29" s="775">
        <f>+Proforma!F40*12</f>
        <v>0</v>
      </c>
      <c r="E29" s="775">
        <f>+D29/NoOfSpaces</f>
        <v>0</v>
      </c>
      <c r="H29" s="572"/>
      <c r="I29" s="572"/>
      <c r="J29" s="572"/>
      <c r="K29" s="538"/>
      <c r="L29" s="538"/>
      <c r="M29" s="538"/>
    </row>
    <row r="30" spans="1:13" s="538" customFormat="1" x14ac:dyDescent="0.15">
      <c r="B30" s="691" t="s">
        <v>141</v>
      </c>
      <c r="C30" s="692">
        <f t="shared" ref="C30:E30" ca="1" si="2">SUM(C23:C25)+SUM(C27:C29)</f>
        <v>433593.94</v>
      </c>
      <c r="D30" s="692">
        <f t="shared" si="2"/>
        <v>452260.8</v>
      </c>
      <c r="E30" s="692">
        <f t="shared" si="2"/>
        <v>4477.8297029702971</v>
      </c>
      <c r="H30" s="539"/>
      <c r="I30" s="539"/>
      <c r="J30" s="539"/>
      <c r="K30" s="572"/>
      <c r="L30" s="572"/>
      <c r="M30" s="572"/>
    </row>
    <row r="31" spans="1:13" s="572" customFormat="1" ht="7" customHeight="1" x14ac:dyDescent="0.15">
      <c r="B31" s="576"/>
      <c r="C31" s="577"/>
      <c r="D31" s="775"/>
      <c r="E31" s="578"/>
      <c r="F31" s="539"/>
      <c r="H31" s="539"/>
      <c r="I31" s="539"/>
      <c r="J31" s="539"/>
      <c r="K31" s="539"/>
      <c r="L31" s="539"/>
      <c r="M31" s="539"/>
    </row>
    <row r="32" spans="1:13" ht="16" x14ac:dyDescent="0.3">
      <c r="B32" s="538" t="s">
        <v>142</v>
      </c>
      <c r="C32" s="579"/>
      <c r="D32" s="580"/>
      <c r="E32" s="581"/>
    </row>
    <row r="33" spans="1:6" x14ac:dyDescent="0.15">
      <c r="B33" s="551" t="str">
        <f>+Proforma!C44</f>
        <v xml:space="preserve">Electric </v>
      </c>
      <c r="C33" s="582"/>
      <c r="D33" s="781">
        <f>+Proforma!F44*12</f>
        <v>0</v>
      </c>
      <c r="E33" s="775">
        <f t="shared" ref="E33:E38" si="3">+D33/NoOfSpaces</f>
        <v>0</v>
      </c>
    </row>
    <row r="34" spans="1:6" x14ac:dyDescent="0.15">
      <c r="B34" s="551" t="str">
        <f>+Proforma!C45</f>
        <v>Gas / Propane</v>
      </c>
      <c r="C34" s="582"/>
      <c r="D34" s="781">
        <f>+Proforma!F45*12</f>
        <v>0</v>
      </c>
      <c r="E34" s="775">
        <f t="shared" si="3"/>
        <v>0</v>
      </c>
    </row>
    <row r="35" spans="1:6" x14ac:dyDescent="0.15">
      <c r="A35" s="539">
        <v>4101</v>
      </c>
      <c r="B35" s="551" t="str">
        <f>+Proforma!C46</f>
        <v>Trash (assume 95% pt yr 2)</v>
      </c>
      <c r="C35" s="582"/>
      <c r="D35" s="781">
        <f>+Proforma!F46*12</f>
        <v>13223</v>
      </c>
      <c r="E35" s="775">
        <f t="shared" si="3"/>
        <v>130.92079207920793</v>
      </c>
    </row>
    <row r="36" spans="1:6" x14ac:dyDescent="0.15">
      <c r="B36" s="551" t="str">
        <f>+Proforma!C47</f>
        <v>Sewer (assume 95% pt yr 2)</v>
      </c>
      <c r="C36" s="582"/>
      <c r="D36" s="781">
        <f>+Proforma!F47*12</f>
        <v>16101</v>
      </c>
      <c r="E36" s="775">
        <f t="shared" si="3"/>
        <v>159.41584158415841</v>
      </c>
    </row>
    <row r="37" spans="1:6" x14ac:dyDescent="0.15">
      <c r="B37" s="551" t="str">
        <f>+Proforma!C48</f>
        <v>Water (assume 95% pt yr 2)</v>
      </c>
      <c r="C37" s="582"/>
      <c r="D37" s="781">
        <f>+Proforma!F48*12</f>
        <v>1902</v>
      </c>
      <c r="E37" s="775">
        <f t="shared" si="3"/>
        <v>18.831683168316832</v>
      </c>
    </row>
    <row r="38" spans="1:6" x14ac:dyDescent="0.15">
      <c r="A38" s="544">
        <v>4403</v>
      </c>
      <c r="B38" s="551" t="str">
        <f>+Proforma!C49</f>
        <v>RV Storage</v>
      </c>
      <c r="C38" s="583"/>
      <c r="D38" s="782">
        <f>+Proforma!F49*12</f>
        <v>1400</v>
      </c>
      <c r="E38" s="775">
        <f t="shared" si="3"/>
        <v>13.861386138613861</v>
      </c>
    </row>
    <row r="39" spans="1:6" x14ac:dyDescent="0.15">
      <c r="A39" s="544">
        <v>4401</v>
      </c>
      <c r="B39" s="852" t="s">
        <v>150</v>
      </c>
      <c r="C39" s="585">
        <f ca="1">OFFSET('IE SUMMARY'!D21,0,MoveCount)</f>
        <v>32626.41</v>
      </c>
      <c r="D39" s="853">
        <f>SUM(D33:D38)</f>
        <v>32626</v>
      </c>
      <c r="E39" s="853">
        <f t="shared" ref="E39" si="4">SUM(E33:E38)</f>
        <v>323.02970297029702</v>
      </c>
    </row>
    <row r="40" spans="1:6" x14ac:dyDescent="0.15">
      <c r="A40" s="544">
        <v>4404</v>
      </c>
      <c r="B40" s="584" t="s">
        <v>447</v>
      </c>
      <c r="C40" s="585">
        <f ca="1">OFFSET('IE SUMMARY'!D24,0,MoveCount)</f>
        <v>0</v>
      </c>
      <c r="D40" s="775">
        <f>+Proforma!F51*12</f>
        <v>0</v>
      </c>
      <c r="E40" s="775"/>
    </row>
    <row r="41" spans="1:6" ht="7" customHeight="1" x14ac:dyDescent="0.15">
      <c r="A41" s="544"/>
      <c r="B41" s="584"/>
      <c r="C41" s="585"/>
      <c r="D41" s="775"/>
      <c r="E41" s="775"/>
    </row>
    <row r="42" spans="1:6" ht="14" thickBot="1" x14ac:dyDescent="0.2">
      <c r="A42" s="544">
        <v>4405</v>
      </c>
      <c r="B42" s="668" t="s">
        <v>448</v>
      </c>
      <c r="C42" s="669">
        <f ca="1">C39+C30+C40</f>
        <v>466220.35</v>
      </c>
      <c r="D42" s="669">
        <f t="shared" ref="D42:E42" si="5">D39+D30+D40</f>
        <v>484886.8</v>
      </c>
      <c r="E42" s="669">
        <f t="shared" si="5"/>
        <v>4800.8594059405941</v>
      </c>
    </row>
    <row r="43" spans="1:6" ht="14" thickTop="1" x14ac:dyDescent="0.15">
      <c r="A43" s="544">
        <v>4402</v>
      </c>
      <c r="B43" s="538"/>
      <c r="C43" s="586"/>
      <c r="D43" s="586"/>
      <c r="E43" s="586"/>
    </row>
    <row r="44" spans="1:6" x14ac:dyDescent="0.15">
      <c r="A44" s="544">
        <v>4998</v>
      </c>
      <c r="B44" s="565" t="s">
        <v>449</v>
      </c>
      <c r="C44" s="566" t="s">
        <v>444</v>
      </c>
      <c r="D44" s="568" t="s">
        <v>445</v>
      </c>
      <c r="E44" s="568" t="s">
        <v>154</v>
      </c>
    </row>
    <row r="45" spans="1:6" ht="16" x14ac:dyDescent="0.3">
      <c r="B45" s="538"/>
      <c r="C45" s="569">
        <f>M4</f>
        <v>2020</v>
      </c>
      <c r="D45" s="580"/>
      <c r="E45" s="587"/>
    </row>
    <row r="46" spans="1:6" x14ac:dyDescent="0.15">
      <c r="A46" s="544">
        <v>4134</v>
      </c>
      <c r="B46" s="551" t="s">
        <v>450</v>
      </c>
      <c r="C46" s="778">
        <f ca="1">OFFSET('IE SUMMARY'!D32,0,MoveCount)</f>
        <v>37875.879999999997</v>
      </c>
      <c r="D46" s="778">
        <f>+Proforma!E56</f>
        <v>48620</v>
      </c>
      <c r="E46" s="775">
        <f>+D46/$C$10</f>
        <v>481.38613861386136</v>
      </c>
      <c r="F46" s="783"/>
    </row>
    <row r="47" spans="1:6" x14ac:dyDescent="0.15">
      <c r="B47" s="551" t="s">
        <v>156</v>
      </c>
      <c r="C47" s="778">
        <f ca="1">OFFSET('IE SUMMARY'!D33,0,MoveCount)</f>
        <v>0</v>
      </c>
      <c r="D47" s="778">
        <f>+Proforma!E57</f>
        <v>8265.4000000000015</v>
      </c>
      <c r="E47" s="775">
        <f t="shared" ref="E47:E69" si="6">+D47/$C$10</f>
        <v>81.835643564356445</v>
      </c>
      <c r="F47" s="783"/>
    </row>
    <row r="48" spans="1:6" x14ac:dyDescent="0.15">
      <c r="B48" s="551" t="s">
        <v>157</v>
      </c>
      <c r="C48" s="778">
        <f ca="1">OFFSET('IE SUMMARY'!D34,0,MoveCount)</f>
        <v>5702</v>
      </c>
      <c r="D48" s="778">
        <f>+Proforma!E58</f>
        <v>2917.2</v>
      </c>
      <c r="E48" s="775">
        <f t="shared" si="6"/>
        <v>28.883168316831682</v>
      </c>
      <c r="F48" s="783"/>
    </row>
    <row r="49" spans="1:11" x14ac:dyDescent="0.15">
      <c r="B49" s="551" t="s">
        <v>158</v>
      </c>
      <c r="C49" s="778">
        <f ca="1">OFFSET('IE SUMMARY'!D35,0,MoveCount)</f>
        <v>4588.75</v>
      </c>
      <c r="D49" s="778">
        <f ca="1">+Proforma!E59</f>
        <v>4680.5249999999996</v>
      </c>
      <c r="E49" s="775">
        <f t="shared" ca="1" si="6"/>
        <v>46.341831683168316</v>
      </c>
      <c r="F49" s="783"/>
      <c r="H49" s="783"/>
      <c r="I49" s="783"/>
      <c r="J49" s="783"/>
    </row>
    <row r="50" spans="1:11" x14ac:dyDescent="0.15">
      <c r="B50" s="551" t="s">
        <v>159</v>
      </c>
      <c r="C50" s="778">
        <f ca="1">OFFSET('IE SUMMARY'!D36,0,MoveCount)</f>
        <v>1038.8499999999999</v>
      </c>
      <c r="D50" s="778">
        <f ca="1">+Proforma!E60</f>
        <v>1059.627</v>
      </c>
      <c r="E50" s="775">
        <f t="shared" ca="1" si="6"/>
        <v>10.491356435643564</v>
      </c>
      <c r="F50" s="783"/>
      <c r="H50" s="783"/>
      <c r="I50" s="783"/>
      <c r="J50" s="783"/>
      <c r="K50" s="783"/>
    </row>
    <row r="51" spans="1:11" x14ac:dyDescent="0.15">
      <c r="A51" s="544">
        <v>5701</v>
      </c>
      <c r="B51" s="551" t="s">
        <v>160</v>
      </c>
      <c r="C51" s="778">
        <f ca="1">OFFSET('IE SUMMARY'!D37,0,MoveCount)</f>
        <v>25393.64</v>
      </c>
      <c r="D51" s="778">
        <f ca="1">+Proforma!E61</f>
        <v>25901.5128</v>
      </c>
      <c r="E51" s="775">
        <f t="shared" ca="1" si="6"/>
        <v>256.45062178217825</v>
      </c>
      <c r="F51" s="783"/>
      <c r="G51" s="783"/>
      <c r="H51" s="783"/>
      <c r="I51" s="783"/>
      <c r="J51" s="783"/>
      <c r="K51" s="783"/>
    </row>
    <row r="52" spans="1:11" x14ac:dyDescent="0.15">
      <c r="A52" s="544">
        <v>5305</v>
      </c>
      <c r="B52" s="551" t="s">
        <v>161</v>
      </c>
      <c r="C52" s="778">
        <f ca="1">OFFSET('IE SUMMARY'!D38,0,MoveCount)</f>
        <v>31358.97</v>
      </c>
      <c r="D52" s="778">
        <f ca="1">+Proforma!E62</f>
        <v>31986.149400000002</v>
      </c>
      <c r="E52" s="775">
        <f t="shared" ca="1" si="6"/>
        <v>316.69454851485153</v>
      </c>
      <c r="F52" s="783"/>
      <c r="G52" s="783"/>
      <c r="H52" s="783"/>
      <c r="I52" s="783"/>
      <c r="J52" s="783"/>
      <c r="K52" s="783"/>
    </row>
    <row r="53" spans="1:11" x14ac:dyDescent="0.15">
      <c r="A53" s="544">
        <v>5306</v>
      </c>
      <c r="B53" s="551" t="s">
        <v>162</v>
      </c>
      <c r="C53" s="778">
        <f ca="1">OFFSET('IE SUMMARY'!D39,0,MoveCount)</f>
        <v>29221.96</v>
      </c>
      <c r="D53" s="778">
        <f ca="1">+Proforma!E63</f>
        <v>29806.3992</v>
      </c>
      <c r="E53" s="775">
        <f t="shared" ca="1" si="6"/>
        <v>295.11286336633663</v>
      </c>
      <c r="F53" s="783"/>
      <c r="G53" s="783"/>
      <c r="H53" s="783"/>
      <c r="I53" s="783"/>
      <c r="J53" s="783"/>
      <c r="K53" s="783"/>
    </row>
    <row r="54" spans="1:11" x14ac:dyDescent="0.15">
      <c r="A54" s="544">
        <v>5404</v>
      </c>
      <c r="B54" s="551" t="s">
        <v>163</v>
      </c>
      <c r="C54" s="778">
        <f ca="1">OFFSET('IE SUMMARY'!D40,0,MoveCount)</f>
        <v>6159.7899999999991</v>
      </c>
      <c r="D54" s="778">
        <f>+Proforma!E64</f>
        <v>1080</v>
      </c>
      <c r="E54" s="775">
        <f t="shared" si="6"/>
        <v>10.693069306930694</v>
      </c>
      <c r="F54" s="783"/>
      <c r="G54" s="783"/>
      <c r="H54" s="783"/>
      <c r="I54" s="783"/>
      <c r="J54" s="783"/>
      <c r="K54" s="783"/>
    </row>
    <row r="55" spans="1:11" x14ac:dyDescent="0.15">
      <c r="A55" s="544">
        <v>5401</v>
      </c>
      <c r="B55" s="551" t="s">
        <v>164</v>
      </c>
      <c r="C55" s="778">
        <f ca="1">OFFSET('IE SUMMARY'!D41,0,MoveCount)</f>
        <v>2727.25</v>
      </c>
      <c r="D55" s="778">
        <f>+Proforma!E65</f>
        <v>1000</v>
      </c>
      <c r="E55" s="775">
        <f t="shared" si="6"/>
        <v>9.9009900990099009</v>
      </c>
      <c r="F55" s="783"/>
      <c r="G55" s="783"/>
      <c r="H55" s="783"/>
      <c r="I55" s="783"/>
      <c r="J55" s="783"/>
      <c r="K55" s="783"/>
    </row>
    <row r="56" spans="1:11" x14ac:dyDescent="0.15">
      <c r="A56" s="544">
        <v>5405</v>
      </c>
      <c r="B56" s="551" t="str">
        <f>"Maintenance / Capital Reserve ("&amp;TEXT(I6,"$0")&amp;" per space / year)"</f>
        <v>Maintenance / Capital Reserve ($250 per space / year)</v>
      </c>
      <c r="C56" s="778">
        <f ca="1">OFFSET('IE SUMMARY'!D42,0,MoveCount)</f>
        <v>36709.519999999997</v>
      </c>
      <c r="D56" s="778">
        <f>+C10*Maintenance___Capital_Reserve</f>
        <v>25250</v>
      </c>
      <c r="E56" s="775">
        <f t="shared" si="6"/>
        <v>250</v>
      </c>
      <c r="F56" s="783"/>
      <c r="G56" s="783"/>
      <c r="H56" s="783"/>
      <c r="I56" s="783"/>
      <c r="J56" s="783"/>
      <c r="K56" s="783"/>
    </row>
    <row r="57" spans="1:11" x14ac:dyDescent="0.15">
      <c r="A57" s="544">
        <v>5403</v>
      </c>
      <c r="B57" s="551" t="s">
        <v>165</v>
      </c>
      <c r="C57" s="778">
        <f ca="1">OFFSET('IE SUMMARY'!D43,0,MoveCount)</f>
        <v>1013</v>
      </c>
      <c r="D57" s="778">
        <f>+Proforma!E67</f>
        <v>5000</v>
      </c>
      <c r="E57" s="775">
        <f t="shared" si="6"/>
        <v>49.504950495049506</v>
      </c>
      <c r="F57" s="783"/>
      <c r="G57" s="783"/>
      <c r="H57" s="783"/>
      <c r="I57" s="783"/>
      <c r="J57" s="783"/>
      <c r="K57" s="783"/>
    </row>
    <row r="58" spans="1:11" x14ac:dyDescent="0.15">
      <c r="A58" s="544">
        <v>5402</v>
      </c>
      <c r="B58" s="551" t="s">
        <v>166</v>
      </c>
      <c r="C58" s="778">
        <f ca="1">OFFSET('IE SUMMARY'!D44,0,MoveCount)</f>
        <v>23852.53</v>
      </c>
      <c r="D58" s="778">
        <f>+Proforma!E68</f>
        <v>12000</v>
      </c>
      <c r="E58" s="775">
        <f t="shared" si="6"/>
        <v>118.81188118811882</v>
      </c>
      <c r="F58" s="783"/>
      <c r="G58" s="783"/>
      <c r="H58" s="783"/>
      <c r="I58" s="783"/>
      <c r="J58" s="783"/>
      <c r="K58" s="783"/>
    </row>
    <row r="59" spans="1:11" x14ac:dyDescent="0.15">
      <c r="A59" s="544">
        <v>5603</v>
      </c>
      <c r="B59" s="551" t="s">
        <v>451</v>
      </c>
      <c r="C59" s="778">
        <f ca="1">OFFSET('IE SUMMARY'!D45,0,MoveCount)</f>
        <v>39744.04</v>
      </c>
      <c r="D59" s="778">
        <f>+Proforma!E69</f>
        <v>67398.974999999991</v>
      </c>
      <c r="E59" s="775">
        <f t="shared" si="6"/>
        <v>667.31658415841571</v>
      </c>
      <c r="F59" s="783"/>
      <c r="G59" s="783"/>
      <c r="H59" s="783"/>
      <c r="I59" s="783"/>
      <c r="J59" s="783"/>
      <c r="K59" s="783"/>
    </row>
    <row r="60" spans="1:11" x14ac:dyDescent="0.15">
      <c r="A60" s="544">
        <v>5020</v>
      </c>
      <c r="B60" s="551" t="s">
        <v>168</v>
      </c>
      <c r="C60" s="778">
        <f ca="1">OFFSET('IE SUMMARY'!D46,0,MoveCount)</f>
        <v>7711.74</v>
      </c>
      <c r="D60" s="778">
        <f>+Proforma!E70</f>
        <v>7500</v>
      </c>
      <c r="E60" s="775">
        <f t="shared" si="6"/>
        <v>74.257425742574256</v>
      </c>
      <c r="F60" s="783"/>
      <c r="G60" s="783"/>
      <c r="H60" s="783"/>
      <c r="I60" s="783"/>
      <c r="J60" s="783"/>
      <c r="K60" s="783"/>
    </row>
    <row r="61" spans="1:11" x14ac:dyDescent="0.15">
      <c r="A61" s="544">
        <v>5104</v>
      </c>
      <c r="B61" s="551" t="s">
        <v>169</v>
      </c>
      <c r="C61" s="778">
        <f ca="1">OFFSET('IE SUMMARY'!D47,0,MoveCount)</f>
        <v>0</v>
      </c>
      <c r="D61" s="778">
        <f>+Proforma!E71</f>
        <v>1095</v>
      </c>
      <c r="E61" s="775">
        <f t="shared" si="6"/>
        <v>10.841584158415841</v>
      </c>
      <c r="F61" s="783"/>
      <c r="G61" s="783"/>
      <c r="H61" s="783"/>
      <c r="I61" s="783"/>
      <c r="J61" s="783"/>
      <c r="K61" s="783"/>
    </row>
    <row r="62" spans="1:11" x14ac:dyDescent="0.15">
      <c r="A62" s="544">
        <v>5109</v>
      </c>
      <c r="B62" s="551" t="s">
        <v>170</v>
      </c>
      <c r="C62" s="778">
        <f ca="1">OFFSET('IE SUMMARY'!D48,0,MoveCount)</f>
        <v>554.20000000000005</v>
      </c>
      <c r="D62" s="778">
        <f>+Proforma!E72</f>
        <v>2500</v>
      </c>
      <c r="E62" s="775">
        <f t="shared" si="6"/>
        <v>24.752475247524753</v>
      </c>
      <c r="F62" s="783"/>
      <c r="G62" s="783"/>
      <c r="H62" s="783"/>
      <c r="I62" s="783"/>
      <c r="J62" s="783"/>
      <c r="K62" s="783"/>
    </row>
    <row r="63" spans="1:11" x14ac:dyDescent="0.15">
      <c r="A63" s="544">
        <v>5200</v>
      </c>
      <c r="B63" s="551" t="s">
        <v>171</v>
      </c>
      <c r="C63" s="778">
        <f ca="1">OFFSET('IE SUMMARY'!D49,0,MoveCount)</f>
        <v>0</v>
      </c>
      <c r="D63" s="778">
        <f>+Proforma!E73</f>
        <v>1700</v>
      </c>
      <c r="E63" s="775">
        <f t="shared" si="6"/>
        <v>16.831683168316832</v>
      </c>
      <c r="F63" s="783"/>
      <c r="G63" s="783"/>
      <c r="H63" s="783"/>
      <c r="I63" s="783"/>
      <c r="J63" s="783"/>
      <c r="K63" s="783"/>
    </row>
    <row r="64" spans="1:11" x14ac:dyDescent="0.15">
      <c r="A64" s="544">
        <v>5301</v>
      </c>
      <c r="B64" s="551" t="s">
        <v>172</v>
      </c>
      <c r="C64" s="778">
        <f ca="1">OFFSET('IE SUMMARY'!D50,0,MoveCount)</f>
        <v>0</v>
      </c>
      <c r="D64" s="778">
        <f>+Proforma!E74</f>
        <v>0</v>
      </c>
      <c r="E64" s="775">
        <f t="shared" si="6"/>
        <v>0</v>
      </c>
      <c r="F64" s="783"/>
      <c r="G64" s="783"/>
      <c r="H64" s="783"/>
      <c r="I64" s="783"/>
      <c r="J64" s="783"/>
      <c r="K64" s="783"/>
    </row>
    <row r="65" spans="1:76" x14ac:dyDescent="0.15">
      <c r="A65" s="544">
        <v>5053</v>
      </c>
      <c r="B65" s="551" t="s">
        <v>173</v>
      </c>
      <c r="C65" s="778">
        <f ca="1">OFFSET('IE SUMMARY'!D51,0,MoveCount)</f>
        <v>2647.12</v>
      </c>
      <c r="D65" s="778">
        <f>+Proforma!E75</f>
        <v>2450</v>
      </c>
      <c r="E65" s="775">
        <f t="shared" si="6"/>
        <v>24.257425742574256</v>
      </c>
      <c r="F65" s="783"/>
      <c r="G65" s="783"/>
      <c r="H65" s="783"/>
      <c r="I65" s="783"/>
      <c r="J65" s="783"/>
      <c r="K65" s="783"/>
    </row>
    <row r="66" spans="1:76" x14ac:dyDescent="0.15">
      <c r="A66" s="544">
        <v>5604</v>
      </c>
      <c r="B66" s="551" t="s">
        <v>174</v>
      </c>
      <c r="C66" s="778">
        <f ca="1">OFFSET('IE SUMMARY'!D52,0,MoveCount)</f>
        <v>3219</v>
      </c>
      <c r="D66" s="778">
        <f ca="1">+Proforma!E76</f>
        <v>3283.38</v>
      </c>
      <c r="E66" s="775">
        <f t="shared" ca="1" si="6"/>
        <v>32.50871287128713</v>
      </c>
      <c r="F66" s="783"/>
      <c r="G66" s="783"/>
      <c r="H66" s="783"/>
      <c r="I66" s="783"/>
      <c r="J66" s="783"/>
      <c r="K66" s="783"/>
    </row>
    <row r="67" spans="1:76" x14ac:dyDescent="0.15">
      <c r="A67" s="544">
        <v>5062</v>
      </c>
      <c r="B67" s="551" t="s">
        <v>175</v>
      </c>
      <c r="C67" s="778">
        <f ca="1">OFFSET('IE SUMMARY'!D53,0,MoveCount)</f>
        <v>24</v>
      </c>
      <c r="D67" s="778">
        <f>+Proforma!E77</f>
        <v>0</v>
      </c>
      <c r="E67" s="775">
        <f t="shared" si="6"/>
        <v>0</v>
      </c>
      <c r="F67" s="783"/>
      <c r="G67" s="783"/>
      <c r="H67" s="783"/>
      <c r="I67" s="783"/>
      <c r="J67" s="783"/>
      <c r="K67" s="783"/>
    </row>
    <row r="68" spans="1:76" x14ac:dyDescent="0.15">
      <c r="A68" s="544">
        <v>5302</v>
      </c>
      <c r="B68" s="551" t="s">
        <v>176</v>
      </c>
      <c r="C68" s="778">
        <f ca="1">OFFSET('IE SUMMARY'!D54,0,MoveCount)</f>
        <v>8831.06</v>
      </c>
      <c r="D68" s="778">
        <f>+Proforma!E78</f>
        <v>1500</v>
      </c>
      <c r="E68" s="775">
        <f t="shared" si="6"/>
        <v>14.851485148514852</v>
      </c>
      <c r="F68" s="783"/>
      <c r="G68" s="783"/>
      <c r="H68" s="783"/>
      <c r="I68" s="783"/>
      <c r="J68" s="783"/>
      <c r="K68" s="783"/>
    </row>
    <row r="69" spans="1:76" x14ac:dyDescent="0.15">
      <c r="A69" s="544">
        <v>5001</v>
      </c>
      <c r="B69" s="551" t="str">
        <f>"Professional Mgmt ("&amp;TEXT(MgmtFeeLimit,"$0,0")&amp;"/mo or "&amp;TEXT(MgmtFee,"0.0%"&amp;")")</f>
        <v>Professional Mgmt ($2,000/mo or 5.0%)</v>
      </c>
      <c r="C69" s="778">
        <f ca="1">OFFSET('IE SUMMARY'!D55,0,MoveCount)</f>
        <v>0</v>
      </c>
      <c r="D69" s="778">
        <f>IF(D42*I4&gt;I5,D42*I4,I5)</f>
        <v>24244.34</v>
      </c>
      <c r="E69" s="784">
        <f t="shared" si="6"/>
        <v>240.04297029702971</v>
      </c>
      <c r="F69" s="783"/>
      <c r="G69" s="783"/>
      <c r="H69" s="783"/>
      <c r="I69" s="783"/>
      <c r="J69" s="783"/>
      <c r="K69" s="783"/>
    </row>
    <row r="70" spans="1:76" ht="14" thickBot="1" x14ac:dyDescent="0.2">
      <c r="A70" s="544">
        <v>5061</v>
      </c>
      <c r="B70" s="670" t="s">
        <v>452</v>
      </c>
      <c r="C70" s="669">
        <f ca="1">SUM(C46:C69)</f>
        <v>268373.3</v>
      </c>
      <c r="D70" s="669">
        <f t="shared" ref="D70:E70" ca="1" si="7">SUM(D46:D69)</f>
        <v>309238.50839999999</v>
      </c>
      <c r="E70" s="669">
        <f t="shared" ca="1" si="7"/>
        <v>3061.7674099009905</v>
      </c>
      <c r="G70" s="783"/>
      <c r="H70" s="783"/>
      <c r="I70" s="783"/>
      <c r="J70" s="783"/>
      <c r="K70" s="783"/>
    </row>
    <row r="71" spans="1:76" ht="14" thickTop="1" x14ac:dyDescent="0.15">
      <c r="A71" s="544">
        <v>5304</v>
      </c>
      <c r="B71" s="588" t="s">
        <v>453</v>
      </c>
      <c r="C71" s="589">
        <f ca="1">+C70/C42</f>
        <v>0.5756361771853159</v>
      </c>
      <c r="D71" s="589">
        <f t="shared" ref="D71:E71" ca="1" si="8">+D70/D42</f>
        <v>0.63775402506316936</v>
      </c>
      <c r="E71" s="589">
        <f t="shared" ca="1" si="8"/>
        <v>0.63775402506316947</v>
      </c>
      <c r="G71" s="783"/>
      <c r="K71" s="783"/>
    </row>
    <row r="72" spans="1:76" ht="7" customHeight="1" x14ac:dyDescent="0.15">
      <c r="A72" s="544">
        <v>5000</v>
      </c>
      <c r="C72" s="567"/>
      <c r="D72" s="784"/>
      <c r="E72" s="775"/>
      <c r="F72" s="590"/>
      <c r="G72" s="783"/>
    </row>
    <row r="73" spans="1:76" ht="14" thickBot="1" x14ac:dyDescent="0.2">
      <c r="B73" s="668" t="s">
        <v>454</v>
      </c>
      <c r="C73" s="671">
        <f ca="1">+C42-C70</f>
        <v>197847.05</v>
      </c>
      <c r="D73" s="671">
        <f t="shared" ref="D73:E73" ca="1" si="9">+D42-D70</f>
        <v>175648.2916</v>
      </c>
      <c r="E73" s="671">
        <f t="shared" ca="1" si="9"/>
        <v>1739.0919960396036</v>
      </c>
      <c r="F73" s="590"/>
      <c r="H73" s="590"/>
      <c r="I73" s="590"/>
      <c r="J73" s="590"/>
    </row>
    <row r="74" spans="1:76" ht="14" thickTop="1" x14ac:dyDescent="0.15">
      <c r="B74" s="591"/>
      <c r="C74" s="539"/>
      <c r="E74" s="785"/>
      <c r="F74" s="786"/>
      <c r="H74" s="590"/>
      <c r="I74" s="590"/>
      <c r="J74" s="590"/>
      <c r="K74" s="590"/>
      <c r="L74" s="590"/>
      <c r="M74" s="590"/>
    </row>
    <row r="75" spans="1:76" x14ac:dyDescent="0.15">
      <c r="B75" s="538" t="s">
        <v>455</v>
      </c>
      <c r="D75" s="593">
        <f>+Proforma!O23</f>
        <v>0</v>
      </c>
      <c r="G75" s="590"/>
      <c r="H75" s="786"/>
      <c r="I75" s="786"/>
      <c r="J75" s="786"/>
      <c r="K75" s="590"/>
      <c r="L75" s="590"/>
      <c r="M75" s="590"/>
      <c r="N75" s="590"/>
      <c r="O75" s="590"/>
      <c r="P75" s="590"/>
      <c r="Q75" s="590"/>
      <c r="R75" s="590"/>
      <c r="S75" s="590"/>
      <c r="T75" s="590"/>
      <c r="U75" s="590"/>
      <c r="V75" s="590"/>
      <c r="W75" s="590"/>
      <c r="X75" s="590"/>
      <c r="Y75" s="590"/>
      <c r="Z75" s="590"/>
      <c r="AA75" s="590"/>
      <c r="AB75" s="590"/>
      <c r="AC75" s="590"/>
      <c r="AD75" s="590"/>
      <c r="AE75" s="590"/>
      <c r="AF75" s="590"/>
      <c r="AG75" s="590"/>
      <c r="AH75" s="590"/>
      <c r="AI75" s="590"/>
      <c r="AJ75" s="590"/>
      <c r="AK75" s="590"/>
      <c r="AL75" s="590"/>
      <c r="AM75" s="590"/>
      <c r="AN75" s="590"/>
      <c r="AO75" s="590"/>
      <c r="AP75" s="590"/>
      <c r="AQ75" s="590"/>
      <c r="AR75" s="590"/>
      <c r="AS75" s="590"/>
      <c r="AT75" s="590"/>
      <c r="AU75" s="590"/>
    </row>
    <row r="76" spans="1:76" x14ac:dyDescent="0.15">
      <c r="G76" s="590"/>
      <c r="K76" s="786"/>
      <c r="L76" s="786"/>
      <c r="M76" s="786"/>
      <c r="N76" s="590"/>
      <c r="O76" s="590"/>
      <c r="P76" s="590"/>
      <c r="Q76" s="590"/>
      <c r="R76" s="590"/>
      <c r="S76" s="590"/>
      <c r="T76" s="590"/>
      <c r="U76" s="590"/>
      <c r="V76" s="590"/>
      <c r="W76" s="590"/>
      <c r="X76" s="590"/>
      <c r="Y76" s="590"/>
      <c r="Z76" s="590"/>
      <c r="AA76" s="590"/>
      <c r="AB76" s="590"/>
      <c r="AC76" s="590"/>
      <c r="AD76" s="590"/>
      <c r="AE76" s="590"/>
      <c r="AF76" s="590"/>
      <c r="AG76" s="590"/>
      <c r="AH76" s="590"/>
      <c r="AI76" s="590"/>
      <c r="AJ76" s="590"/>
      <c r="AK76" s="590"/>
      <c r="AL76" s="590"/>
      <c r="AM76" s="590"/>
      <c r="AN76" s="590"/>
      <c r="AO76" s="590"/>
      <c r="AP76" s="590"/>
      <c r="AQ76" s="590"/>
      <c r="AR76" s="590"/>
      <c r="AS76" s="590"/>
      <c r="AT76" s="590"/>
      <c r="AU76" s="590"/>
    </row>
    <row r="77" spans="1:76" x14ac:dyDescent="0.15">
      <c r="G77" s="786"/>
      <c r="N77" s="786"/>
      <c r="O77" s="786"/>
      <c r="P77" s="786"/>
      <c r="Q77" s="786"/>
      <c r="R77" s="590"/>
      <c r="S77" s="590"/>
      <c r="T77" s="590"/>
      <c r="U77" s="590"/>
      <c r="V77" s="590"/>
      <c r="W77" s="590"/>
      <c r="X77" s="590"/>
      <c r="Y77" s="590"/>
      <c r="Z77" s="590"/>
      <c r="AA77" s="590"/>
      <c r="AB77" s="590"/>
      <c r="AC77" s="590"/>
      <c r="AD77" s="590"/>
      <c r="AE77" s="590"/>
      <c r="AF77" s="590"/>
      <c r="AG77" s="590"/>
      <c r="AH77" s="590"/>
      <c r="AI77" s="590"/>
      <c r="AJ77" s="590"/>
      <c r="AK77" s="590"/>
      <c r="AL77" s="590"/>
      <c r="AM77" s="590"/>
      <c r="AN77" s="590"/>
      <c r="AO77" s="590"/>
      <c r="AP77" s="590"/>
      <c r="AQ77" s="590"/>
      <c r="AR77" s="590"/>
      <c r="AS77" s="590"/>
      <c r="AT77" s="590"/>
      <c r="AU77" s="590"/>
      <c r="AV77" s="590"/>
      <c r="AW77" s="590"/>
      <c r="AX77" s="590"/>
      <c r="AY77" s="590"/>
      <c r="AZ77" s="590"/>
      <c r="BA77" s="590"/>
      <c r="BB77" s="590"/>
      <c r="BC77" s="590"/>
      <c r="BD77" s="590"/>
      <c r="BE77" s="590"/>
      <c r="BF77" s="590"/>
      <c r="BG77" s="590"/>
      <c r="BH77" s="590"/>
      <c r="BI77" s="590"/>
      <c r="BJ77" s="590"/>
      <c r="BK77" s="590"/>
      <c r="BL77" s="590"/>
      <c r="BM77" s="590"/>
      <c r="BN77" s="590"/>
      <c r="BO77" s="590"/>
      <c r="BP77" s="590"/>
      <c r="BQ77" s="590"/>
      <c r="BR77" s="590"/>
      <c r="BS77" s="590"/>
      <c r="BT77" s="590"/>
      <c r="BU77" s="590"/>
      <c r="BV77" s="590"/>
      <c r="BW77" s="590"/>
      <c r="BX77" s="590"/>
    </row>
  </sheetData>
  <sheetProtection algorithmName="SHA-512" hashValue="PPOYnFJD2i2EXiRHjF0CaqEdUKTEeM+MIEYppvQpaeE+q10LZuH74Q/jdmjN56ssUlo+AcZcn1U+x5Fm4njliw==" saltValue="zkp9a9Oj9g1ku9SNCF9jaw==" spinCount="100000" sheet="1" objects="1" scenarios="1"/>
  <mergeCells count="1">
    <mergeCell ref="C1:D1"/>
  </mergeCells>
  <pageMargins left="0.25" right="0.25" top="0.75" bottom="0.75" header="0.3" footer="0.3"/>
  <pageSetup scale="36" fitToHeight="0" orientation="landscape" r:id="rId1"/>
  <headerFooter alignWithMargins="0"/>
  <legacyDrawing r:id="rId2"/>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F641CDD3-3958-42B2-948B-F1DF35CAEC2A}">
          <x14:formula1>
            <xm:f>'IE Data Entry'!$P$2:$P$5</xm:f>
          </x14:formula1>
          <xm:sqref>M4</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CB81D2-335C-43A6-BBC4-B42BDF8518C2}">
  <sheetPr codeName="Sheet10">
    <tabColor rgb="FF7030A0"/>
  </sheetPr>
  <dimension ref="A1:R103"/>
  <sheetViews>
    <sheetView topLeftCell="A58" workbookViewId="0">
      <selection sqref="A1:L1"/>
    </sheetView>
  </sheetViews>
  <sheetFormatPr baseColWidth="10" defaultColWidth="9.1640625" defaultRowHeight="15" x14ac:dyDescent="0.2"/>
  <cols>
    <col min="1" max="1" width="27.6640625" style="157" bestFit="1" customWidth="1"/>
    <col min="2" max="2" width="9.5" style="161" bestFit="1" customWidth="1"/>
    <col min="3" max="3" width="10.33203125" style="157" bestFit="1" customWidth="1"/>
    <col min="4" max="4" width="10.6640625" style="157" bestFit="1" customWidth="1"/>
    <col min="5" max="5" width="9.83203125" style="157" bestFit="1" customWidth="1"/>
    <col min="6" max="6" width="9.83203125" style="157" customWidth="1"/>
    <col min="7" max="7" width="10.33203125" style="157" bestFit="1" customWidth="1"/>
    <col min="8" max="8" width="10.1640625" style="157" bestFit="1" customWidth="1"/>
    <col min="9" max="9" width="13.83203125" style="157" customWidth="1"/>
    <col min="10" max="10" width="1.5" style="157" customWidth="1"/>
    <col min="11" max="11" width="38.5" style="157" customWidth="1"/>
    <col min="12" max="12" width="55.5" style="157" customWidth="1"/>
    <col min="13" max="13" width="9.1640625" style="157"/>
    <col min="14" max="14" width="20.6640625" style="157" customWidth="1"/>
    <col min="15" max="16384" width="9.1640625" style="157"/>
  </cols>
  <sheetData>
    <row r="1" spans="1:18" x14ac:dyDescent="0.2">
      <c r="A1" s="881" t="s">
        <v>456</v>
      </c>
      <c r="B1" s="881"/>
      <c r="C1" s="881"/>
      <c r="D1" s="881"/>
      <c r="E1" s="881"/>
      <c r="F1" s="881"/>
      <c r="G1" s="881"/>
      <c r="H1" s="881"/>
      <c r="I1" s="881"/>
      <c r="J1" s="881"/>
      <c r="K1" s="881"/>
      <c r="L1" s="881"/>
      <c r="O1" s="891" t="s">
        <v>457</v>
      </c>
      <c r="P1" s="892"/>
      <c r="Q1" s="892"/>
      <c r="R1" s="893"/>
    </row>
    <row r="2" spans="1:18" x14ac:dyDescent="0.2">
      <c r="A2" s="157" t="s">
        <v>458</v>
      </c>
      <c r="B2" s="158"/>
      <c r="C2" s="159"/>
      <c r="D2" s="159"/>
      <c r="E2" s="159"/>
      <c r="F2" s="159"/>
      <c r="G2" s="159"/>
      <c r="H2" s="159"/>
      <c r="I2" s="159"/>
      <c r="J2" s="159"/>
      <c r="K2" s="159"/>
      <c r="L2" s="159"/>
      <c r="O2" s="267">
        <f>VLOOKUP(Proforma!N4,P2:Q5,2,FALSE)</f>
        <v>0</v>
      </c>
      <c r="P2" s="787">
        <v>2021</v>
      </c>
      <c r="Q2" s="708">
        <v>0</v>
      </c>
      <c r="R2" s="268"/>
    </row>
    <row r="3" spans="1:18" x14ac:dyDescent="0.2">
      <c r="A3" s="157" t="s">
        <v>459</v>
      </c>
      <c r="B3" s="160">
        <v>2022</v>
      </c>
      <c r="C3" s="161"/>
      <c r="D3" s="161"/>
      <c r="O3" s="267"/>
      <c r="P3" s="787" t="s">
        <v>83</v>
      </c>
      <c r="Q3" s="708">
        <v>1</v>
      </c>
      <c r="R3" s="268"/>
    </row>
    <row r="4" spans="1:18" x14ac:dyDescent="0.2">
      <c r="A4" s="157" t="s">
        <v>460</v>
      </c>
      <c r="B4" s="161">
        <f>+B3-1</f>
        <v>2021</v>
      </c>
      <c r="C4" s="161">
        <f>+B4-1</f>
        <v>2020</v>
      </c>
      <c r="D4" s="161">
        <f>+C4-1</f>
        <v>2019</v>
      </c>
      <c r="O4" s="788"/>
      <c r="P4" s="787" t="s">
        <v>461</v>
      </c>
      <c r="Q4" s="708">
        <v>2</v>
      </c>
      <c r="R4" s="268"/>
    </row>
    <row r="5" spans="1:18" ht="16" thickBot="1" x14ac:dyDescent="0.25">
      <c r="A5" s="157" t="str">
        <f>"For YTD "&amp;B3&amp;" Income Statement"</f>
        <v>For YTD 2022 Income Statement</v>
      </c>
      <c r="B5" s="157"/>
      <c r="C5" s="162" t="s">
        <v>462</v>
      </c>
      <c r="D5" s="163">
        <v>43921</v>
      </c>
      <c r="E5" s="164"/>
      <c r="F5" s="164"/>
      <c r="G5" s="165" t="s">
        <v>463</v>
      </c>
      <c r="H5" s="166">
        <f>MONTH(D5)</f>
        <v>3</v>
      </c>
      <c r="O5" s="789"/>
      <c r="P5" s="790" t="s">
        <v>91</v>
      </c>
      <c r="Q5" s="762">
        <v>3</v>
      </c>
      <c r="R5" s="269"/>
    </row>
    <row r="6" spans="1:18" ht="6" customHeight="1" x14ac:dyDescent="0.2">
      <c r="B6" s="157"/>
    </row>
    <row r="7" spans="1:18" x14ac:dyDescent="0.2">
      <c r="A7" s="890" t="s">
        <v>464</v>
      </c>
      <c r="B7" s="890"/>
      <c r="C7" s="890"/>
      <c r="D7" s="890"/>
      <c r="E7" s="890"/>
      <c r="F7" s="890"/>
      <c r="G7" s="890"/>
      <c r="H7" s="890"/>
      <c r="I7" s="890"/>
      <c r="J7" s="890"/>
      <c r="K7" s="890"/>
      <c r="L7" s="890"/>
    </row>
    <row r="8" spans="1:18" x14ac:dyDescent="0.2">
      <c r="A8" s="167"/>
      <c r="B8" s="168" t="s">
        <v>465</v>
      </c>
      <c r="C8" s="168"/>
      <c r="D8" s="168"/>
      <c r="E8" s="168"/>
      <c r="F8" s="168"/>
      <c r="G8" s="168" t="s">
        <v>466</v>
      </c>
      <c r="H8" s="168" t="s">
        <v>467</v>
      </c>
      <c r="I8" s="168" t="s">
        <v>468</v>
      </c>
      <c r="J8" s="168"/>
    </row>
    <row r="9" spans="1:18" ht="16" thickBot="1" x14ac:dyDescent="0.25">
      <c r="A9" s="167" t="s">
        <v>469</v>
      </c>
      <c r="B9" s="168" t="s">
        <v>470</v>
      </c>
      <c r="C9" s="168">
        <f>+D4</f>
        <v>2019</v>
      </c>
      <c r="D9" s="168">
        <f>+C4</f>
        <v>2020</v>
      </c>
      <c r="E9" s="168">
        <f>+B4</f>
        <v>2021</v>
      </c>
      <c r="F9" s="168" t="s">
        <v>83</v>
      </c>
      <c r="G9" s="168">
        <f>Current_Year</f>
        <v>2022</v>
      </c>
      <c r="H9" s="169">
        <f>Current_Year</f>
        <v>2022</v>
      </c>
      <c r="I9" s="168" t="s">
        <v>471</v>
      </c>
      <c r="J9" s="169"/>
      <c r="K9" s="170" t="s">
        <v>472</v>
      </c>
      <c r="L9" s="170" t="s">
        <v>473</v>
      </c>
    </row>
    <row r="10" spans="1:18" x14ac:dyDescent="0.2">
      <c r="A10" s="693" t="s">
        <v>474</v>
      </c>
      <c r="B10" s="694">
        <v>4998</v>
      </c>
      <c r="C10" s="695"/>
      <c r="D10" s="695"/>
      <c r="E10" s="695">
        <v>1400</v>
      </c>
      <c r="F10" s="695"/>
      <c r="G10" s="695"/>
      <c r="H10" s="171">
        <f t="shared" ref="H10:H24" si="0">+G10/$H$5*12</f>
        <v>0</v>
      </c>
      <c r="I10" s="695"/>
      <c r="K10" s="157" t="str">
        <f t="shared" ref="K10:K24" si="1">VLOOKUP($B10,Income_Account_Codes,2,)</f>
        <v>Other, misc.</v>
      </c>
      <c r="N10" s="693" t="s">
        <v>475</v>
      </c>
      <c r="O10" s="694">
        <v>1</v>
      </c>
      <c r="P10" s="791"/>
    </row>
    <row r="11" spans="1:18" x14ac:dyDescent="0.2">
      <c r="A11" s="696" t="s">
        <v>476</v>
      </c>
      <c r="B11" s="694">
        <v>4402</v>
      </c>
      <c r="C11" s="695"/>
      <c r="D11" s="695"/>
      <c r="E11" s="695">
        <v>1902.41</v>
      </c>
      <c r="F11" s="695"/>
      <c r="G11" s="695"/>
      <c r="H11" s="171">
        <f t="shared" si="0"/>
        <v>0</v>
      </c>
      <c r="I11" s="695"/>
      <c r="K11" s="157" t="str">
        <f t="shared" si="1"/>
        <v>Water</v>
      </c>
      <c r="N11" s="696" t="s">
        <v>477</v>
      </c>
      <c r="O11" s="694">
        <v>2</v>
      </c>
      <c r="P11" s="791"/>
    </row>
    <row r="12" spans="1:18" x14ac:dyDescent="0.2">
      <c r="A12" s="693" t="s">
        <v>478</v>
      </c>
      <c r="B12" s="694">
        <v>1</v>
      </c>
      <c r="C12" s="695"/>
      <c r="D12" s="695"/>
      <c r="E12" s="695">
        <v>433593.94</v>
      </c>
      <c r="F12" s="695"/>
      <c r="G12" s="695"/>
      <c r="H12" s="171">
        <f t="shared" si="0"/>
        <v>0</v>
      </c>
      <c r="I12" s="695"/>
      <c r="K12" s="157" t="str">
        <f t="shared" si="1"/>
        <v>MH Space Rent Tier 1</v>
      </c>
      <c r="N12" s="693" t="s">
        <v>479</v>
      </c>
      <c r="O12" s="694">
        <v>3</v>
      </c>
      <c r="P12" s="791"/>
    </row>
    <row r="13" spans="1:18" x14ac:dyDescent="0.2">
      <c r="A13" s="696" t="s">
        <v>480</v>
      </c>
      <c r="B13" s="694">
        <v>4403</v>
      </c>
      <c r="C13" s="695"/>
      <c r="D13" s="695"/>
      <c r="E13" s="695">
        <v>16101</v>
      </c>
      <c r="F13" s="695"/>
      <c r="G13" s="695"/>
      <c r="H13" s="171">
        <f t="shared" si="0"/>
        <v>0</v>
      </c>
      <c r="I13" s="695"/>
      <c r="K13" s="157" t="str">
        <f t="shared" si="1"/>
        <v>Electric</v>
      </c>
      <c r="N13" s="696" t="s">
        <v>481</v>
      </c>
      <c r="O13" s="694">
        <v>4</v>
      </c>
      <c r="P13" s="791"/>
    </row>
    <row r="14" spans="1:18" x14ac:dyDescent="0.2">
      <c r="A14" s="693" t="s">
        <v>482</v>
      </c>
      <c r="B14" s="694">
        <v>4404</v>
      </c>
      <c r="C14" s="695"/>
      <c r="D14" s="695"/>
      <c r="E14" s="695">
        <v>13223</v>
      </c>
      <c r="F14" s="695"/>
      <c r="G14" s="695"/>
      <c r="H14" s="171">
        <f t="shared" si="0"/>
        <v>0</v>
      </c>
      <c r="I14" s="695"/>
      <c r="K14" s="157" t="str">
        <f t="shared" si="1"/>
        <v>Trash</v>
      </c>
      <c r="N14" s="693" t="s">
        <v>158</v>
      </c>
      <c r="O14" s="694">
        <v>4403</v>
      </c>
      <c r="P14" s="791"/>
    </row>
    <row r="15" spans="1:18" x14ac:dyDescent="0.2">
      <c r="A15" s="693"/>
      <c r="B15" s="694"/>
      <c r="C15" s="695"/>
      <c r="D15" s="695"/>
      <c r="E15" s="695"/>
      <c r="F15" s="695"/>
      <c r="G15" s="695"/>
      <c r="H15" s="171">
        <f t="shared" si="0"/>
        <v>0</v>
      </c>
      <c r="I15" s="695"/>
      <c r="K15" s="157" t="e">
        <f t="shared" si="1"/>
        <v>#N/A</v>
      </c>
      <c r="N15" s="693" t="s">
        <v>145</v>
      </c>
      <c r="O15" s="694">
        <v>4401</v>
      </c>
      <c r="P15" s="791"/>
    </row>
    <row r="16" spans="1:18" x14ac:dyDescent="0.2">
      <c r="A16" s="693"/>
      <c r="B16" s="694"/>
      <c r="C16" s="695"/>
      <c r="D16" s="695"/>
      <c r="E16" s="695"/>
      <c r="F16" s="695"/>
      <c r="G16" s="695"/>
      <c r="H16" s="171">
        <f t="shared" si="0"/>
        <v>0</v>
      </c>
      <c r="I16" s="695"/>
      <c r="K16" s="157" t="e">
        <f t="shared" si="1"/>
        <v>#N/A</v>
      </c>
      <c r="N16" s="693" t="s">
        <v>160</v>
      </c>
      <c r="O16" s="694">
        <v>4404</v>
      </c>
      <c r="P16" s="791"/>
    </row>
    <row r="17" spans="1:16" x14ac:dyDescent="0.2">
      <c r="A17" s="693"/>
      <c r="B17" s="694"/>
      <c r="C17" s="695"/>
      <c r="D17" s="695"/>
      <c r="E17" s="695"/>
      <c r="F17" s="695"/>
      <c r="G17" s="695"/>
      <c r="H17" s="171">
        <f t="shared" si="0"/>
        <v>0</v>
      </c>
      <c r="I17" s="695"/>
      <c r="K17" s="157" t="e">
        <f t="shared" si="1"/>
        <v>#N/A</v>
      </c>
      <c r="N17" s="693" t="s">
        <v>368</v>
      </c>
      <c r="O17" s="694">
        <v>4405</v>
      </c>
      <c r="P17" s="791"/>
    </row>
    <row r="18" spans="1:16" x14ac:dyDescent="0.2">
      <c r="A18" s="693"/>
      <c r="B18" s="694"/>
      <c r="C18" s="695"/>
      <c r="D18" s="695"/>
      <c r="E18" s="695"/>
      <c r="F18" s="695"/>
      <c r="G18" s="695"/>
      <c r="H18" s="171">
        <f t="shared" si="0"/>
        <v>0</v>
      </c>
      <c r="I18" s="695"/>
      <c r="K18" s="157" t="e">
        <f t="shared" si="1"/>
        <v>#N/A</v>
      </c>
      <c r="N18" s="693" t="s">
        <v>367</v>
      </c>
      <c r="O18" s="694">
        <v>4402</v>
      </c>
      <c r="P18" s="791"/>
    </row>
    <row r="19" spans="1:16" x14ac:dyDescent="0.2">
      <c r="A19" s="693"/>
      <c r="B19" s="694"/>
      <c r="C19" s="695"/>
      <c r="D19" s="695"/>
      <c r="E19" s="695"/>
      <c r="F19" s="695"/>
      <c r="G19" s="695"/>
      <c r="H19" s="171">
        <f t="shared" si="0"/>
        <v>0</v>
      </c>
      <c r="I19" s="695"/>
      <c r="K19" s="157" t="e">
        <f t="shared" si="1"/>
        <v>#N/A</v>
      </c>
      <c r="N19" s="693" t="s">
        <v>483</v>
      </c>
      <c r="O19" s="694">
        <v>4998</v>
      </c>
      <c r="P19" s="791"/>
    </row>
    <row r="20" spans="1:16" x14ac:dyDescent="0.2">
      <c r="A20" s="693"/>
      <c r="B20" s="694"/>
      <c r="C20" s="695"/>
      <c r="D20" s="695"/>
      <c r="E20" s="695"/>
      <c r="F20" s="695"/>
      <c r="G20" s="695"/>
      <c r="H20" s="171">
        <f t="shared" si="0"/>
        <v>0</v>
      </c>
      <c r="I20" s="695"/>
      <c r="K20" s="157" t="e">
        <f t="shared" si="1"/>
        <v>#N/A</v>
      </c>
      <c r="N20" s="693" t="s">
        <v>484</v>
      </c>
      <c r="O20" s="694">
        <v>4134</v>
      </c>
      <c r="P20" s="791"/>
    </row>
    <row r="21" spans="1:16" x14ac:dyDescent="0.2">
      <c r="A21" s="693"/>
      <c r="B21" s="694"/>
      <c r="C21" s="695"/>
      <c r="D21" s="695"/>
      <c r="E21" s="695"/>
      <c r="F21" s="695"/>
      <c r="G21" s="695"/>
      <c r="H21" s="171">
        <f t="shared" si="0"/>
        <v>0</v>
      </c>
      <c r="I21" s="695"/>
      <c r="K21" s="157" t="e">
        <f t="shared" si="1"/>
        <v>#N/A</v>
      </c>
    </row>
    <row r="22" spans="1:16" x14ac:dyDescent="0.2">
      <c r="A22" s="693"/>
      <c r="B22" s="694"/>
      <c r="C22" s="695"/>
      <c r="D22" s="695"/>
      <c r="E22" s="695"/>
      <c r="F22" s="695"/>
      <c r="G22" s="695"/>
      <c r="H22" s="171">
        <f t="shared" si="0"/>
        <v>0</v>
      </c>
      <c r="I22" s="695"/>
      <c r="K22" s="157" t="e">
        <f t="shared" si="1"/>
        <v>#N/A</v>
      </c>
    </row>
    <row r="23" spans="1:16" x14ac:dyDescent="0.2">
      <c r="A23" s="693"/>
      <c r="B23" s="694"/>
      <c r="C23" s="695"/>
      <c r="D23" s="695"/>
      <c r="E23" s="695"/>
      <c r="F23" s="695"/>
      <c r="G23" s="695"/>
      <c r="H23" s="171">
        <f t="shared" si="0"/>
        <v>0</v>
      </c>
      <c r="I23" s="695"/>
      <c r="K23" s="157" t="e">
        <f t="shared" si="1"/>
        <v>#N/A</v>
      </c>
    </row>
    <row r="24" spans="1:16" x14ac:dyDescent="0.2">
      <c r="A24" s="693"/>
      <c r="B24" s="694"/>
      <c r="C24" s="695"/>
      <c r="D24" s="695"/>
      <c r="E24" s="695"/>
      <c r="F24" s="695"/>
      <c r="G24" s="695"/>
      <c r="H24" s="171">
        <f t="shared" si="0"/>
        <v>0</v>
      </c>
      <c r="I24" s="695"/>
      <c r="K24" s="157" t="e">
        <f t="shared" si="1"/>
        <v>#N/A</v>
      </c>
    </row>
    <row r="25" spans="1:16" x14ac:dyDescent="0.2">
      <c r="A25" s="176" t="s">
        <v>485</v>
      </c>
      <c r="B25" s="157"/>
      <c r="C25" s="178">
        <f>SUM(C10:C24)</f>
        <v>0</v>
      </c>
      <c r="D25" s="178">
        <f t="shared" ref="D25:I25" si="2">SUM(D10:D24)</f>
        <v>0</v>
      </c>
      <c r="E25" s="178">
        <f t="shared" si="2"/>
        <v>466220.35</v>
      </c>
      <c r="F25" s="178">
        <f t="shared" si="2"/>
        <v>0</v>
      </c>
      <c r="G25" s="178">
        <f t="shared" si="2"/>
        <v>0</v>
      </c>
      <c r="H25" s="178">
        <f t="shared" si="2"/>
        <v>0</v>
      </c>
      <c r="I25" s="178">
        <f t="shared" si="2"/>
        <v>0</v>
      </c>
    </row>
    <row r="26" spans="1:16" x14ac:dyDescent="0.2">
      <c r="B26" s="157"/>
    </row>
    <row r="27" spans="1:16" x14ac:dyDescent="0.2">
      <c r="A27" s="890" t="s">
        <v>486</v>
      </c>
      <c r="B27" s="890"/>
      <c r="C27" s="890"/>
      <c r="D27" s="890"/>
      <c r="E27" s="890"/>
      <c r="F27" s="890"/>
      <c r="G27" s="890"/>
      <c r="H27" s="890"/>
      <c r="I27" s="890"/>
      <c r="J27" s="890"/>
      <c r="K27" s="890"/>
      <c r="L27" s="890"/>
    </row>
    <row r="28" spans="1:16" x14ac:dyDescent="0.2">
      <c r="A28" s="167"/>
      <c r="B28" s="168" t="s">
        <v>465</v>
      </c>
      <c r="C28" s="168"/>
      <c r="D28" s="168"/>
      <c r="E28" s="168"/>
      <c r="F28" s="168"/>
      <c r="G28" s="168" t="s">
        <v>466</v>
      </c>
      <c r="H28" s="168" t="s">
        <v>467</v>
      </c>
      <c r="I28" s="168" t="s">
        <v>468</v>
      </c>
      <c r="J28" s="168"/>
    </row>
    <row r="29" spans="1:16" ht="16" thickBot="1" x14ac:dyDescent="0.25">
      <c r="A29" s="170" t="s">
        <v>487</v>
      </c>
      <c r="B29" s="169" t="s">
        <v>470</v>
      </c>
      <c r="C29" s="169">
        <f>+D4</f>
        <v>2019</v>
      </c>
      <c r="D29" s="169">
        <f>+C4</f>
        <v>2020</v>
      </c>
      <c r="E29" s="169">
        <f>+B4</f>
        <v>2021</v>
      </c>
      <c r="F29" s="169" t="str">
        <f>+F9</f>
        <v>Trailing 12</v>
      </c>
      <c r="G29" s="169">
        <f>Current_Year</f>
        <v>2022</v>
      </c>
      <c r="H29" s="169">
        <f>Current_Year</f>
        <v>2022</v>
      </c>
      <c r="I29" s="169" t="s">
        <v>471</v>
      </c>
      <c r="J29" s="169"/>
      <c r="K29" s="170" t="s">
        <v>472</v>
      </c>
      <c r="L29" s="170" t="s">
        <v>473</v>
      </c>
    </row>
    <row r="30" spans="1:16" x14ac:dyDescent="0.2">
      <c r="A30" s="172" t="s">
        <v>488</v>
      </c>
      <c r="B30" s="173">
        <v>5301</v>
      </c>
      <c r="C30" s="174"/>
      <c r="D30" s="174"/>
      <c r="E30" s="174"/>
      <c r="F30" s="174"/>
      <c r="G30" s="174"/>
      <c r="H30" s="171">
        <f>+G30/$H$5*12</f>
        <v>0</v>
      </c>
      <c r="I30" s="174">
        <v>74750</v>
      </c>
      <c r="K30" s="175" t="str">
        <f t="shared" ref="K30:K100" si="3">VLOOKUP(B30,ChartOfAccounts,2,)</f>
        <v xml:space="preserve">Property Taxes </v>
      </c>
      <c r="L30" s="175"/>
      <c r="N30" s="172" t="s">
        <v>489</v>
      </c>
      <c r="O30" s="173">
        <v>5701</v>
      </c>
    </row>
    <row r="31" spans="1:16" x14ac:dyDescent="0.2">
      <c r="A31" s="693" t="s">
        <v>490</v>
      </c>
      <c r="B31" s="694">
        <v>5053</v>
      </c>
      <c r="C31" s="695"/>
      <c r="D31" s="695"/>
      <c r="E31" s="695"/>
      <c r="F31" s="695"/>
      <c r="G31" s="695"/>
      <c r="H31" s="171">
        <f t="shared" ref="H31:H100" si="4">+G31/$H$5*12</f>
        <v>0</v>
      </c>
      <c r="I31" s="695">
        <v>7711</v>
      </c>
      <c r="K31" s="697" t="str">
        <f t="shared" si="3"/>
        <v xml:space="preserve">Insurance </v>
      </c>
      <c r="L31" s="697"/>
      <c r="N31" s="693" t="s">
        <v>156</v>
      </c>
      <c r="O31" s="694">
        <v>5305</v>
      </c>
    </row>
    <row r="32" spans="1:16" x14ac:dyDescent="0.2">
      <c r="A32" s="693" t="s">
        <v>491</v>
      </c>
      <c r="B32" s="694">
        <v>5306</v>
      </c>
      <c r="C32" s="695"/>
      <c r="D32" s="695"/>
      <c r="E32" s="695"/>
      <c r="F32" s="695"/>
      <c r="G32" s="695"/>
      <c r="H32" s="171">
        <f t="shared" si="4"/>
        <v>0</v>
      </c>
      <c r="I32" s="695">
        <v>5702</v>
      </c>
      <c r="K32" s="697" t="str">
        <f t="shared" si="3"/>
        <v>Workers Comp</v>
      </c>
      <c r="L32" s="697"/>
      <c r="N32" s="693" t="s">
        <v>157</v>
      </c>
      <c r="O32" s="694">
        <v>5306</v>
      </c>
    </row>
    <row r="33" spans="1:15" x14ac:dyDescent="0.2">
      <c r="A33" s="693" t="s">
        <v>492</v>
      </c>
      <c r="B33" s="694">
        <v>5200</v>
      </c>
      <c r="C33" s="695"/>
      <c r="D33" s="695"/>
      <c r="E33" s="695"/>
      <c r="F33" s="695"/>
      <c r="G33" s="695"/>
      <c r="H33" s="171">
        <f t="shared" si="4"/>
        <v>0</v>
      </c>
      <c r="I33" s="695">
        <v>20020</v>
      </c>
      <c r="K33" s="697" t="str">
        <f t="shared" si="3"/>
        <v>Landscape, pool, &amp; sweeping maintenance &amp; supplies</v>
      </c>
      <c r="L33" s="697"/>
      <c r="N33" s="693" t="s">
        <v>158</v>
      </c>
      <c r="O33" s="694">
        <v>5404</v>
      </c>
    </row>
    <row r="34" spans="1:15" x14ac:dyDescent="0.2">
      <c r="A34" s="693" t="s">
        <v>493</v>
      </c>
      <c r="B34" s="694">
        <v>5304</v>
      </c>
      <c r="C34" s="695"/>
      <c r="D34" s="695"/>
      <c r="E34" s="695"/>
      <c r="F34" s="695"/>
      <c r="G34" s="695"/>
      <c r="H34" s="171">
        <f t="shared" si="4"/>
        <v>0</v>
      </c>
      <c r="I34" s="695">
        <v>3219</v>
      </c>
      <c r="K34" s="697" t="str">
        <f t="shared" si="3"/>
        <v>Licenses and Permits</v>
      </c>
      <c r="L34" s="697"/>
      <c r="N34" s="693" t="s">
        <v>159</v>
      </c>
      <c r="O34" s="694">
        <v>5401</v>
      </c>
    </row>
    <row r="35" spans="1:15" x14ac:dyDescent="0.2">
      <c r="A35" s="693" t="s">
        <v>494</v>
      </c>
      <c r="B35" s="694">
        <v>5109</v>
      </c>
      <c r="C35" s="695"/>
      <c r="D35" s="695"/>
      <c r="E35" s="695"/>
      <c r="F35" s="695"/>
      <c r="G35" s="695"/>
      <c r="H35" s="171">
        <f t="shared" si="4"/>
        <v>0</v>
      </c>
      <c r="I35" s="695">
        <v>1013</v>
      </c>
      <c r="K35" s="697" t="str">
        <f t="shared" si="3"/>
        <v>Outside Services -plumbing, electrical, etc</v>
      </c>
      <c r="L35" s="697" t="s">
        <v>495</v>
      </c>
      <c r="N35" s="693" t="s">
        <v>160</v>
      </c>
      <c r="O35" s="694">
        <v>5405</v>
      </c>
    </row>
    <row r="36" spans="1:15" x14ac:dyDescent="0.2">
      <c r="A36" s="693" t="s">
        <v>496</v>
      </c>
      <c r="B36" s="694">
        <v>5104</v>
      </c>
      <c r="C36" s="695"/>
      <c r="D36" s="695"/>
      <c r="E36" s="695"/>
      <c r="F36" s="695"/>
      <c r="G36" s="695"/>
      <c r="H36" s="171">
        <f t="shared" si="4"/>
        <v>0</v>
      </c>
      <c r="I36" s="695">
        <v>37102</v>
      </c>
      <c r="K36" s="697" t="str">
        <f t="shared" si="3"/>
        <v>Repairs &amp; Maintenance / Capex Reserve</v>
      </c>
      <c r="L36" s="697"/>
      <c r="N36" s="693" t="s">
        <v>161</v>
      </c>
      <c r="O36" s="694">
        <v>5403</v>
      </c>
    </row>
    <row r="37" spans="1:15" x14ac:dyDescent="0.2">
      <c r="A37" s="693" t="s">
        <v>497</v>
      </c>
      <c r="B37" s="694">
        <v>5200</v>
      </c>
      <c r="C37" s="695"/>
      <c r="D37" s="695"/>
      <c r="E37" s="695"/>
      <c r="F37" s="695"/>
      <c r="G37" s="695"/>
      <c r="H37" s="171">
        <f t="shared" si="4"/>
        <v>0</v>
      </c>
      <c r="I37" s="695">
        <v>3832</v>
      </c>
      <c r="K37" s="697" t="str">
        <f t="shared" si="3"/>
        <v>Landscape, pool, &amp; sweeping maintenance &amp; supplies</v>
      </c>
      <c r="L37" s="697"/>
      <c r="N37" s="693" t="s">
        <v>162</v>
      </c>
      <c r="O37" s="694">
        <v>5402</v>
      </c>
    </row>
    <row r="38" spans="1:15" x14ac:dyDescent="0.2">
      <c r="A38" s="693" t="s">
        <v>498</v>
      </c>
      <c r="B38" s="694">
        <v>5701</v>
      </c>
      <c r="C38" s="695"/>
      <c r="D38" s="695"/>
      <c r="E38" s="695"/>
      <c r="F38" s="695"/>
      <c r="G38" s="695"/>
      <c r="H38" s="171">
        <f t="shared" si="4"/>
        <v>0</v>
      </c>
      <c r="I38" s="695">
        <v>37875</v>
      </c>
      <c r="K38" s="697" t="str">
        <f t="shared" si="3"/>
        <v>Manager/Maint Salary Expense</v>
      </c>
      <c r="L38" s="697"/>
      <c r="N38" s="693" t="s">
        <v>163</v>
      </c>
      <c r="O38" s="694">
        <v>5603</v>
      </c>
    </row>
    <row r="39" spans="1:15" x14ac:dyDescent="0.2">
      <c r="A39" s="693" t="s">
        <v>499</v>
      </c>
      <c r="B39" s="694">
        <v>5601</v>
      </c>
      <c r="C39" s="695"/>
      <c r="D39" s="695"/>
      <c r="E39" s="695"/>
      <c r="F39" s="695"/>
      <c r="G39" s="695"/>
      <c r="H39" s="171">
        <f t="shared" si="4"/>
        <v>0</v>
      </c>
      <c r="I39" s="695">
        <v>9730</v>
      </c>
      <c r="K39" s="697" t="str">
        <f t="shared" si="3"/>
        <v>Office Supplies, Postage, Pager, Printing, dues, subscr, Misc.</v>
      </c>
      <c r="L39" s="697"/>
      <c r="N39" s="693" t="s">
        <v>164</v>
      </c>
      <c r="O39" s="694">
        <v>5020</v>
      </c>
    </row>
    <row r="40" spans="1:15" x14ac:dyDescent="0.2">
      <c r="A40" s="693" t="s">
        <v>500</v>
      </c>
      <c r="B40" s="694">
        <v>5603</v>
      </c>
      <c r="C40" s="695"/>
      <c r="D40" s="695"/>
      <c r="E40" s="695"/>
      <c r="F40" s="695"/>
      <c r="G40" s="695"/>
      <c r="H40" s="171">
        <f t="shared" si="4"/>
        <v>0</v>
      </c>
      <c r="I40" s="695">
        <v>1645</v>
      </c>
      <c r="K40" s="697" t="str">
        <f t="shared" si="3"/>
        <v xml:space="preserve">Phone/Cable </v>
      </c>
      <c r="L40" s="697"/>
      <c r="N40" s="693" t="s">
        <v>501</v>
      </c>
      <c r="O40" s="694">
        <v>5104</v>
      </c>
    </row>
    <row r="41" spans="1:15" x14ac:dyDescent="0.2">
      <c r="A41" s="693" t="s">
        <v>502</v>
      </c>
      <c r="B41" s="694">
        <v>5404</v>
      </c>
      <c r="C41" s="695"/>
      <c r="D41" s="695"/>
      <c r="E41" s="695"/>
      <c r="F41" s="695"/>
      <c r="G41" s="695"/>
      <c r="H41" s="171">
        <f t="shared" si="4"/>
        <v>0</v>
      </c>
      <c r="I41" s="695">
        <v>91602</v>
      </c>
      <c r="K41" s="697" t="str">
        <f t="shared" si="3"/>
        <v>Electric</v>
      </c>
      <c r="L41" s="697"/>
      <c r="N41" s="693" t="s">
        <v>165</v>
      </c>
      <c r="O41" s="694">
        <v>5109</v>
      </c>
    </row>
    <row r="42" spans="1:15" x14ac:dyDescent="0.2">
      <c r="A42" s="693"/>
      <c r="B42" s="694"/>
      <c r="C42" s="695"/>
      <c r="D42" s="695"/>
      <c r="E42" s="695"/>
      <c r="F42" s="695"/>
      <c r="G42" s="695"/>
      <c r="H42" s="171">
        <f t="shared" si="4"/>
        <v>0</v>
      </c>
      <c r="I42" s="695"/>
      <c r="K42" s="697" t="e">
        <f t="shared" si="3"/>
        <v>#N/A</v>
      </c>
      <c r="L42" s="697"/>
      <c r="N42" s="693" t="s">
        <v>166</v>
      </c>
      <c r="O42" s="694">
        <v>5200</v>
      </c>
    </row>
    <row r="43" spans="1:15" x14ac:dyDescent="0.2">
      <c r="A43" s="693" t="s">
        <v>503</v>
      </c>
      <c r="B43" s="694">
        <v>5020</v>
      </c>
      <c r="C43" s="695"/>
      <c r="D43" s="695"/>
      <c r="E43" s="695">
        <v>2333.25</v>
      </c>
      <c r="F43" s="695"/>
      <c r="G43" s="695"/>
      <c r="H43" s="171">
        <f t="shared" si="4"/>
        <v>0</v>
      </c>
      <c r="I43" s="695"/>
      <c r="K43" s="697" t="str">
        <f t="shared" si="3"/>
        <v>Auto expense &amp; travel</v>
      </c>
      <c r="L43" s="697"/>
      <c r="N43" s="693" t="s">
        <v>451</v>
      </c>
      <c r="O43" s="694">
        <v>5301</v>
      </c>
    </row>
    <row r="44" spans="1:15" x14ac:dyDescent="0.2">
      <c r="A44" s="693" t="s">
        <v>504</v>
      </c>
      <c r="B44" s="694">
        <v>5064</v>
      </c>
      <c r="C44" s="695"/>
      <c r="D44" s="695"/>
      <c r="E44" s="695">
        <v>24</v>
      </c>
      <c r="F44" s="695"/>
      <c r="G44" s="695"/>
      <c r="H44" s="171">
        <f t="shared" si="4"/>
        <v>0</v>
      </c>
      <c r="I44" s="695"/>
      <c r="K44" s="697" t="str">
        <f t="shared" si="3"/>
        <v>Banking and Merchant fees (est)</v>
      </c>
      <c r="L44" s="697"/>
      <c r="N44" s="693" t="s">
        <v>168</v>
      </c>
      <c r="O44" s="694">
        <v>5053</v>
      </c>
    </row>
    <row r="45" spans="1:15" x14ac:dyDescent="0.2">
      <c r="A45" s="693" t="s">
        <v>505</v>
      </c>
      <c r="B45" s="694">
        <v>5603</v>
      </c>
      <c r="C45" s="695"/>
      <c r="D45" s="695"/>
      <c r="E45" s="695">
        <v>633.05999999999995</v>
      </c>
      <c r="F45" s="695"/>
      <c r="G45" s="695"/>
      <c r="H45" s="171">
        <f t="shared" si="4"/>
        <v>0</v>
      </c>
      <c r="I45" s="695"/>
      <c r="K45" s="697" t="str">
        <f t="shared" si="3"/>
        <v xml:space="preserve">Phone/Cable </v>
      </c>
      <c r="L45" s="697"/>
      <c r="N45" s="693" t="s">
        <v>506</v>
      </c>
      <c r="O45" s="694">
        <v>5604</v>
      </c>
    </row>
    <row r="46" spans="1:15" x14ac:dyDescent="0.2">
      <c r="A46" s="693" t="s">
        <v>507</v>
      </c>
      <c r="B46" s="694">
        <v>5601</v>
      </c>
      <c r="C46" s="695"/>
      <c r="D46" s="695"/>
      <c r="E46" s="695">
        <v>2005.95</v>
      </c>
      <c r="F46" s="695"/>
      <c r="G46" s="695"/>
      <c r="H46" s="171">
        <f t="shared" si="4"/>
        <v>0</v>
      </c>
      <c r="I46" s="695"/>
      <c r="K46" s="697" t="str">
        <f t="shared" si="3"/>
        <v>Office Supplies, Postage, Pager, Printing, dues, subscr, Misc.</v>
      </c>
      <c r="L46" s="697"/>
      <c r="N46" s="693" t="s">
        <v>170</v>
      </c>
      <c r="O46" s="694">
        <v>5062</v>
      </c>
    </row>
    <row r="47" spans="1:15" x14ac:dyDescent="0.2">
      <c r="A47" s="693" t="s">
        <v>508</v>
      </c>
      <c r="B47" s="694">
        <v>5053</v>
      </c>
      <c r="C47" s="695"/>
      <c r="D47" s="695"/>
      <c r="E47" s="695">
        <v>7711.74</v>
      </c>
      <c r="F47" s="695"/>
      <c r="G47" s="695"/>
      <c r="H47" s="171">
        <f t="shared" si="4"/>
        <v>0</v>
      </c>
      <c r="I47" s="695"/>
      <c r="K47" s="697" t="str">
        <f t="shared" si="3"/>
        <v xml:space="preserve">Insurance </v>
      </c>
      <c r="L47" s="697"/>
      <c r="N47" s="693" t="s">
        <v>171</v>
      </c>
      <c r="O47" s="694">
        <v>5302</v>
      </c>
    </row>
    <row r="48" spans="1:15" x14ac:dyDescent="0.2">
      <c r="A48" s="693" t="s">
        <v>509</v>
      </c>
      <c r="B48" s="694">
        <v>5306</v>
      </c>
      <c r="C48" s="695"/>
      <c r="D48" s="695"/>
      <c r="E48" s="695">
        <v>5702</v>
      </c>
      <c r="F48" s="695"/>
      <c r="G48" s="695"/>
      <c r="H48" s="171">
        <f t="shared" si="4"/>
        <v>0</v>
      </c>
      <c r="I48" s="695"/>
      <c r="K48" s="697" t="str">
        <f t="shared" si="3"/>
        <v>Workers Comp</v>
      </c>
      <c r="L48" s="697"/>
      <c r="N48" s="693" t="s">
        <v>172</v>
      </c>
      <c r="O48" s="694">
        <v>5001</v>
      </c>
    </row>
    <row r="49" spans="1:15" x14ac:dyDescent="0.2">
      <c r="A49" s="693" t="s">
        <v>510</v>
      </c>
      <c r="B49" s="694">
        <v>5200</v>
      </c>
      <c r="C49" s="695"/>
      <c r="D49" s="695"/>
      <c r="E49" s="695">
        <v>20020.25</v>
      </c>
      <c r="F49" s="695"/>
      <c r="G49" s="695"/>
      <c r="H49" s="171">
        <f t="shared" si="4"/>
        <v>0</v>
      </c>
      <c r="I49" s="695"/>
      <c r="K49" s="697" t="str">
        <f t="shared" si="3"/>
        <v>Landscape, pool, &amp; sweeping maintenance &amp; supplies</v>
      </c>
      <c r="L49" s="697"/>
      <c r="N49" s="693" t="s">
        <v>173</v>
      </c>
      <c r="O49" s="694">
        <v>5061</v>
      </c>
    </row>
    <row r="50" spans="1:15" x14ac:dyDescent="0.2">
      <c r="A50" s="693" t="s">
        <v>511</v>
      </c>
      <c r="B50" s="694">
        <v>5304</v>
      </c>
      <c r="C50" s="695"/>
      <c r="D50" s="695"/>
      <c r="E50" s="695">
        <v>152</v>
      </c>
      <c r="F50" s="695"/>
      <c r="G50" s="695"/>
      <c r="H50" s="171">
        <f t="shared" si="4"/>
        <v>0</v>
      </c>
      <c r="I50" s="695"/>
      <c r="K50" s="697" t="str">
        <f t="shared" si="3"/>
        <v>Licenses and Permits</v>
      </c>
      <c r="L50" s="697"/>
      <c r="N50" s="693" t="s">
        <v>174</v>
      </c>
      <c r="O50" s="694">
        <v>5304</v>
      </c>
    </row>
    <row r="51" spans="1:15" x14ac:dyDescent="0.2">
      <c r="A51" s="693" t="s">
        <v>512</v>
      </c>
      <c r="B51" s="694">
        <v>5304</v>
      </c>
      <c r="C51" s="695"/>
      <c r="D51" s="695"/>
      <c r="E51" s="695">
        <v>406</v>
      </c>
      <c r="F51" s="695"/>
      <c r="G51" s="695"/>
      <c r="H51" s="171">
        <f t="shared" si="4"/>
        <v>0</v>
      </c>
      <c r="I51" s="695"/>
      <c r="K51" s="697" t="str">
        <f t="shared" si="3"/>
        <v>Licenses and Permits</v>
      </c>
      <c r="L51" s="697"/>
      <c r="N51" s="693" t="s">
        <v>175</v>
      </c>
      <c r="O51" s="694">
        <v>5064</v>
      </c>
    </row>
    <row r="52" spans="1:15" x14ac:dyDescent="0.2">
      <c r="A52" s="693" t="s">
        <v>513</v>
      </c>
      <c r="B52" s="694">
        <v>5304</v>
      </c>
      <c r="C52" s="695"/>
      <c r="D52" s="695"/>
      <c r="E52" s="695">
        <v>2661</v>
      </c>
      <c r="F52" s="695"/>
      <c r="G52" s="695"/>
      <c r="H52" s="171">
        <f t="shared" si="4"/>
        <v>0</v>
      </c>
      <c r="I52" s="695"/>
      <c r="K52" s="697" t="str">
        <f t="shared" si="3"/>
        <v>Licenses and Permits</v>
      </c>
      <c r="L52" s="697"/>
      <c r="N52" s="693" t="s">
        <v>176</v>
      </c>
      <c r="O52" s="694">
        <v>5601</v>
      </c>
    </row>
    <row r="53" spans="1:15" x14ac:dyDescent="0.2">
      <c r="A53" s="693" t="s">
        <v>514</v>
      </c>
      <c r="B53" s="694">
        <v>5109</v>
      </c>
      <c r="C53" s="695"/>
      <c r="D53" s="695"/>
      <c r="E53" s="695">
        <v>1013</v>
      </c>
      <c r="F53" s="695"/>
      <c r="G53" s="695"/>
      <c r="H53" s="171">
        <f t="shared" si="4"/>
        <v>0</v>
      </c>
      <c r="I53" s="695"/>
      <c r="K53" s="697" t="str">
        <f t="shared" si="3"/>
        <v>Outside Services -plumbing, electrical, etc</v>
      </c>
      <c r="L53" s="697"/>
      <c r="N53" s="693" t="s">
        <v>515</v>
      </c>
      <c r="O53" s="694">
        <v>5000</v>
      </c>
    </row>
    <row r="54" spans="1:15" x14ac:dyDescent="0.2">
      <c r="A54" s="693" t="s">
        <v>516</v>
      </c>
      <c r="B54" s="694">
        <v>5104</v>
      </c>
      <c r="C54" s="695"/>
      <c r="D54" s="695"/>
      <c r="E54" s="695">
        <v>3959.85</v>
      </c>
      <c r="F54" s="695"/>
      <c r="G54" s="695"/>
      <c r="H54" s="171">
        <f t="shared" si="4"/>
        <v>0</v>
      </c>
      <c r="I54" s="695"/>
      <c r="K54" s="697" t="str">
        <f t="shared" si="3"/>
        <v>Repairs &amp; Maintenance / Capex Reserve</v>
      </c>
      <c r="L54" s="697"/>
    </row>
    <row r="55" spans="1:15" x14ac:dyDescent="0.2">
      <c r="A55" s="696" t="s">
        <v>517</v>
      </c>
      <c r="B55" s="694">
        <v>5000</v>
      </c>
      <c r="C55" s="695"/>
      <c r="D55" s="695"/>
      <c r="E55" s="695">
        <v>0</v>
      </c>
      <c r="F55" s="695"/>
      <c r="G55" s="695"/>
      <c r="H55" s="171">
        <f t="shared" si="4"/>
        <v>0</v>
      </c>
      <c r="I55" s="695"/>
      <c r="K55" s="697" t="str">
        <f t="shared" si="3"/>
        <v>Professional Mgmt ($2,000/mo or 5%)</v>
      </c>
      <c r="L55" s="697"/>
      <c r="N55" s="172" t="s">
        <v>489</v>
      </c>
      <c r="O55" s="173">
        <v>5701</v>
      </c>
    </row>
    <row r="56" spans="1:15" x14ac:dyDescent="0.2">
      <c r="A56" s="696" t="s">
        <v>518</v>
      </c>
      <c r="B56" s="694">
        <v>5601</v>
      </c>
      <c r="C56" s="695"/>
      <c r="D56" s="695"/>
      <c r="E56" s="695">
        <v>976.5</v>
      </c>
      <c r="F56" s="695"/>
      <c r="G56" s="695"/>
      <c r="H56" s="171">
        <f t="shared" si="4"/>
        <v>0</v>
      </c>
      <c r="I56" s="695"/>
      <c r="K56" s="697" t="str">
        <f t="shared" si="3"/>
        <v>Office Supplies, Postage, Pager, Printing, dues, subscr, Misc.</v>
      </c>
      <c r="L56" s="697"/>
      <c r="N56" s="693" t="s">
        <v>156</v>
      </c>
      <c r="O56" s="694">
        <v>5305</v>
      </c>
    </row>
    <row r="57" spans="1:15" x14ac:dyDescent="0.2">
      <c r="A57" s="696" t="s">
        <v>519</v>
      </c>
      <c r="B57" s="694">
        <v>5701</v>
      </c>
      <c r="C57" s="695"/>
      <c r="D57" s="695"/>
      <c r="E57" s="695">
        <v>37875.879999999997</v>
      </c>
      <c r="F57" s="695"/>
      <c r="G57" s="695"/>
      <c r="H57" s="171">
        <f t="shared" si="4"/>
        <v>0</v>
      </c>
      <c r="I57" s="695"/>
      <c r="K57" s="697" t="str">
        <f t="shared" si="3"/>
        <v>Manager/Maint Salary Expense</v>
      </c>
      <c r="L57" s="697"/>
      <c r="N57" s="693" t="s">
        <v>157</v>
      </c>
      <c r="O57" s="694">
        <v>5306</v>
      </c>
    </row>
    <row r="58" spans="1:15" x14ac:dyDescent="0.2">
      <c r="A58" s="696" t="s">
        <v>520</v>
      </c>
      <c r="B58" s="694">
        <v>5200</v>
      </c>
      <c r="C58" s="695"/>
      <c r="D58" s="695"/>
      <c r="E58" s="695">
        <v>3832.28</v>
      </c>
      <c r="F58" s="695"/>
      <c r="G58" s="695"/>
      <c r="H58" s="171">
        <f t="shared" si="4"/>
        <v>0</v>
      </c>
      <c r="I58" s="695"/>
      <c r="K58" s="697" t="str">
        <f t="shared" si="3"/>
        <v>Landscape, pool, &amp; sweeping maintenance &amp; supplies</v>
      </c>
      <c r="L58" s="697"/>
      <c r="N58" s="693" t="s">
        <v>158</v>
      </c>
      <c r="O58" s="694">
        <v>5404</v>
      </c>
    </row>
    <row r="59" spans="1:15" x14ac:dyDescent="0.2">
      <c r="A59" s="696" t="s">
        <v>521</v>
      </c>
      <c r="B59" s="694">
        <v>5061</v>
      </c>
      <c r="C59" s="695"/>
      <c r="D59" s="695"/>
      <c r="E59" s="695">
        <v>2647.12</v>
      </c>
      <c r="F59" s="695"/>
      <c r="G59" s="695"/>
      <c r="H59" s="171">
        <f t="shared" si="4"/>
        <v>0</v>
      </c>
      <c r="I59" s="695"/>
      <c r="K59" s="697" t="str">
        <f t="shared" si="3"/>
        <v>Tax Return Preparation/accounting</v>
      </c>
      <c r="L59" s="697"/>
      <c r="N59" s="693" t="s">
        <v>159</v>
      </c>
      <c r="O59" s="694">
        <v>5401</v>
      </c>
    </row>
    <row r="60" spans="1:15" x14ac:dyDescent="0.2">
      <c r="A60" s="696" t="s">
        <v>522</v>
      </c>
      <c r="B60" s="694">
        <v>5062</v>
      </c>
      <c r="C60" s="695"/>
      <c r="D60" s="695"/>
      <c r="E60" s="695">
        <v>554.20000000000005</v>
      </c>
      <c r="F60" s="695"/>
      <c r="G60" s="695"/>
      <c r="H60" s="171">
        <f t="shared" si="4"/>
        <v>0</v>
      </c>
      <c r="I60" s="695"/>
      <c r="K60" s="697" t="str">
        <f t="shared" si="3"/>
        <v>Legal Expenses</v>
      </c>
      <c r="L60" s="697"/>
      <c r="N60" s="693" t="s">
        <v>160</v>
      </c>
      <c r="O60" s="694">
        <v>5405</v>
      </c>
    </row>
    <row r="61" spans="1:15" x14ac:dyDescent="0.2">
      <c r="A61" s="696" t="s">
        <v>523</v>
      </c>
      <c r="B61" s="694">
        <v>5104</v>
      </c>
      <c r="C61" s="695"/>
      <c r="D61" s="695"/>
      <c r="E61" s="695">
        <v>20150</v>
      </c>
      <c r="F61" s="695"/>
      <c r="G61" s="695"/>
      <c r="H61" s="171">
        <f t="shared" si="4"/>
        <v>0</v>
      </c>
      <c r="I61" s="695"/>
      <c r="K61" s="697" t="str">
        <f t="shared" si="3"/>
        <v>Repairs &amp; Maintenance / Capex Reserve</v>
      </c>
      <c r="L61" s="697"/>
      <c r="N61" s="693" t="s">
        <v>161</v>
      </c>
      <c r="O61" s="694">
        <v>5403</v>
      </c>
    </row>
    <row r="62" spans="1:15" x14ac:dyDescent="0.2">
      <c r="A62" s="696" t="s">
        <v>524</v>
      </c>
      <c r="B62" s="694">
        <v>5104</v>
      </c>
      <c r="C62" s="695"/>
      <c r="D62" s="695"/>
      <c r="E62" s="695">
        <v>750.19</v>
      </c>
      <c r="F62" s="695"/>
      <c r="G62" s="695"/>
      <c r="H62" s="171">
        <f t="shared" si="4"/>
        <v>0</v>
      </c>
      <c r="I62" s="695"/>
      <c r="K62" s="697" t="str">
        <f t="shared" si="3"/>
        <v>Repairs &amp; Maintenance / Capex Reserve</v>
      </c>
      <c r="L62" s="697"/>
      <c r="N62" s="693" t="s">
        <v>162</v>
      </c>
      <c r="O62" s="694">
        <v>5402</v>
      </c>
    </row>
    <row r="63" spans="1:15" x14ac:dyDescent="0.2">
      <c r="A63" s="696" t="s">
        <v>525</v>
      </c>
      <c r="B63" s="694">
        <v>5104</v>
      </c>
      <c r="C63" s="695"/>
      <c r="D63" s="695"/>
      <c r="E63" s="695">
        <v>50.57</v>
      </c>
      <c r="F63" s="695"/>
      <c r="G63" s="695"/>
      <c r="H63" s="171">
        <f t="shared" si="4"/>
        <v>0</v>
      </c>
      <c r="I63" s="695"/>
      <c r="K63" s="697" t="str">
        <f t="shared" si="3"/>
        <v>Repairs &amp; Maintenance / Capex Reserve</v>
      </c>
      <c r="L63" s="697"/>
      <c r="N63" s="693" t="s">
        <v>163</v>
      </c>
      <c r="O63" s="694">
        <v>5603</v>
      </c>
    </row>
    <row r="64" spans="1:15" x14ac:dyDescent="0.2">
      <c r="A64" s="696" t="s">
        <v>526</v>
      </c>
      <c r="B64" s="694">
        <v>5020</v>
      </c>
      <c r="C64" s="695"/>
      <c r="D64" s="695"/>
      <c r="E64" s="695">
        <v>394</v>
      </c>
      <c r="F64" s="695"/>
      <c r="G64" s="695"/>
      <c r="H64" s="171">
        <f t="shared" si="4"/>
        <v>0</v>
      </c>
      <c r="I64" s="695"/>
      <c r="K64" s="697" t="str">
        <f t="shared" si="3"/>
        <v>Auto expense &amp; travel</v>
      </c>
      <c r="L64" s="697"/>
      <c r="N64" s="693" t="s">
        <v>164</v>
      </c>
      <c r="O64" s="694">
        <v>5020</v>
      </c>
    </row>
    <row r="65" spans="1:15" x14ac:dyDescent="0.2">
      <c r="A65" s="696" t="s">
        <v>527</v>
      </c>
      <c r="B65" s="694">
        <v>5104</v>
      </c>
      <c r="C65" s="695"/>
      <c r="D65" s="695"/>
      <c r="E65" s="695">
        <v>3300</v>
      </c>
      <c r="F65" s="695"/>
      <c r="G65" s="695"/>
      <c r="H65" s="171">
        <f t="shared" si="4"/>
        <v>0</v>
      </c>
      <c r="I65" s="695"/>
      <c r="K65" s="697" t="str">
        <f t="shared" si="3"/>
        <v>Repairs &amp; Maintenance / Capex Reserve</v>
      </c>
      <c r="L65" s="697"/>
      <c r="N65" s="693" t="s">
        <v>501</v>
      </c>
      <c r="O65" s="694">
        <v>5104</v>
      </c>
    </row>
    <row r="66" spans="1:15" x14ac:dyDescent="0.2">
      <c r="A66" s="696" t="s">
        <v>528</v>
      </c>
      <c r="B66" s="694">
        <v>5104</v>
      </c>
      <c r="C66" s="695"/>
      <c r="D66" s="695"/>
      <c r="E66" s="695">
        <v>19.39</v>
      </c>
      <c r="F66" s="695"/>
      <c r="G66" s="695"/>
      <c r="H66" s="171">
        <f t="shared" si="4"/>
        <v>0</v>
      </c>
      <c r="I66" s="695"/>
      <c r="K66" s="697" t="str">
        <f t="shared" si="3"/>
        <v>Repairs &amp; Maintenance / Capex Reserve</v>
      </c>
      <c r="L66" s="697"/>
      <c r="N66" s="693" t="s">
        <v>165</v>
      </c>
      <c r="O66" s="694">
        <v>5109</v>
      </c>
    </row>
    <row r="67" spans="1:15" x14ac:dyDescent="0.2">
      <c r="A67" s="696" t="s">
        <v>529</v>
      </c>
      <c r="B67" s="694">
        <v>5104</v>
      </c>
      <c r="C67" s="695"/>
      <c r="D67" s="695"/>
      <c r="E67" s="695">
        <v>7999.52</v>
      </c>
      <c r="F67" s="695"/>
      <c r="G67" s="695"/>
      <c r="H67" s="171">
        <f t="shared" si="4"/>
        <v>0</v>
      </c>
      <c r="I67" s="695"/>
      <c r="K67" s="697" t="str">
        <f t="shared" si="3"/>
        <v>Repairs &amp; Maintenance / Capex Reserve</v>
      </c>
      <c r="L67" s="697"/>
      <c r="N67" s="693" t="s">
        <v>166</v>
      </c>
      <c r="O67" s="694">
        <v>5200</v>
      </c>
    </row>
    <row r="68" spans="1:15" x14ac:dyDescent="0.2">
      <c r="A68" s="696" t="s">
        <v>530</v>
      </c>
      <c r="B68" s="694">
        <v>5104</v>
      </c>
      <c r="C68" s="695"/>
      <c r="D68" s="695"/>
      <c r="E68" s="695">
        <v>480</v>
      </c>
      <c r="F68" s="695"/>
      <c r="G68" s="695"/>
      <c r="H68" s="171">
        <f t="shared" si="4"/>
        <v>0</v>
      </c>
      <c r="I68" s="695"/>
      <c r="K68" s="697" t="str">
        <f t="shared" si="3"/>
        <v>Repairs &amp; Maintenance / Capex Reserve</v>
      </c>
      <c r="L68" s="697"/>
      <c r="N68" s="693" t="s">
        <v>451</v>
      </c>
      <c r="O68" s="694">
        <v>5301</v>
      </c>
    </row>
    <row r="69" spans="1:15" x14ac:dyDescent="0.2">
      <c r="A69" s="696" t="s">
        <v>531</v>
      </c>
      <c r="B69" s="694">
        <v>5603</v>
      </c>
      <c r="C69" s="695"/>
      <c r="D69" s="695"/>
      <c r="E69" s="695">
        <v>3881.67</v>
      </c>
      <c r="F69" s="695"/>
      <c r="G69" s="695"/>
      <c r="H69" s="171">
        <f t="shared" si="4"/>
        <v>0</v>
      </c>
      <c r="I69" s="695"/>
      <c r="K69" s="697" t="str">
        <f t="shared" si="3"/>
        <v xml:space="preserve">Phone/Cable </v>
      </c>
      <c r="L69" s="697"/>
      <c r="N69" s="693" t="s">
        <v>168</v>
      </c>
      <c r="O69" s="694">
        <v>5053</v>
      </c>
    </row>
    <row r="70" spans="1:15" x14ac:dyDescent="0.2">
      <c r="A70" s="696" t="s">
        <v>532</v>
      </c>
      <c r="B70" s="694">
        <v>5601</v>
      </c>
      <c r="C70" s="695"/>
      <c r="D70" s="695"/>
      <c r="E70" s="695">
        <v>5848.61</v>
      </c>
      <c r="F70" s="695"/>
      <c r="G70" s="695"/>
      <c r="H70" s="171">
        <f t="shared" si="4"/>
        <v>0</v>
      </c>
      <c r="I70" s="695"/>
      <c r="K70" s="697" t="str">
        <f t="shared" si="3"/>
        <v>Office Supplies, Postage, Pager, Printing, dues, subscr, Misc.</v>
      </c>
      <c r="L70" s="697"/>
      <c r="N70" s="693" t="s">
        <v>506</v>
      </c>
      <c r="O70" s="694">
        <v>5604</v>
      </c>
    </row>
    <row r="71" spans="1:15" x14ac:dyDescent="0.2">
      <c r="A71" s="696" t="s">
        <v>533</v>
      </c>
      <c r="B71" s="694">
        <v>5601</v>
      </c>
      <c r="C71" s="695"/>
      <c r="D71" s="695"/>
      <c r="E71" s="695">
        <v>0</v>
      </c>
      <c r="F71" s="695"/>
      <c r="G71" s="695"/>
      <c r="H71" s="171">
        <f t="shared" si="4"/>
        <v>0</v>
      </c>
      <c r="I71" s="695"/>
      <c r="K71" s="697" t="str">
        <f t="shared" si="3"/>
        <v>Office Supplies, Postage, Pager, Printing, dues, subscr, Misc.</v>
      </c>
      <c r="L71" s="697"/>
      <c r="N71" s="693" t="s">
        <v>170</v>
      </c>
      <c r="O71" s="694">
        <v>5062</v>
      </c>
    </row>
    <row r="72" spans="1:15" x14ac:dyDescent="0.2">
      <c r="A72" s="696" t="s">
        <v>534</v>
      </c>
      <c r="B72" s="694">
        <v>5301</v>
      </c>
      <c r="C72" s="695"/>
      <c r="D72" s="695"/>
      <c r="E72" s="695">
        <v>9944.6200000000008</v>
      </c>
      <c r="F72" s="695"/>
      <c r="G72" s="695"/>
      <c r="H72" s="171">
        <f t="shared" si="4"/>
        <v>0</v>
      </c>
      <c r="I72" s="695"/>
      <c r="K72" s="697" t="str">
        <f t="shared" si="3"/>
        <v xml:space="preserve">Property Taxes </v>
      </c>
      <c r="L72" s="697"/>
      <c r="N72" s="693" t="s">
        <v>171</v>
      </c>
      <c r="O72" s="694">
        <v>5302</v>
      </c>
    </row>
    <row r="73" spans="1:15" x14ac:dyDescent="0.2">
      <c r="A73" s="696" t="s">
        <v>535</v>
      </c>
      <c r="B73" s="694">
        <v>5031</v>
      </c>
      <c r="C73" s="695"/>
      <c r="D73" s="695"/>
      <c r="E73" s="695">
        <v>84</v>
      </c>
      <c r="F73" s="695"/>
      <c r="G73" s="695"/>
      <c r="H73" s="171">
        <f t="shared" si="4"/>
        <v>0</v>
      </c>
      <c r="I73" s="695"/>
      <c r="K73" s="697" t="e">
        <f t="shared" si="3"/>
        <v>#N/A</v>
      </c>
      <c r="L73" s="697"/>
      <c r="N73" s="693" t="s">
        <v>172</v>
      </c>
      <c r="O73" s="694">
        <v>5001</v>
      </c>
    </row>
    <row r="74" spans="1:15" x14ac:dyDescent="0.2">
      <c r="A74" s="696" t="s">
        <v>536</v>
      </c>
      <c r="B74" s="694">
        <v>5301</v>
      </c>
      <c r="C74" s="695"/>
      <c r="D74" s="695"/>
      <c r="E74" s="695">
        <v>28729.52</v>
      </c>
      <c r="F74" s="695"/>
      <c r="G74" s="695"/>
      <c r="H74" s="171">
        <f t="shared" si="4"/>
        <v>0</v>
      </c>
      <c r="I74" s="695"/>
      <c r="K74" s="697" t="str">
        <f t="shared" si="3"/>
        <v xml:space="preserve">Property Taxes </v>
      </c>
      <c r="L74" s="697"/>
      <c r="N74" s="693" t="s">
        <v>173</v>
      </c>
      <c r="O74" s="694">
        <v>5061</v>
      </c>
    </row>
    <row r="75" spans="1:15" x14ac:dyDescent="0.2">
      <c r="A75" s="696" t="s">
        <v>537</v>
      </c>
      <c r="B75" s="694">
        <v>5301</v>
      </c>
      <c r="C75" s="695"/>
      <c r="D75" s="695"/>
      <c r="E75" s="695">
        <v>1069.9000000000001</v>
      </c>
      <c r="F75" s="695"/>
      <c r="G75" s="695"/>
      <c r="H75" s="171">
        <f t="shared" si="4"/>
        <v>0</v>
      </c>
      <c r="I75" s="695"/>
      <c r="K75" s="697" t="str">
        <f t="shared" si="3"/>
        <v xml:space="preserve">Property Taxes </v>
      </c>
      <c r="L75" s="697"/>
      <c r="N75" s="693" t="s">
        <v>174</v>
      </c>
      <c r="O75" s="694">
        <v>5304</v>
      </c>
    </row>
    <row r="76" spans="1:15" x14ac:dyDescent="0.2">
      <c r="A76" s="696" t="s">
        <v>538</v>
      </c>
      <c r="B76" s="694">
        <v>5603</v>
      </c>
      <c r="C76" s="695"/>
      <c r="D76" s="695"/>
      <c r="E76" s="695">
        <v>1645.06</v>
      </c>
      <c r="F76" s="695"/>
      <c r="G76" s="695"/>
      <c r="H76" s="171">
        <f t="shared" si="4"/>
        <v>0</v>
      </c>
      <c r="I76" s="695"/>
      <c r="K76" s="697" t="str">
        <f t="shared" si="3"/>
        <v xml:space="preserve">Phone/Cable </v>
      </c>
      <c r="L76" s="697"/>
      <c r="N76" s="693" t="s">
        <v>175</v>
      </c>
      <c r="O76" s="694">
        <v>5064</v>
      </c>
    </row>
    <row r="77" spans="1:15" x14ac:dyDescent="0.2">
      <c r="A77" s="696" t="s">
        <v>539</v>
      </c>
      <c r="B77" s="694">
        <v>5404</v>
      </c>
      <c r="C77" s="695"/>
      <c r="D77" s="695"/>
      <c r="E77" s="695">
        <v>4588.75</v>
      </c>
      <c r="F77" s="695"/>
      <c r="G77" s="695"/>
      <c r="H77" s="171">
        <f t="shared" si="4"/>
        <v>0</v>
      </c>
      <c r="I77" s="695"/>
      <c r="K77" s="697" t="str">
        <f t="shared" si="3"/>
        <v>Electric</v>
      </c>
      <c r="L77" s="697"/>
      <c r="N77" s="693" t="s">
        <v>176</v>
      </c>
      <c r="O77" s="694">
        <v>5601</v>
      </c>
    </row>
    <row r="78" spans="1:15" x14ac:dyDescent="0.2">
      <c r="A78" s="696" t="s">
        <v>540</v>
      </c>
      <c r="B78" s="694">
        <v>5401</v>
      </c>
      <c r="C78" s="695"/>
      <c r="D78" s="695"/>
      <c r="E78" s="695">
        <v>1038.8499999999999</v>
      </c>
      <c r="F78" s="695"/>
      <c r="G78" s="695"/>
      <c r="H78" s="171">
        <f t="shared" si="4"/>
        <v>0</v>
      </c>
      <c r="I78" s="695"/>
      <c r="K78" s="697" t="str">
        <f t="shared" si="3"/>
        <v>Gas</v>
      </c>
      <c r="L78" s="697"/>
      <c r="N78" s="693" t="s">
        <v>515</v>
      </c>
      <c r="O78" s="694">
        <v>5000</v>
      </c>
    </row>
    <row r="79" spans="1:15" x14ac:dyDescent="0.2">
      <c r="A79" s="696" t="s">
        <v>541</v>
      </c>
      <c r="B79" s="694">
        <v>5405</v>
      </c>
      <c r="C79" s="695"/>
      <c r="D79" s="695"/>
      <c r="E79" s="695">
        <v>25393.64</v>
      </c>
      <c r="F79" s="695"/>
      <c r="G79" s="695"/>
      <c r="H79" s="171">
        <f t="shared" si="4"/>
        <v>0</v>
      </c>
      <c r="I79" s="695"/>
      <c r="K79" s="697" t="str">
        <f t="shared" si="3"/>
        <v>Trash</v>
      </c>
      <c r="L79" s="697"/>
    </row>
    <row r="80" spans="1:15" x14ac:dyDescent="0.2">
      <c r="A80" s="696" t="s">
        <v>480</v>
      </c>
      <c r="B80" s="694">
        <v>5403</v>
      </c>
      <c r="C80" s="695"/>
      <c r="D80" s="695"/>
      <c r="E80" s="695">
        <v>31358.97</v>
      </c>
      <c r="F80" s="695"/>
      <c r="G80" s="695"/>
      <c r="H80" s="171">
        <f t="shared" si="4"/>
        <v>0</v>
      </c>
      <c r="I80" s="695"/>
      <c r="K80" s="697" t="str">
        <f t="shared" si="3"/>
        <v>Sewer-septic</v>
      </c>
      <c r="L80" s="697"/>
      <c r="N80" s="172" t="s">
        <v>489</v>
      </c>
      <c r="O80" s="173">
        <v>5701</v>
      </c>
    </row>
    <row r="81" spans="1:15" x14ac:dyDescent="0.2">
      <c r="A81" s="696" t="s">
        <v>476</v>
      </c>
      <c r="B81" s="694">
        <v>5402</v>
      </c>
      <c r="C81" s="695"/>
      <c r="D81" s="695"/>
      <c r="E81" s="695">
        <v>29221.96</v>
      </c>
      <c r="F81" s="695"/>
      <c r="G81" s="695"/>
      <c r="H81" s="171">
        <f t="shared" si="4"/>
        <v>0</v>
      </c>
      <c r="I81" s="695"/>
      <c r="K81" s="697" t="str">
        <f t="shared" si="3"/>
        <v xml:space="preserve">Water </v>
      </c>
      <c r="L81" s="697"/>
      <c r="N81" s="693" t="s">
        <v>156</v>
      </c>
      <c r="O81" s="694">
        <v>5305</v>
      </c>
    </row>
    <row r="82" spans="1:15" x14ac:dyDescent="0.2">
      <c r="A82" s="693"/>
      <c r="B82" s="694"/>
      <c r="C82" s="695"/>
      <c r="D82" s="695"/>
      <c r="E82" s="695"/>
      <c r="F82" s="695"/>
      <c r="G82" s="695"/>
      <c r="H82" s="171">
        <f t="shared" si="4"/>
        <v>0</v>
      </c>
      <c r="I82" s="695"/>
      <c r="K82" s="697" t="e">
        <f t="shared" si="3"/>
        <v>#N/A</v>
      </c>
      <c r="L82" s="697"/>
      <c r="N82" s="693" t="s">
        <v>157</v>
      </c>
      <c r="O82" s="694">
        <v>5306</v>
      </c>
    </row>
    <row r="83" spans="1:15" x14ac:dyDescent="0.2">
      <c r="A83" s="693"/>
      <c r="B83" s="694"/>
      <c r="C83" s="695"/>
      <c r="D83" s="695"/>
      <c r="E83" s="695"/>
      <c r="F83" s="695"/>
      <c r="G83" s="695"/>
      <c r="H83" s="171">
        <f t="shared" si="4"/>
        <v>0</v>
      </c>
      <c r="I83" s="695"/>
      <c r="K83" s="697" t="e">
        <f t="shared" si="3"/>
        <v>#N/A</v>
      </c>
      <c r="L83" s="697"/>
      <c r="N83" s="693" t="s">
        <v>158</v>
      </c>
      <c r="O83" s="694">
        <v>5404</v>
      </c>
    </row>
    <row r="84" spans="1:15" x14ac:dyDescent="0.2">
      <c r="A84" s="693"/>
      <c r="B84" s="694"/>
      <c r="C84" s="695"/>
      <c r="D84" s="695"/>
      <c r="E84" s="695"/>
      <c r="F84" s="695"/>
      <c r="G84" s="695"/>
      <c r="H84" s="171">
        <f t="shared" si="4"/>
        <v>0</v>
      </c>
      <c r="I84" s="695"/>
      <c r="K84" s="697" t="e">
        <f t="shared" si="3"/>
        <v>#N/A</v>
      </c>
      <c r="L84" s="697"/>
      <c r="N84" s="693" t="s">
        <v>159</v>
      </c>
      <c r="O84" s="694">
        <v>5401</v>
      </c>
    </row>
    <row r="85" spans="1:15" x14ac:dyDescent="0.2">
      <c r="A85" s="693"/>
      <c r="B85" s="694"/>
      <c r="C85" s="695"/>
      <c r="D85" s="695"/>
      <c r="E85" s="695"/>
      <c r="F85" s="695"/>
      <c r="G85" s="695"/>
      <c r="H85" s="171">
        <f t="shared" si="4"/>
        <v>0</v>
      </c>
      <c r="I85" s="695"/>
      <c r="K85" s="697" t="e">
        <f t="shared" si="3"/>
        <v>#N/A</v>
      </c>
      <c r="L85" s="697"/>
      <c r="N85" s="693" t="s">
        <v>160</v>
      </c>
      <c r="O85" s="694">
        <v>5405</v>
      </c>
    </row>
    <row r="86" spans="1:15" x14ac:dyDescent="0.2">
      <c r="A86" s="693"/>
      <c r="B86" s="694"/>
      <c r="C86" s="695"/>
      <c r="D86" s="695"/>
      <c r="E86" s="695"/>
      <c r="F86" s="695"/>
      <c r="G86" s="695"/>
      <c r="H86" s="171">
        <f t="shared" si="4"/>
        <v>0</v>
      </c>
      <c r="I86" s="695"/>
      <c r="K86" s="697" t="e">
        <f t="shared" si="3"/>
        <v>#N/A</v>
      </c>
      <c r="L86" s="697"/>
      <c r="N86" s="693" t="s">
        <v>161</v>
      </c>
      <c r="O86" s="694">
        <v>5403</v>
      </c>
    </row>
    <row r="87" spans="1:15" x14ac:dyDescent="0.2">
      <c r="A87" s="693"/>
      <c r="B87" s="694"/>
      <c r="C87" s="695"/>
      <c r="D87" s="695"/>
      <c r="E87" s="695"/>
      <c r="F87" s="695"/>
      <c r="G87" s="695"/>
      <c r="H87" s="171">
        <f t="shared" si="4"/>
        <v>0</v>
      </c>
      <c r="I87" s="695"/>
      <c r="K87" s="697" t="e">
        <f t="shared" si="3"/>
        <v>#N/A</v>
      </c>
      <c r="L87" s="697"/>
      <c r="N87" s="693" t="s">
        <v>162</v>
      </c>
      <c r="O87" s="694">
        <v>5402</v>
      </c>
    </row>
    <row r="88" spans="1:15" x14ac:dyDescent="0.2">
      <c r="A88" s="693"/>
      <c r="B88" s="694"/>
      <c r="C88" s="695"/>
      <c r="D88" s="695"/>
      <c r="E88" s="695"/>
      <c r="F88" s="695"/>
      <c r="G88" s="695"/>
      <c r="H88" s="171">
        <f t="shared" si="4"/>
        <v>0</v>
      </c>
      <c r="I88" s="695"/>
      <c r="K88" s="697" t="e">
        <f t="shared" si="3"/>
        <v>#N/A</v>
      </c>
      <c r="L88" s="697"/>
      <c r="N88" s="693" t="s">
        <v>163</v>
      </c>
      <c r="O88" s="694">
        <v>5603</v>
      </c>
    </row>
    <row r="89" spans="1:15" x14ac:dyDescent="0.2">
      <c r="A89" s="693"/>
      <c r="B89" s="694"/>
      <c r="C89" s="695"/>
      <c r="D89" s="695"/>
      <c r="E89" s="695"/>
      <c r="F89" s="695"/>
      <c r="G89" s="695"/>
      <c r="H89" s="171">
        <f t="shared" si="4"/>
        <v>0</v>
      </c>
      <c r="I89" s="695"/>
      <c r="K89" s="697" t="e">
        <f t="shared" si="3"/>
        <v>#N/A</v>
      </c>
      <c r="L89" s="697"/>
      <c r="N89" s="693" t="s">
        <v>164</v>
      </c>
      <c r="O89" s="694">
        <v>5020</v>
      </c>
    </row>
    <row r="90" spans="1:15" x14ac:dyDescent="0.2">
      <c r="A90" s="693"/>
      <c r="B90" s="694"/>
      <c r="C90" s="695"/>
      <c r="D90" s="695"/>
      <c r="E90" s="695"/>
      <c r="F90" s="695"/>
      <c r="G90" s="695"/>
      <c r="H90" s="171">
        <f t="shared" si="4"/>
        <v>0</v>
      </c>
      <c r="I90" s="695"/>
      <c r="K90" s="697" t="e">
        <f t="shared" si="3"/>
        <v>#N/A</v>
      </c>
      <c r="L90" s="697"/>
      <c r="N90" s="693" t="s">
        <v>501</v>
      </c>
      <c r="O90" s="694">
        <v>5104</v>
      </c>
    </row>
    <row r="91" spans="1:15" x14ac:dyDescent="0.2">
      <c r="A91" s="693"/>
      <c r="B91" s="694"/>
      <c r="C91" s="695"/>
      <c r="D91" s="695"/>
      <c r="E91" s="695"/>
      <c r="F91" s="695"/>
      <c r="G91" s="695"/>
      <c r="H91" s="171">
        <f t="shared" si="4"/>
        <v>0</v>
      </c>
      <c r="I91" s="695"/>
      <c r="K91" s="697" t="e">
        <f t="shared" si="3"/>
        <v>#N/A</v>
      </c>
      <c r="L91" s="697"/>
      <c r="N91" s="693" t="s">
        <v>165</v>
      </c>
      <c r="O91" s="694">
        <v>5109</v>
      </c>
    </row>
    <row r="92" spans="1:15" x14ac:dyDescent="0.2">
      <c r="A92" s="693"/>
      <c r="B92" s="694"/>
      <c r="C92" s="695"/>
      <c r="D92" s="695"/>
      <c r="E92" s="695"/>
      <c r="F92" s="695"/>
      <c r="G92" s="695"/>
      <c r="H92" s="171">
        <f t="shared" si="4"/>
        <v>0</v>
      </c>
      <c r="I92" s="695"/>
      <c r="K92" s="697" t="e">
        <f t="shared" si="3"/>
        <v>#N/A</v>
      </c>
      <c r="L92" s="697"/>
      <c r="N92" s="693" t="s">
        <v>166</v>
      </c>
      <c r="O92" s="694">
        <v>5200</v>
      </c>
    </row>
    <row r="93" spans="1:15" x14ac:dyDescent="0.2">
      <c r="A93" s="693"/>
      <c r="B93" s="694"/>
      <c r="C93" s="695"/>
      <c r="D93" s="695"/>
      <c r="E93" s="695"/>
      <c r="F93" s="695"/>
      <c r="G93" s="695"/>
      <c r="H93" s="171">
        <f t="shared" si="4"/>
        <v>0</v>
      </c>
      <c r="I93" s="695"/>
      <c r="K93" s="697" t="e">
        <f t="shared" si="3"/>
        <v>#N/A</v>
      </c>
      <c r="L93" s="697"/>
      <c r="N93" s="693" t="s">
        <v>451</v>
      </c>
      <c r="O93" s="694">
        <v>5301</v>
      </c>
    </row>
    <row r="94" spans="1:15" x14ac:dyDescent="0.2">
      <c r="A94" s="693"/>
      <c r="B94" s="694"/>
      <c r="C94" s="695"/>
      <c r="D94" s="695"/>
      <c r="E94" s="695"/>
      <c r="F94" s="695"/>
      <c r="G94" s="695"/>
      <c r="H94" s="171">
        <f t="shared" si="4"/>
        <v>0</v>
      </c>
      <c r="I94" s="695"/>
      <c r="K94" s="697" t="e">
        <f t="shared" si="3"/>
        <v>#N/A</v>
      </c>
      <c r="L94" s="697"/>
      <c r="N94" s="693" t="s">
        <v>168</v>
      </c>
      <c r="O94" s="694">
        <v>5053</v>
      </c>
    </row>
    <row r="95" spans="1:15" x14ac:dyDescent="0.2">
      <c r="A95" s="693"/>
      <c r="B95" s="694"/>
      <c r="C95" s="695"/>
      <c r="D95" s="695"/>
      <c r="E95" s="695"/>
      <c r="F95" s="695"/>
      <c r="G95" s="695"/>
      <c r="H95" s="171">
        <f t="shared" si="4"/>
        <v>0</v>
      </c>
      <c r="I95" s="695"/>
      <c r="K95" s="697" t="e">
        <f t="shared" si="3"/>
        <v>#N/A</v>
      </c>
      <c r="L95" s="697"/>
      <c r="N95" s="693" t="s">
        <v>506</v>
      </c>
      <c r="O95" s="694">
        <v>5604</v>
      </c>
    </row>
    <row r="96" spans="1:15" x14ac:dyDescent="0.2">
      <c r="A96" s="693"/>
      <c r="B96" s="694"/>
      <c r="C96" s="695"/>
      <c r="D96" s="695"/>
      <c r="E96" s="695"/>
      <c r="F96" s="695"/>
      <c r="G96" s="695"/>
      <c r="H96" s="171">
        <f t="shared" si="4"/>
        <v>0</v>
      </c>
      <c r="I96" s="695"/>
      <c r="K96" s="697" t="e">
        <f t="shared" si="3"/>
        <v>#N/A</v>
      </c>
      <c r="L96" s="697"/>
      <c r="N96" s="693" t="s">
        <v>170</v>
      </c>
      <c r="O96" s="694">
        <v>5062</v>
      </c>
    </row>
    <row r="97" spans="1:15" x14ac:dyDescent="0.2">
      <c r="A97" s="693"/>
      <c r="B97" s="694"/>
      <c r="C97" s="695"/>
      <c r="D97" s="695"/>
      <c r="E97" s="695"/>
      <c r="F97" s="695"/>
      <c r="G97" s="695"/>
      <c r="H97" s="171">
        <f t="shared" si="4"/>
        <v>0</v>
      </c>
      <c r="I97" s="695"/>
      <c r="K97" s="697" t="e">
        <f t="shared" si="3"/>
        <v>#N/A</v>
      </c>
      <c r="L97" s="697"/>
      <c r="N97" s="693" t="s">
        <v>171</v>
      </c>
      <c r="O97" s="694">
        <v>5302</v>
      </c>
    </row>
    <row r="98" spans="1:15" x14ac:dyDescent="0.2">
      <c r="A98" s="693"/>
      <c r="B98" s="694"/>
      <c r="C98" s="695"/>
      <c r="D98" s="695"/>
      <c r="E98" s="695"/>
      <c r="F98" s="695"/>
      <c r="G98" s="695"/>
      <c r="H98" s="171">
        <f t="shared" si="4"/>
        <v>0</v>
      </c>
      <c r="I98" s="695"/>
      <c r="K98" s="697" t="e">
        <f t="shared" si="3"/>
        <v>#N/A</v>
      </c>
      <c r="L98" s="697"/>
      <c r="N98" s="693" t="s">
        <v>172</v>
      </c>
      <c r="O98" s="694">
        <v>5001</v>
      </c>
    </row>
    <row r="99" spans="1:15" x14ac:dyDescent="0.2">
      <c r="A99" s="693"/>
      <c r="B99" s="694"/>
      <c r="C99" s="695"/>
      <c r="D99" s="695"/>
      <c r="E99" s="695"/>
      <c r="F99" s="695"/>
      <c r="G99" s="695"/>
      <c r="H99" s="171">
        <f t="shared" si="4"/>
        <v>0</v>
      </c>
      <c r="I99" s="695"/>
      <c r="K99" s="697" t="e">
        <f t="shared" si="3"/>
        <v>#N/A</v>
      </c>
      <c r="L99" s="697"/>
      <c r="N99" s="693" t="s">
        <v>173</v>
      </c>
      <c r="O99" s="694">
        <v>5061</v>
      </c>
    </row>
    <row r="100" spans="1:15" x14ac:dyDescent="0.2">
      <c r="A100" s="693"/>
      <c r="B100" s="694"/>
      <c r="C100" s="695"/>
      <c r="D100" s="695"/>
      <c r="E100" s="695"/>
      <c r="F100" s="695"/>
      <c r="G100" s="695"/>
      <c r="H100" s="171">
        <f t="shared" si="4"/>
        <v>0</v>
      </c>
      <c r="I100" s="695"/>
      <c r="K100" s="697" t="e">
        <f t="shared" si="3"/>
        <v>#N/A</v>
      </c>
      <c r="L100" s="697"/>
      <c r="N100" s="693" t="s">
        <v>174</v>
      </c>
      <c r="O100" s="694">
        <v>5304</v>
      </c>
    </row>
    <row r="101" spans="1:15" s="176" customFormat="1" x14ac:dyDescent="0.2">
      <c r="A101" s="176" t="s">
        <v>485</v>
      </c>
      <c r="B101" s="177"/>
      <c r="C101" s="178">
        <f>SUM(C30:C100)</f>
        <v>0</v>
      </c>
      <c r="D101" s="178">
        <f t="shared" ref="D101:I101" si="5">SUM(D30:D100)</f>
        <v>0</v>
      </c>
      <c r="E101" s="178">
        <f t="shared" si="5"/>
        <v>268457.3</v>
      </c>
      <c r="F101" s="178">
        <f t="shared" si="5"/>
        <v>0</v>
      </c>
      <c r="G101" s="178">
        <f t="shared" si="5"/>
        <v>0</v>
      </c>
      <c r="H101" s="178">
        <f t="shared" si="5"/>
        <v>0</v>
      </c>
      <c r="I101" s="178">
        <f t="shared" si="5"/>
        <v>294201</v>
      </c>
      <c r="N101" s="693" t="s">
        <v>175</v>
      </c>
      <c r="O101" s="694">
        <v>5064</v>
      </c>
    </row>
    <row r="102" spans="1:15" x14ac:dyDescent="0.2">
      <c r="N102" s="693" t="s">
        <v>176</v>
      </c>
      <c r="O102" s="694">
        <v>5601</v>
      </c>
    </row>
    <row r="103" spans="1:15" x14ac:dyDescent="0.2">
      <c r="N103" s="693" t="s">
        <v>515</v>
      </c>
      <c r="O103" s="694">
        <v>5000</v>
      </c>
    </row>
  </sheetData>
  <sheetProtection algorithmName="SHA-512" hashValue="c5wYvhv60x2x4g7hOSfC5WkaCO2nKMwFulXok/apJ3eqG7mqMkGilXBe3LIuM6RxuLp/VBIak03LwD9pdHrcdg==" saltValue="bW9Pp7dwg+BDP78HDus10g==" spinCount="100000" sheet="1" objects="1" scenarios="1"/>
  <mergeCells count="4">
    <mergeCell ref="A1:L1"/>
    <mergeCell ref="A7:L7"/>
    <mergeCell ref="A27:L27"/>
    <mergeCell ref="O1:R1"/>
  </mergeCells>
  <pageMargins left="0.7" right="0.7" top="0.75" bottom="0.75" header="0.3" footer="0.3"/>
  <legacy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1033F9-CD85-4464-8D5C-662985727A34}">
  <sheetPr codeName="Sheet11">
    <tabColor rgb="FF7030A0"/>
  </sheetPr>
  <dimension ref="A1:U110"/>
  <sheetViews>
    <sheetView workbookViewId="0">
      <selection sqref="A1:L1"/>
    </sheetView>
  </sheetViews>
  <sheetFormatPr baseColWidth="10" defaultColWidth="9.1640625" defaultRowHeight="15" x14ac:dyDescent="0.2"/>
  <cols>
    <col min="1" max="1" width="53.6640625" style="157" bestFit="1" customWidth="1"/>
    <col min="2" max="2" width="10.33203125" style="157" bestFit="1" customWidth="1"/>
    <col min="3" max="4" width="9" style="157" bestFit="1" customWidth="1"/>
    <col min="5" max="5" width="9.5" style="157" bestFit="1" customWidth="1"/>
    <col min="6" max="6" width="15.33203125" style="157" bestFit="1" customWidth="1"/>
    <col min="7" max="7" width="16.5" style="157" bestFit="1" customWidth="1"/>
    <col min="8" max="8" width="18.5" style="157" bestFit="1" customWidth="1"/>
    <col min="9" max="10" width="18.5" style="157" customWidth="1"/>
    <col min="11" max="16384" width="9.1640625" style="157"/>
  </cols>
  <sheetData>
    <row r="1" spans="1:21" x14ac:dyDescent="0.2">
      <c r="A1" s="881" t="str">
        <f>"Historical Financial Analysis Summary - "&amp;'IE Data Entry'!B2</f>
        <v xml:space="preserve">Historical Financial Analysis Summary - </v>
      </c>
      <c r="B1" s="881"/>
      <c r="C1" s="881"/>
      <c r="D1" s="881"/>
      <c r="E1" s="881"/>
      <c r="F1" s="881"/>
      <c r="G1" s="881"/>
      <c r="H1" s="179"/>
      <c r="I1" s="179"/>
      <c r="J1" s="179"/>
      <c r="K1" s="180"/>
      <c r="L1" s="180"/>
      <c r="M1" s="180"/>
      <c r="N1" s="180"/>
      <c r="O1" s="180"/>
      <c r="P1" s="180"/>
      <c r="Q1" s="180"/>
      <c r="R1" s="180"/>
      <c r="S1" s="179"/>
      <c r="T1" s="179"/>
      <c r="U1" s="179"/>
    </row>
    <row r="2" spans="1:21" ht="9" customHeight="1" x14ac:dyDescent="0.2">
      <c r="A2" s="159"/>
      <c r="B2" s="159"/>
      <c r="C2" s="159"/>
      <c r="D2" s="159"/>
      <c r="E2" s="159"/>
      <c r="F2" s="159"/>
      <c r="G2" s="179"/>
      <c r="H2" s="179"/>
      <c r="I2" s="179"/>
      <c r="J2" s="179"/>
      <c r="K2" s="180"/>
      <c r="L2" s="180"/>
      <c r="M2" s="180"/>
      <c r="N2" s="180"/>
      <c r="O2" s="180"/>
      <c r="P2" s="180"/>
      <c r="Q2" s="180"/>
      <c r="R2" s="180"/>
      <c r="S2" s="179"/>
      <c r="T2" s="179"/>
      <c r="U2" s="179"/>
    </row>
    <row r="3" spans="1:21" x14ac:dyDescent="0.2">
      <c r="A3" s="890" t="s">
        <v>542</v>
      </c>
      <c r="B3" s="890"/>
      <c r="C3" s="890"/>
      <c r="D3" s="890"/>
      <c r="E3" s="890"/>
      <c r="F3" s="890"/>
      <c r="G3" s="890"/>
      <c r="H3" s="179"/>
      <c r="I3" s="179"/>
      <c r="J3" s="179"/>
      <c r="K3" s="180"/>
      <c r="L3" s="180"/>
      <c r="M3" s="180"/>
      <c r="N3" s="180"/>
      <c r="O3" s="180"/>
      <c r="P3" s="180"/>
      <c r="Q3" s="180"/>
      <c r="R3" s="180"/>
      <c r="S3" s="181"/>
      <c r="T3" s="179"/>
      <c r="U3" s="179"/>
    </row>
    <row r="4" spans="1:21" x14ac:dyDescent="0.2">
      <c r="A4" s="167"/>
      <c r="B4" s="168"/>
      <c r="C4" s="168"/>
      <c r="D4" s="168"/>
      <c r="E4" s="168"/>
      <c r="F4" s="894" t="str">
        <f>Current_Year&amp;" Annualized"</f>
        <v>2022 Annualized</v>
      </c>
      <c r="G4" s="894" t="s">
        <v>543</v>
      </c>
      <c r="H4" s="168" t="s">
        <v>445</v>
      </c>
      <c r="I4" s="611" t="s">
        <v>544</v>
      </c>
      <c r="J4" s="168"/>
      <c r="K4" s="180"/>
      <c r="L4" s="180"/>
      <c r="M4" s="180"/>
      <c r="N4" s="182"/>
      <c r="O4" s="180"/>
      <c r="P4" s="180"/>
      <c r="Q4" s="180"/>
      <c r="R4" s="180"/>
      <c r="S4" s="183"/>
      <c r="T4" s="179"/>
      <c r="U4" s="179"/>
    </row>
    <row r="5" spans="1:21" ht="16" thickBot="1" x14ac:dyDescent="0.25">
      <c r="A5" s="170" t="s">
        <v>545</v>
      </c>
      <c r="B5" s="169">
        <f>+B31</f>
        <v>2019</v>
      </c>
      <c r="C5" s="169">
        <f t="shared" ref="C5:E5" si="0">+C31</f>
        <v>2020</v>
      </c>
      <c r="D5" s="169">
        <f t="shared" si="0"/>
        <v>2021</v>
      </c>
      <c r="E5" s="169" t="str">
        <f t="shared" si="0"/>
        <v>Trailing 12</v>
      </c>
      <c r="F5" s="895"/>
      <c r="G5" s="895"/>
      <c r="H5" s="169" t="s">
        <v>471</v>
      </c>
      <c r="I5" s="612" t="s">
        <v>546</v>
      </c>
      <c r="J5" s="168"/>
      <c r="K5" s="180"/>
      <c r="L5" s="180"/>
      <c r="M5" s="180"/>
      <c r="N5" s="182"/>
      <c r="O5" s="180"/>
      <c r="P5" s="180"/>
      <c r="Q5" s="180"/>
      <c r="R5" s="180"/>
      <c r="S5" s="183"/>
      <c r="T5" s="179"/>
      <c r="U5" s="179"/>
    </row>
    <row r="6" spans="1:21" x14ac:dyDescent="0.2">
      <c r="A6" s="167" t="s">
        <v>547</v>
      </c>
      <c r="B6" s="168"/>
      <c r="C6" s="168"/>
      <c r="D6" s="168"/>
      <c r="E6" s="168"/>
      <c r="F6" s="168"/>
      <c r="G6" s="168"/>
      <c r="H6" s="168"/>
      <c r="I6" s="610"/>
      <c r="J6" s="168"/>
      <c r="K6" s="180" t="s">
        <v>548</v>
      </c>
      <c r="L6" s="180"/>
      <c r="M6" s="180"/>
      <c r="N6" s="182"/>
      <c r="O6" s="180"/>
      <c r="P6" s="180"/>
      <c r="Q6" s="180"/>
      <c r="R6" s="180"/>
      <c r="S6" s="183"/>
      <c r="T6" s="179"/>
      <c r="U6" s="179"/>
    </row>
    <row r="7" spans="1:21" x14ac:dyDescent="0.2">
      <c r="A7" s="791" t="s">
        <v>475</v>
      </c>
      <c r="B7" s="184">
        <f>SUMIF('IE Data Entry'!$B$10:$B$24,'IE SUMMARY'!$S7,'IE Data Entry'!C$10:C$24)</f>
        <v>0</v>
      </c>
      <c r="C7" s="185">
        <f>SUMIF('IE Data Entry'!$B$10:$B$24,'IE SUMMARY'!$S7,'IE Data Entry'!D$10:D$24)</f>
        <v>0</v>
      </c>
      <c r="D7" s="185">
        <f>SUMIF('IE Data Entry'!$B$10:$B$24,'IE SUMMARY'!$S7,'IE Data Entry'!E$10:E$24)</f>
        <v>433593.94</v>
      </c>
      <c r="E7" s="185">
        <f>SUMIF('IE Data Entry'!$B$10:$B$24,'IE SUMMARY'!$S7,'IE Data Entry'!F$10:F$24)</f>
        <v>0</v>
      </c>
      <c r="F7" s="185">
        <f>SUMIF('IE Data Entry'!$B$10:$B$24,'IE SUMMARY'!$S7,'IE Data Entry'!H$10:H$24)</f>
        <v>0</v>
      </c>
      <c r="G7" s="185">
        <f>SUMIF('IE Data Entry'!$B$10:$B$24,'IE SUMMARY'!$S7,'IE Data Entry'!I$10:I$24)</f>
        <v>0</v>
      </c>
      <c r="H7" s="186">
        <f>+Proforma!F34*12</f>
        <v>476064</v>
      </c>
      <c r="I7" s="616">
        <f>IFERROR(H7-(AVERAGEIF(B7:G7,"&gt;0",B7:G7)),H7)</f>
        <v>42470.06</v>
      </c>
      <c r="J7" s="605"/>
      <c r="K7" s="180"/>
      <c r="L7" s="180"/>
      <c r="M7" s="180"/>
      <c r="N7" s="182"/>
      <c r="O7" s="180"/>
      <c r="P7" s="180"/>
      <c r="Q7" s="180"/>
      <c r="R7" s="180"/>
      <c r="S7" s="183">
        <v>1</v>
      </c>
      <c r="T7" s="179"/>
      <c r="U7" s="179"/>
    </row>
    <row r="8" spans="1:21" x14ac:dyDescent="0.2">
      <c r="A8" s="791" t="s">
        <v>477</v>
      </c>
      <c r="B8" s="185">
        <f>SUMIF('IE Data Entry'!$B$10:$B$24,'IE SUMMARY'!$S8,'IE Data Entry'!C$10:C$24)</f>
        <v>0</v>
      </c>
      <c r="C8" s="185">
        <f>SUMIF('IE Data Entry'!$B$10:$B$24,'IE SUMMARY'!$S8,'IE Data Entry'!D$10:D$24)</f>
        <v>0</v>
      </c>
      <c r="D8" s="185">
        <f>SUMIF('IE Data Entry'!$B$10:$B$24,'IE SUMMARY'!$S8,'IE Data Entry'!E$10:E$24)</f>
        <v>0</v>
      </c>
      <c r="E8" s="185">
        <f>SUMIF('IE Data Entry'!$B$10:$B$24,'IE SUMMARY'!$S8,'IE Data Entry'!F$10:F$24)</f>
        <v>0</v>
      </c>
      <c r="F8" s="185">
        <f>SUMIF('IE Data Entry'!$B$10:$B$24,'IE SUMMARY'!$S8,'IE Data Entry'!H$10:H$24)</f>
        <v>0</v>
      </c>
      <c r="G8" s="185">
        <f>SUMIF('IE Data Entry'!$B$10:$B$24,'IE SUMMARY'!$S8,'IE Data Entry'!I$10:I$24)</f>
        <v>0</v>
      </c>
      <c r="H8" s="186">
        <f>+Proforma!F35*12</f>
        <v>0</v>
      </c>
      <c r="I8" s="616">
        <f t="shared" ref="I8:I61" si="1">IFERROR(H8-(AVERAGEIF(B8:G8,"&gt;0",B8:G8)),H8)</f>
        <v>0</v>
      </c>
      <c r="J8" s="605"/>
      <c r="K8" s="180"/>
      <c r="L8" s="180"/>
      <c r="M8" s="180"/>
      <c r="N8" s="182"/>
      <c r="O8" s="180"/>
      <c r="P8" s="180"/>
      <c r="Q8" s="180"/>
      <c r="R8" s="180"/>
      <c r="S8" s="183">
        <v>2</v>
      </c>
      <c r="T8" s="179"/>
      <c r="U8" s="179"/>
    </row>
    <row r="9" spans="1:21" x14ac:dyDescent="0.2">
      <c r="A9" s="791" t="s">
        <v>479</v>
      </c>
      <c r="B9" s="185">
        <f>SUMIF('IE Data Entry'!$B$10:$B$24,'IE SUMMARY'!$S9,'IE Data Entry'!C$10:C$24)</f>
        <v>0</v>
      </c>
      <c r="C9" s="185">
        <f>SUMIF('IE Data Entry'!$B$10:$B$24,'IE SUMMARY'!$S9,'IE Data Entry'!D$10:D$24)</f>
        <v>0</v>
      </c>
      <c r="D9" s="185">
        <f>SUMIF('IE Data Entry'!$B$10:$B$24,'IE SUMMARY'!$S9,'IE Data Entry'!E$10:E$24)</f>
        <v>0</v>
      </c>
      <c r="E9" s="185">
        <f>SUMIF('IE Data Entry'!$B$10:$B$24,'IE SUMMARY'!$S9,'IE Data Entry'!F$10:F$24)</f>
        <v>0</v>
      </c>
      <c r="F9" s="185">
        <f>SUMIF('IE Data Entry'!$B$10:$B$24,'IE SUMMARY'!$S9,'IE Data Entry'!H$10:H$24)</f>
        <v>0</v>
      </c>
      <c r="G9" s="185">
        <f>SUMIF('IE Data Entry'!$B$10:$B$24,'IE SUMMARY'!$S9,'IE Data Entry'!I$10:I$24)</f>
        <v>0</v>
      </c>
      <c r="H9" s="186">
        <f>+Proforma!F36*12</f>
        <v>0</v>
      </c>
      <c r="I9" s="616">
        <f t="shared" si="1"/>
        <v>0</v>
      </c>
      <c r="J9" s="605"/>
      <c r="K9" s="179" t="str">
        <f>IF(ISERROR((+(G11-E11)/E11)),"",(+(G11-E11)/E11))</f>
        <v/>
      </c>
      <c r="L9" s="187" t="s">
        <v>549</v>
      </c>
      <c r="M9" s="179"/>
      <c r="O9" s="179"/>
      <c r="P9" s="179"/>
      <c r="Q9" s="179"/>
      <c r="R9" s="179"/>
      <c r="S9" s="183">
        <v>3</v>
      </c>
      <c r="T9" s="179"/>
      <c r="U9" s="179"/>
    </row>
    <row r="10" spans="1:21" x14ac:dyDescent="0.2">
      <c r="A10" s="791" t="s">
        <v>550</v>
      </c>
      <c r="B10" s="185">
        <f>SUMIF('IE Data Entry'!$B$10:$B$24,'IE SUMMARY'!$S10,'IE Data Entry'!C$10:C$24)</f>
        <v>0</v>
      </c>
      <c r="C10" s="185">
        <f>SUMIF('IE Data Entry'!$B$10:$B$24,'IE SUMMARY'!$S10,'IE Data Entry'!D$10:D$24)</f>
        <v>0</v>
      </c>
      <c r="D10" s="185">
        <f>SUMIF('IE Data Entry'!$B$10:$B$24,'IE SUMMARY'!$S10,'IE Data Entry'!E$10:E$24)</f>
        <v>0</v>
      </c>
      <c r="E10" s="185">
        <f>SUMIF('IE Data Entry'!$B$10:$B$24,'IE SUMMARY'!$S10,'IE Data Entry'!F$10:F$24)</f>
        <v>0</v>
      </c>
      <c r="F10" s="185">
        <f>SUMIF('IE Data Entry'!$B$10:$B$24,'IE SUMMARY'!$S10,'IE Data Entry'!H$10:H$24)</f>
        <v>0</v>
      </c>
      <c r="G10" s="185">
        <f>SUMIF('IE Data Entry'!$B$10:$B$24,'IE SUMMARY'!$S10,'IE Data Entry'!I$10:I$24)</f>
        <v>0</v>
      </c>
      <c r="H10" s="188">
        <f>SUM(Proforma!F38:F40)*12</f>
        <v>-23803.200000000001</v>
      </c>
      <c r="I10" s="617">
        <f t="shared" si="1"/>
        <v>-23803.200000000001</v>
      </c>
      <c r="J10" s="605"/>
      <c r="K10" s="189" t="str">
        <f>IF(ISERROR((+(G11-F11)/F11)),"",(+(G11-F11)/F11))</f>
        <v/>
      </c>
      <c r="L10" s="187" t="s">
        <v>551</v>
      </c>
      <c r="M10" s="179"/>
      <c r="O10" s="180"/>
      <c r="P10" s="179"/>
      <c r="Q10" s="179"/>
      <c r="R10" s="179"/>
      <c r="S10" s="183">
        <v>4</v>
      </c>
      <c r="T10" s="179"/>
      <c r="U10" s="179"/>
    </row>
    <row r="11" spans="1:21" x14ac:dyDescent="0.2">
      <c r="A11" s="190" t="s">
        <v>141</v>
      </c>
      <c r="B11" s="854">
        <f>SUM(B7:B10)</f>
        <v>0</v>
      </c>
      <c r="C11" s="854">
        <f t="shared" ref="C11:H11" si="2">SUM(C7:C10)</f>
        <v>0</v>
      </c>
      <c r="D11" s="854">
        <f t="shared" si="2"/>
        <v>433593.94</v>
      </c>
      <c r="E11" s="854">
        <f t="shared" si="2"/>
        <v>0</v>
      </c>
      <c r="F11" s="854">
        <f t="shared" si="2"/>
        <v>0</v>
      </c>
      <c r="G11" s="854">
        <f t="shared" si="2"/>
        <v>0</v>
      </c>
      <c r="H11" s="854">
        <f t="shared" si="2"/>
        <v>452260.8</v>
      </c>
      <c r="I11" s="616">
        <f t="shared" si="1"/>
        <v>18666.859999999986</v>
      </c>
      <c r="J11" s="605"/>
      <c r="K11" s="189">
        <f>IF(ISERROR((+(G11-D11)/D11)),"",(+(G11-D11)/D11))</f>
        <v>-1</v>
      </c>
      <c r="L11" s="187" t="str">
        <f>"Broker Compared to "&amp;'IE Data Entry'!$B$4</f>
        <v>Broker Compared to 2021</v>
      </c>
      <c r="M11" s="191"/>
      <c r="O11" s="180"/>
      <c r="P11" s="179"/>
      <c r="Q11" s="179"/>
      <c r="R11" s="179"/>
      <c r="S11" s="183"/>
      <c r="T11" s="179"/>
      <c r="U11" s="179"/>
    </row>
    <row r="12" spans="1:21" x14ac:dyDescent="0.2">
      <c r="A12" s="192" t="s">
        <v>552</v>
      </c>
      <c r="B12" s="187"/>
      <c r="C12" s="189" t="str">
        <f>IF(ISERROR((+(C11-B11)/B11)),"",(+(C11-B11)/B11))</f>
        <v/>
      </c>
      <c r="D12" s="189" t="str">
        <f>IF(ISERROR((+(D11-C11)/C11)),"",(+(D11-C11)/C11))</f>
        <v/>
      </c>
      <c r="E12" s="189">
        <f>IF(ISERROR((+(E11-D11)/D11)),"",(+(E11-D11)/D11))</f>
        <v>-1</v>
      </c>
      <c r="F12" s="189">
        <f>IF(ISERROR((+(F11-D11)/D11)),"",(+(F11-D11)/D11))</f>
        <v>-1</v>
      </c>
      <c r="G12" s="189"/>
      <c r="I12" s="616">
        <f t="shared" si="1"/>
        <v>0</v>
      </c>
      <c r="L12" s="189"/>
      <c r="M12" s="189"/>
      <c r="N12" s="189"/>
      <c r="O12" s="179"/>
      <c r="P12" s="179"/>
      <c r="Q12" s="179"/>
      <c r="R12" s="179"/>
      <c r="S12" s="183"/>
      <c r="T12" s="179"/>
      <c r="U12" s="179"/>
    </row>
    <row r="13" spans="1:21" ht="10.25" customHeight="1" x14ac:dyDescent="0.2">
      <c r="A13" s="791"/>
      <c r="B13" s="193"/>
      <c r="C13" s="193"/>
      <c r="D13" s="193"/>
      <c r="E13" s="193"/>
      <c r="F13" s="193"/>
      <c r="G13" s="193"/>
      <c r="H13" s="189"/>
      <c r="I13" s="616">
        <f t="shared" si="1"/>
        <v>0</v>
      </c>
      <c r="J13" s="189"/>
      <c r="K13" s="187"/>
      <c r="L13" s="179"/>
      <c r="M13" s="179"/>
      <c r="N13" s="193"/>
      <c r="O13" s="179"/>
      <c r="P13" s="179"/>
      <c r="Q13" s="179"/>
      <c r="R13" s="179"/>
      <c r="S13" s="183"/>
      <c r="T13" s="179"/>
      <c r="U13" s="179"/>
    </row>
    <row r="14" spans="1:21" x14ac:dyDescent="0.2">
      <c r="A14" s="194" t="s">
        <v>142</v>
      </c>
      <c r="B14" s="193"/>
      <c r="C14" s="193"/>
      <c r="D14" s="193"/>
      <c r="E14" s="193"/>
      <c r="F14" s="193"/>
      <c r="G14" s="193"/>
      <c r="H14" s="179"/>
      <c r="I14" s="616">
        <f t="shared" si="1"/>
        <v>0</v>
      </c>
      <c r="J14" s="179"/>
      <c r="K14" s="179"/>
      <c r="L14" s="179"/>
      <c r="M14" s="179"/>
      <c r="N14" s="193"/>
      <c r="O14" s="179"/>
      <c r="P14" s="179"/>
      <c r="Q14" s="179"/>
      <c r="R14" s="179"/>
      <c r="S14" s="183"/>
      <c r="T14" s="179"/>
      <c r="U14" s="179"/>
    </row>
    <row r="15" spans="1:21" x14ac:dyDescent="0.2">
      <c r="A15" s="791" t="s">
        <v>158</v>
      </c>
      <c r="B15" s="185">
        <f>SUMIF('IE Data Entry'!$B$10:$B$24,'IE SUMMARY'!$S15,'IE Data Entry'!C$10:C$24)</f>
        <v>0</v>
      </c>
      <c r="C15" s="185">
        <f>SUMIF('IE Data Entry'!$B$10:$B$24,'IE SUMMARY'!$S15,'IE Data Entry'!D$10:D$24)</f>
        <v>0</v>
      </c>
      <c r="D15" s="185">
        <f>SUMIF('IE Data Entry'!$B$10:$B$24,'IE SUMMARY'!$S15,'IE Data Entry'!E$10:E$24)</f>
        <v>16101</v>
      </c>
      <c r="E15" s="185">
        <f>SUMIF('IE Data Entry'!$B$10:$B$24,'IE SUMMARY'!$S15,'IE Data Entry'!F$10:F$24)</f>
        <v>0</v>
      </c>
      <c r="F15" s="185">
        <f>SUMIF('IE Data Entry'!$B$10:$B$24,'IE SUMMARY'!$S15,'IE Data Entry'!H$10:H$24)</f>
        <v>0</v>
      </c>
      <c r="G15" s="185">
        <f>SUMIF('IE Data Entry'!$B$10:$B$24,'IE SUMMARY'!$S15,'IE Data Entry'!I$10:I$24)</f>
        <v>0</v>
      </c>
      <c r="H15" s="186">
        <f>+Proforma!F44*12</f>
        <v>0</v>
      </c>
      <c r="I15" s="616">
        <f t="shared" si="1"/>
        <v>-16101</v>
      </c>
      <c r="J15" s="605"/>
      <c r="K15" s="179"/>
      <c r="L15" s="179"/>
      <c r="M15" s="179"/>
      <c r="O15" s="180"/>
      <c r="P15" s="179"/>
      <c r="Q15" s="179"/>
      <c r="R15" s="179"/>
      <c r="S15" s="183">
        <v>4403</v>
      </c>
      <c r="T15" s="179"/>
      <c r="U15" s="179"/>
    </row>
    <row r="16" spans="1:21" x14ac:dyDescent="0.2">
      <c r="A16" s="791" t="s">
        <v>145</v>
      </c>
      <c r="B16" s="185">
        <f>SUMIF('IE Data Entry'!$B$10:$B$24,'IE SUMMARY'!$S16,'IE Data Entry'!C$10:C$24)</f>
        <v>0</v>
      </c>
      <c r="C16" s="185">
        <f>SUMIF('IE Data Entry'!$B$10:$B$24,'IE SUMMARY'!$S16,'IE Data Entry'!D$10:D$24)</f>
        <v>0</v>
      </c>
      <c r="D16" s="185">
        <f>SUMIF('IE Data Entry'!$B$10:$B$24,'IE SUMMARY'!$S16,'IE Data Entry'!E$10:E$24)</f>
        <v>0</v>
      </c>
      <c r="E16" s="185">
        <f>SUMIF('IE Data Entry'!$B$10:$B$24,'IE SUMMARY'!$S16,'IE Data Entry'!F$10:F$24)</f>
        <v>0</v>
      </c>
      <c r="F16" s="185">
        <f>SUMIF('IE Data Entry'!$B$10:$B$24,'IE SUMMARY'!$S16,'IE Data Entry'!H$10:H$24)</f>
        <v>0</v>
      </c>
      <c r="G16" s="185">
        <f>SUMIF('IE Data Entry'!$B$10:$B$24,'IE SUMMARY'!$S16,'IE Data Entry'!I$10:I$24)</f>
        <v>0</v>
      </c>
      <c r="H16" s="186">
        <f>+Proforma!F45*12</f>
        <v>0</v>
      </c>
      <c r="I16" s="616">
        <f t="shared" si="1"/>
        <v>0</v>
      </c>
      <c r="J16" s="605"/>
      <c r="K16" s="179"/>
      <c r="L16" s="179"/>
      <c r="M16" s="179"/>
      <c r="O16" s="180"/>
      <c r="P16" s="179"/>
      <c r="Q16" s="179"/>
      <c r="R16" s="179"/>
      <c r="S16" s="183">
        <v>4401</v>
      </c>
      <c r="T16" s="179"/>
      <c r="U16" s="179"/>
    </row>
    <row r="17" spans="1:21" x14ac:dyDescent="0.2">
      <c r="A17" s="791" t="s">
        <v>160</v>
      </c>
      <c r="B17" s="185">
        <f>SUMIF('IE Data Entry'!$B$10:$B$24,'IE SUMMARY'!$S17,'IE Data Entry'!C$10:C$24)</f>
        <v>0</v>
      </c>
      <c r="C17" s="185">
        <f>SUMIF('IE Data Entry'!$B$10:$B$24,'IE SUMMARY'!$S17,'IE Data Entry'!D$10:D$24)</f>
        <v>0</v>
      </c>
      <c r="D17" s="185">
        <f>SUMIF('IE Data Entry'!$B$10:$B$24,'IE SUMMARY'!$S17,'IE Data Entry'!E$10:E$24)</f>
        <v>13223</v>
      </c>
      <c r="E17" s="185">
        <f>SUMIF('IE Data Entry'!$B$10:$B$24,'IE SUMMARY'!$S17,'IE Data Entry'!F$10:F$24)</f>
        <v>0</v>
      </c>
      <c r="F17" s="185">
        <f>SUMIF('IE Data Entry'!$B$10:$B$24,'IE SUMMARY'!$S17,'IE Data Entry'!H$10:H$24)</f>
        <v>0</v>
      </c>
      <c r="G17" s="185">
        <f>SUMIF('IE Data Entry'!$B$10:$B$24,'IE SUMMARY'!$S17,'IE Data Entry'!I$10:I$24)</f>
        <v>0</v>
      </c>
      <c r="H17" s="186">
        <f>+Proforma!F46*12</f>
        <v>13223</v>
      </c>
      <c r="I17" s="616">
        <f t="shared" si="1"/>
        <v>0</v>
      </c>
      <c r="J17" s="605"/>
      <c r="K17" s="179"/>
      <c r="L17" s="179"/>
      <c r="M17" s="179"/>
      <c r="O17" s="180"/>
      <c r="P17" s="179"/>
      <c r="Q17" s="179"/>
      <c r="R17" s="179"/>
      <c r="S17" s="183">
        <v>4404</v>
      </c>
      <c r="T17" s="179"/>
      <c r="U17" s="179"/>
    </row>
    <row r="18" spans="1:21" x14ac:dyDescent="0.2">
      <c r="A18" s="791" t="s">
        <v>368</v>
      </c>
      <c r="B18" s="185">
        <f>SUMIF('IE Data Entry'!$B$10:$B$24,'IE SUMMARY'!$S18,'IE Data Entry'!C$10:C$24)</f>
        <v>0</v>
      </c>
      <c r="C18" s="185">
        <f>SUMIF('IE Data Entry'!$B$10:$B$24,'IE SUMMARY'!$S18,'IE Data Entry'!D$10:D$24)</f>
        <v>0</v>
      </c>
      <c r="D18" s="185">
        <f>SUMIF('IE Data Entry'!$B$10:$B$24,'IE SUMMARY'!$S18,'IE Data Entry'!E$10:E$24)</f>
        <v>0</v>
      </c>
      <c r="E18" s="185">
        <f>SUMIF('IE Data Entry'!$B$10:$B$24,'IE SUMMARY'!$S18,'IE Data Entry'!F$10:F$24)</f>
        <v>0</v>
      </c>
      <c r="F18" s="185">
        <f>SUMIF('IE Data Entry'!$B$10:$B$24,'IE SUMMARY'!$S18,'IE Data Entry'!H$10:H$24)</f>
        <v>0</v>
      </c>
      <c r="G18" s="185">
        <f>SUMIF('IE Data Entry'!$B$10:$B$24,'IE SUMMARY'!$S18,'IE Data Entry'!I$10:I$24)</f>
        <v>0</v>
      </c>
      <c r="H18" s="186">
        <f>+Proforma!F47*12</f>
        <v>16101</v>
      </c>
      <c r="I18" s="616">
        <f t="shared" si="1"/>
        <v>16101</v>
      </c>
      <c r="J18" s="605"/>
      <c r="K18" s="179"/>
      <c r="L18" s="179"/>
      <c r="M18" s="179"/>
      <c r="O18" s="180"/>
      <c r="P18" s="179"/>
      <c r="Q18" s="179"/>
      <c r="R18" s="179"/>
      <c r="S18" s="183">
        <v>4405</v>
      </c>
      <c r="T18" s="179"/>
      <c r="U18" s="179"/>
    </row>
    <row r="19" spans="1:21" x14ac:dyDescent="0.2">
      <c r="A19" s="791" t="s">
        <v>367</v>
      </c>
      <c r="B19" s="185">
        <f>SUMIF('IE Data Entry'!$B$10:$B$24,'IE SUMMARY'!$S19,'IE Data Entry'!C$10:C$24)</f>
        <v>0</v>
      </c>
      <c r="C19" s="185">
        <f>SUMIF('IE Data Entry'!$B$10:$B$24,'IE SUMMARY'!$S19,'IE Data Entry'!D$10:D$24)</f>
        <v>0</v>
      </c>
      <c r="D19" s="185">
        <f>SUMIF('IE Data Entry'!$B$10:$B$24,'IE SUMMARY'!$S19,'IE Data Entry'!E$10:E$24)</f>
        <v>1902.41</v>
      </c>
      <c r="E19" s="185">
        <f>SUMIF('IE Data Entry'!$B$10:$B$24,'IE SUMMARY'!$S19,'IE Data Entry'!F$10:F$24)</f>
        <v>0</v>
      </c>
      <c r="F19" s="185">
        <f>SUMIF('IE Data Entry'!$B$10:$B$24,'IE SUMMARY'!$S19,'IE Data Entry'!H$10:H$24)</f>
        <v>0</v>
      </c>
      <c r="G19" s="185">
        <f>SUMIF('IE Data Entry'!$B$10:$B$24,'IE SUMMARY'!$S19,'IE Data Entry'!I$10:I$24)</f>
        <v>0</v>
      </c>
      <c r="H19" s="186">
        <f>+Proforma!F48*12</f>
        <v>1902</v>
      </c>
      <c r="I19" s="616">
        <f t="shared" si="1"/>
        <v>-0.41000000000008185</v>
      </c>
      <c r="J19" s="605"/>
      <c r="K19" s="179" t="str">
        <f>IF(ISERROR((+(G21-E21)/E21)),"",(+(G21-E21)/E21))</f>
        <v/>
      </c>
      <c r="L19" s="187" t="s">
        <v>549</v>
      </c>
      <c r="M19" s="179"/>
      <c r="O19" s="180"/>
      <c r="P19" s="179"/>
      <c r="Q19" s="179"/>
      <c r="R19" s="179"/>
      <c r="S19" s="183">
        <v>4402</v>
      </c>
      <c r="T19" s="179"/>
      <c r="U19" s="179"/>
    </row>
    <row r="20" spans="1:21" x14ac:dyDescent="0.2">
      <c r="A20" s="791" t="s">
        <v>483</v>
      </c>
      <c r="B20" s="185">
        <f>SUMIF('IE Data Entry'!$B$10:$B$24,'IE SUMMARY'!$S20,'IE Data Entry'!C$10:C$24)</f>
        <v>0</v>
      </c>
      <c r="C20" s="185">
        <f>SUMIF('IE Data Entry'!$B$10:$B$24,'IE SUMMARY'!$S20,'IE Data Entry'!D$10:D$24)</f>
        <v>0</v>
      </c>
      <c r="D20" s="185">
        <f>SUMIF('IE Data Entry'!$B$10:$B$24,'IE SUMMARY'!$S20,'IE Data Entry'!E$10:E$24)</f>
        <v>1400</v>
      </c>
      <c r="E20" s="185">
        <f>SUMIF('IE Data Entry'!$B$10:$B$24,'IE SUMMARY'!$S20,'IE Data Entry'!F$10:F$24)</f>
        <v>0</v>
      </c>
      <c r="F20" s="185">
        <f>SUMIF('IE Data Entry'!$B$10:$B$24,'IE SUMMARY'!$S20,'IE Data Entry'!H$10:H$24)</f>
        <v>0</v>
      </c>
      <c r="G20" s="185">
        <f>SUMIF('IE Data Entry'!$B$10:$B$24,'IE SUMMARY'!$S20,'IE Data Entry'!I$10:I$24)</f>
        <v>0</v>
      </c>
      <c r="H20" s="188">
        <f>+Proforma!F49*12</f>
        <v>1400</v>
      </c>
      <c r="I20" s="616">
        <f t="shared" si="1"/>
        <v>0</v>
      </c>
      <c r="J20" s="605"/>
      <c r="K20" s="189" t="str">
        <f>IF(ISERROR((+(G21-F21)/F21)),"",(+(G21-F21)/F21))</f>
        <v/>
      </c>
      <c r="L20" s="187" t="s">
        <v>551</v>
      </c>
      <c r="M20" s="179"/>
      <c r="O20" s="180"/>
      <c r="P20" s="179"/>
      <c r="Q20" s="179"/>
      <c r="R20" s="179"/>
      <c r="S20" s="183">
        <v>4998</v>
      </c>
      <c r="T20" s="179"/>
      <c r="U20" s="179"/>
    </row>
    <row r="21" spans="1:21" x14ac:dyDescent="0.2">
      <c r="A21" s="190" t="s">
        <v>150</v>
      </c>
      <c r="B21" s="854">
        <f>SUM(B15:B20)</f>
        <v>0</v>
      </c>
      <c r="C21" s="854">
        <f t="shared" ref="C21:G21" si="3">SUM(C15:C20)</f>
        <v>0</v>
      </c>
      <c r="D21" s="854">
        <f t="shared" si="3"/>
        <v>32626.41</v>
      </c>
      <c r="E21" s="854">
        <f t="shared" si="3"/>
        <v>0</v>
      </c>
      <c r="F21" s="854">
        <f t="shared" si="3"/>
        <v>0</v>
      </c>
      <c r="G21" s="854">
        <f t="shared" si="3"/>
        <v>0</v>
      </c>
      <c r="H21" s="854">
        <f>SUM(H15:H20)</f>
        <v>32626</v>
      </c>
      <c r="I21" s="616">
        <f t="shared" si="1"/>
        <v>-0.40999999999985448</v>
      </c>
      <c r="J21" s="605"/>
      <c r="K21" s="189">
        <f>IF(ISERROR((+(G21-D21)/D21)),"",(+(G21-D21)/D21))</f>
        <v>-1</v>
      </c>
      <c r="L21" s="187" t="str">
        <f>"Broker Compared to "&amp;'IE Data Entry'!$B$4</f>
        <v>Broker Compared to 2021</v>
      </c>
      <c r="M21" s="179"/>
      <c r="O21" s="195"/>
      <c r="P21" s="179"/>
      <c r="Q21" s="179"/>
      <c r="R21" s="179"/>
      <c r="S21" s="183"/>
      <c r="T21" s="179"/>
      <c r="U21" s="179"/>
    </row>
    <row r="22" spans="1:21" x14ac:dyDescent="0.2">
      <c r="A22" s="192" t="s">
        <v>552</v>
      </c>
      <c r="B22" s="187"/>
      <c r="C22" s="189" t="str">
        <f>IF(ISERROR((+(C21-B21)/B21)),"",(+(C21-B21)/B21))</f>
        <v/>
      </c>
      <c r="D22" s="189" t="str">
        <f>IF(ISERROR((+(D21-C21)/C21)),"",(+(D21-C21)/C21))</f>
        <v/>
      </c>
      <c r="E22" s="189">
        <f>IF(ISERROR((+(E21-D21)/D21)),"",(+(E21-D21)/D21))</f>
        <v>-1</v>
      </c>
      <c r="F22" s="189">
        <f>IF(ISERROR((+(F21-D21)/D21)),"",(+(F21-D21)/D21))</f>
        <v>-1</v>
      </c>
      <c r="G22" s="189"/>
      <c r="I22" s="619"/>
      <c r="L22" s="179"/>
      <c r="M22" s="179"/>
      <c r="N22" s="189"/>
      <c r="O22" s="180"/>
      <c r="P22" s="179"/>
      <c r="Q22" s="179"/>
      <c r="R22" s="179"/>
      <c r="S22" s="183"/>
      <c r="T22" s="179"/>
      <c r="U22" s="179"/>
    </row>
    <row r="23" spans="1:21" ht="6.75" customHeight="1" x14ac:dyDescent="0.2">
      <c r="A23" s="192"/>
      <c r="B23" s="187"/>
      <c r="C23" s="189"/>
      <c r="D23" s="189"/>
      <c r="E23" s="189"/>
      <c r="F23" s="189"/>
      <c r="G23" s="189"/>
      <c r="H23" s="189"/>
      <c r="I23" s="619"/>
      <c r="J23" s="189"/>
      <c r="K23" s="187"/>
      <c r="L23" s="179"/>
      <c r="M23" s="179"/>
      <c r="N23" s="189"/>
      <c r="O23" s="180"/>
      <c r="P23" s="179"/>
      <c r="Q23" s="179"/>
      <c r="R23" s="179"/>
      <c r="S23" s="183"/>
      <c r="T23" s="179"/>
      <c r="U23" s="179"/>
    </row>
    <row r="24" spans="1:21" x14ac:dyDescent="0.2">
      <c r="A24" s="791" t="s">
        <v>553</v>
      </c>
      <c r="B24" s="185">
        <f>SUMIF('IE Data Entry'!$B$10:$B$24,'IE SUMMARY'!$S24,'IE Data Entry'!C$10:C$24)</f>
        <v>0</v>
      </c>
      <c r="C24" s="185">
        <f>SUMIF('IE Data Entry'!$B$10:$B$24,'IE SUMMARY'!$S24,'IE Data Entry'!D$10:D$24)</f>
        <v>0</v>
      </c>
      <c r="D24" s="185">
        <f>SUMIF('IE Data Entry'!$B$10:$B$24,'IE SUMMARY'!$S24,'IE Data Entry'!E$10:E$24)</f>
        <v>0</v>
      </c>
      <c r="E24" s="185">
        <f>SUMIF('IE Data Entry'!$B$10:$B$24,'IE SUMMARY'!$S24,'IE Data Entry'!F$10:F$24)</f>
        <v>0</v>
      </c>
      <c r="F24" s="185">
        <f>SUMIF('IE Data Entry'!$B$10:$B$24,'IE SUMMARY'!$S24,'IE Data Entry'!H$10:H$24)</f>
        <v>0</v>
      </c>
      <c r="G24" s="185">
        <f>SUMIF('IE Data Entry'!$B$10:$B$24,'IE SUMMARY'!$S24,'IE Data Entry'!I$10:I$24)</f>
        <v>0</v>
      </c>
      <c r="H24" s="196">
        <f>+Proforma!F51*12</f>
        <v>0</v>
      </c>
      <c r="I24" s="616">
        <f t="shared" si="1"/>
        <v>0</v>
      </c>
      <c r="J24" s="185"/>
      <c r="K24" s="187"/>
      <c r="L24" s="179"/>
      <c r="M24" s="179"/>
      <c r="O24" s="180"/>
      <c r="P24" s="179"/>
      <c r="Q24" s="179"/>
      <c r="R24" s="179"/>
      <c r="S24" s="183">
        <v>4134</v>
      </c>
      <c r="T24" s="179"/>
      <c r="U24" s="179"/>
    </row>
    <row r="25" spans="1:21" ht="9" customHeight="1" x14ac:dyDescent="0.2">
      <c r="A25" s="791"/>
      <c r="B25" s="185"/>
      <c r="C25" s="185"/>
      <c r="D25" s="185"/>
      <c r="E25" s="185"/>
      <c r="F25" s="185"/>
      <c r="G25" s="185"/>
      <c r="H25" s="185"/>
      <c r="I25" s="619"/>
      <c r="J25" s="185"/>
      <c r="K25" s="179">
        <f>IF(ISERROR((+(G27-E27)/E27)),"",(+(G27-E27)/E27))</f>
        <v>-1</v>
      </c>
      <c r="L25" s="187" t="s">
        <v>549</v>
      </c>
      <c r="M25" s="179"/>
      <c r="O25" s="180"/>
      <c r="P25" s="179"/>
      <c r="Q25" s="179"/>
      <c r="R25" s="179"/>
      <c r="S25" s="183"/>
      <c r="T25" s="179"/>
      <c r="U25" s="179"/>
    </row>
    <row r="26" spans="1:21" x14ac:dyDescent="0.2">
      <c r="A26" s="194" t="s">
        <v>448</v>
      </c>
      <c r="B26" s="698">
        <f>+B11+B21+B24</f>
        <v>0</v>
      </c>
      <c r="C26" s="698">
        <f t="shared" ref="C26:H26" si="4">+C11+C21+C24</f>
        <v>0</v>
      </c>
      <c r="D26" s="698">
        <f t="shared" si="4"/>
        <v>466220.35</v>
      </c>
      <c r="E26" s="698">
        <f t="shared" si="4"/>
        <v>0</v>
      </c>
      <c r="F26" s="698">
        <f t="shared" si="4"/>
        <v>0</v>
      </c>
      <c r="G26" s="698">
        <f t="shared" si="4"/>
        <v>0</v>
      </c>
      <c r="H26" s="698">
        <f t="shared" si="4"/>
        <v>484886.8</v>
      </c>
      <c r="I26" s="616">
        <f t="shared" si="1"/>
        <v>18666.450000000012</v>
      </c>
      <c r="J26" s="605"/>
      <c r="K26" s="189" t="str">
        <f>IF(ISERROR((+(G26-F26)/F26)),"",(+(G26-F26)/F26))</f>
        <v/>
      </c>
      <c r="L26" s="187" t="s">
        <v>551</v>
      </c>
      <c r="M26" s="179"/>
      <c r="O26" s="180"/>
      <c r="P26" s="179"/>
      <c r="Q26" s="179"/>
      <c r="R26" s="179"/>
      <c r="S26" s="183"/>
      <c r="T26" s="179"/>
      <c r="U26" s="179"/>
    </row>
    <row r="27" spans="1:21" x14ac:dyDescent="0.2">
      <c r="A27" s="192" t="s">
        <v>552</v>
      </c>
      <c r="B27" s="187"/>
      <c r="C27" s="189" t="str">
        <f>IF(ISERROR((+(C26-B26)/B26)),"",(+(C26-B26)/B26))</f>
        <v/>
      </c>
      <c r="D27" s="189" t="str">
        <f>IF(ISERROR((+(D26-C26)/C26)),"",(+(D26-C26)/C26))</f>
        <v/>
      </c>
      <c r="E27" s="189">
        <f>IF(ISERROR((+(E26-D26)/D26)),"",(+(E26-D26)/D26))</f>
        <v>-1</v>
      </c>
      <c r="F27" s="189">
        <f>IF(ISERROR((+(F26-D26)/D26)),"",(+(F26-D26)/D26))</f>
        <v>-1</v>
      </c>
      <c r="G27" s="189"/>
      <c r="I27" s="619"/>
      <c r="K27" s="189">
        <f>IF(ISERROR((+(G26-D26)/D26)),"",(+(G26-D26)/D26))</f>
        <v>-1</v>
      </c>
      <c r="L27" s="187" t="str">
        <f>"Broker Compared to "&amp;'IE Data Entry'!$B$4</f>
        <v>Broker Compared to 2021</v>
      </c>
      <c r="M27" s="179"/>
      <c r="N27" s="189"/>
      <c r="O27" s="179"/>
      <c r="P27" s="179"/>
      <c r="Q27" s="179"/>
      <c r="R27" s="179"/>
      <c r="S27" s="183"/>
      <c r="T27" s="179"/>
      <c r="U27" s="179"/>
    </row>
    <row r="28" spans="1:21" ht="10" customHeight="1" x14ac:dyDescent="0.2">
      <c r="A28" s="791"/>
      <c r="B28" s="159"/>
      <c r="C28" s="159"/>
      <c r="D28" s="159"/>
      <c r="E28" s="159"/>
      <c r="F28" s="159"/>
      <c r="G28" s="179"/>
      <c r="H28" s="189"/>
      <c r="I28" s="619"/>
      <c r="J28" s="189"/>
      <c r="K28" s="197"/>
      <c r="L28" s="180"/>
      <c r="M28" s="180"/>
      <c r="N28" s="180"/>
      <c r="O28" s="180"/>
      <c r="P28" s="180"/>
      <c r="Q28" s="180"/>
      <c r="R28" s="180"/>
      <c r="S28" s="181"/>
      <c r="T28" s="179"/>
      <c r="U28" s="179"/>
    </row>
    <row r="29" spans="1:21" x14ac:dyDescent="0.2">
      <c r="A29" s="890" t="s">
        <v>554</v>
      </c>
      <c r="B29" s="890"/>
      <c r="C29" s="890"/>
      <c r="D29" s="890"/>
      <c r="E29" s="890"/>
      <c r="F29" s="890"/>
      <c r="G29" s="890"/>
      <c r="H29" s="179"/>
      <c r="I29" s="619"/>
      <c r="J29" s="179"/>
      <c r="K29" s="180"/>
      <c r="L29" s="180"/>
      <c r="M29" s="180"/>
      <c r="N29" s="180"/>
      <c r="O29" s="180"/>
      <c r="P29" s="180"/>
      <c r="Q29" s="180"/>
      <c r="R29" s="180"/>
      <c r="S29" s="179"/>
      <c r="T29" s="179"/>
      <c r="U29" s="179"/>
    </row>
    <row r="30" spans="1:21" ht="15" customHeight="1" x14ac:dyDescent="0.2">
      <c r="A30" s="167"/>
      <c r="B30" s="168"/>
      <c r="C30" s="168"/>
      <c r="D30" s="168"/>
      <c r="E30" s="168"/>
      <c r="H30" s="168"/>
      <c r="I30" s="619"/>
      <c r="J30" s="168"/>
      <c r="K30" s="198"/>
      <c r="L30" s="198"/>
      <c r="M30" s="198"/>
      <c r="N30" s="182"/>
      <c r="O30" s="198"/>
      <c r="P30" s="198"/>
      <c r="Q30" s="198"/>
      <c r="R30" s="198"/>
    </row>
    <row r="31" spans="1:21" ht="17" thickBot="1" x14ac:dyDescent="0.25">
      <c r="A31" s="167" t="s">
        <v>555</v>
      </c>
      <c r="B31" s="169">
        <f>+'IE Data Entry'!C29</f>
        <v>2019</v>
      </c>
      <c r="C31" s="169">
        <f>+'IE Data Entry'!D29</f>
        <v>2020</v>
      </c>
      <c r="D31" s="169">
        <f>+'IE Data Entry'!E29</f>
        <v>2021</v>
      </c>
      <c r="E31" s="169" t="str">
        <f>+'IE Data Entry'!F29</f>
        <v>Trailing 12</v>
      </c>
      <c r="F31" s="199" t="str">
        <f>Current_Year&amp;" Annualized"</f>
        <v>2022 Annualized</v>
      </c>
      <c r="G31" s="199" t="s">
        <v>543</v>
      </c>
      <c r="H31" s="169" t="s">
        <v>556</v>
      </c>
      <c r="I31" s="620" t="str">
        <f t="shared" si="1"/>
        <v>BVG Yr 1 Projection</v>
      </c>
      <c r="J31" s="168"/>
      <c r="K31" s="198"/>
      <c r="L31" s="198"/>
      <c r="M31" s="198"/>
      <c r="N31" s="182"/>
      <c r="O31" s="198"/>
      <c r="P31" s="198"/>
      <c r="Q31" s="198"/>
      <c r="R31" s="198"/>
      <c r="S31" s="181" t="s">
        <v>557</v>
      </c>
    </row>
    <row r="32" spans="1:21" x14ac:dyDescent="0.2">
      <c r="A32" s="792" t="s">
        <v>558</v>
      </c>
      <c r="B32" s="200">
        <f>SUMIF('IE Data Entry'!$B$30:$B$100,'IE SUMMARY'!$S32,'IE Data Entry'!C$30:C$100)</f>
        <v>0</v>
      </c>
      <c r="C32" s="200">
        <f>SUMIF('IE Data Entry'!$B$30:$B$100,'IE SUMMARY'!$S32,'IE Data Entry'!D$30:D$100)</f>
        <v>0</v>
      </c>
      <c r="D32" s="200">
        <f>SUMIF('IE Data Entry'!$B$30:$B$100,'IE SUMMARY'!$S32,'IE Data Entry'!E$30:E$100)</f>
        <v>37875.879999999997</v>
      </c>
      <c r="E32" s="200">
        <f>SUMIF('IE Data Entry'!$B$30:$B$100,'IE SUMMARY'!$S32,'IE Data Entry'!F$30:F$100)</f>
        <v>0</v>
      </c>
      <c r="F32" s="200">
        <f>SUMIF('IE Data Entry'!$B$30:$B$100,'IE SUMMARY'!$S32,'IE Data Entry'!H$30:H$100)</f>
        <v>0</v>
      </c>
      <c r="G32" s="200">
        <f>SUMIF('IE Data Entry'!$B$30:$B$100,'IE SUMMARY'!$S32,'IE Data Entry'!I$30:I$100)</f>
        <v>37875</v>
      </c>
      <c r="H32" s="201">
        <f>+Proforma!F56*12</f>
        <v>48620</v>
      </c>
      <c r="I32" s="616">
        <f t="shared" si="1"/>
        <v>10744.559999999998</v>
      </c>
      <c r="J32" s="206"/>
      <c r="K32" s="202"/>
      <c r="L32" s="202"/>
      <c r="M32" s="202"/>
      <c r="N32" s="182"/>
      <c r="O32" s="202"/>
      <c r="P32" s="202"/>
      <c r="Q32" s="202"/>
      <c r="R32" s="202"/>
      <c r="S32" s="183">
        <v>5701</v>
      </c>
    </row>
    <row r="33" spans="1:19" x14ac:dyDescent="0.2">
      <c r="A33" s="792" t="s">
        <v>156</v>
      </c>
      <c r="B33" s="203">
        <f>SUMIF('IE Data Entry'!$B$30:$B$100,'IE SUMMARY'!$S33,'IE Data Entry'!C$30:C$100)</f>
        <v>0</v>
      </c>
      <c r="C33" s="203">
        <f>SUMIF('IE Data Entry'!$B$30:$B$100,'IE SUMMARY'!$S33,'IE Data Entry'!D$30:D$100)</f>
        <v>0</v>
      </c>
      <c r="D33" s="203">
        <f>SUMIF('IE Data Entry'!$B$30:$B$100,'IE SUMMARY'!$S33,'IE Data Entry'!E$30:E$100)</f>
        <v>0</v>
      </c>
      <c r="E33" s="203">
        <f>SUMIF('IE Data Entry'!$B$30:$B$100,'IE SUMMARY'!$S33,'IE Data Entry'!F$30:F$100)</f>
        <v>0</v>
      </c>
      <c r="F33" s="203">
        <f>SUMIF('IE Data Entry'!$B$30:$B$100,'IE SUMMARY'!$S33,'IE Data Entry'!H$30:H$100)</f>
        <v>0</v>
      </c>
      <c r="G33" s="203">
        <f>SUMIF('IE Data Entry'!$B$30:$B$100,'IE SUMMARY'!$S33,'IE Data Entry'!I$30:I$100)</f>
        <v>0</v>
      </c>
      <c r="H33" s="204">
        <f>+Proforma!F57*12</f>
        <v>8265.4000000000015</v>
      </c>
      <c r="I33" s="616">
        <f t="shared" si="1"/>
        <v>8265.4000000000015</v>
      </c>
      <c r="J33" s="206"/>
      <c r="K33" s="202"/>
      <c r="L33" s="202"/>
      <c r="M33" s="202"/>
      <c r="N33" s="182"/>
      <c r="O33" s="202"/>
      <c r="P33" s="202"/>
      <c r="Q33" s="202"/>
      <c r="R33" s="202"/>
      <c r="S33" s="183">
        <v>5305</v>
      </c>
    </row>
    <row r="34" spans="1:19" x14ac:dyDescent="0.2">
      <c r="A34" s="792" t="s">
        <v>157</v>
      </c>
      <c r="B34" s="203">
        <f>SUMIF('IE Data Entry'!$B$30:$B$100,'IE SUMMARY'!$S34,'IE Data Entry'!C$30:C$100)</f>
        <v>0</v>
      </c>
      <c r="C34" s="203">
        <f>SUMIF('IE Data Entry'!$B$30:$B$100,'IE SUMMARY'!$S34,'IE Data Entry'!D$30:D$100)</f>
        <v>0</v>
      </c>
      <c r="D34" s="203">
        <f>SUMIF('IE Data Entry'!$B$30:$B$100,'IE SUMMARY'!$S34,'IE Data Entry'!E$30:E$100)</f>
        <v>5702</v>
      </c>
      <c r="E34" s="203">
        <f>SUMIF('IE Data Entry'!$B$30:$B$100,'IE SUMMARY'!$S34,'IE Data Entry'!F$30:F$100)</f>
        <v>0</v>
      </c>
      <c r="F34" s="203">
        <f>SUMIF('IE Data Entry'!$B$30:$B$100,'IE SUMMARY'!$S34,'IE Data Entry'!H$30:H$100)</f>
        <v>0</v>
      </c>
      <c r="G34" s="203">
        <f>SUMIF('IE Data Entry'!$B$30:$B$100,'IE SUMMARY'!$S34,'IE Data Entry'!I$30:I$100)</f>
        <v>5702</v>
      </c>
      <c r="H34" s="204">
        <f>+Proforma!F58*12</f>
        <v>2917.2</v>
      </c>
      <c r="I34" s="616">
        <f t="shared" si="1"/>
        <v>-2784.8</v>
      </c>
      <c r="J34" s="206"/>
      <c r="K34" s="202"/>
      <c r="L34" s="202"/>
      <c r="M34" s="202"/>
      <c r="N34" s="182"/>
      <c r="O34" s="202"/>
      <c r="P34" s="202"/>
      <c r="Q34" s="202"/>
      <c r="R34" s="202"/>
      <c r="S34" s="183">
        <v>5306</v>
      </c>
    </row>
    <row r="35" spans="1:19" x14ac:dyDescent="0.2">
      <c r="A35" s="792" t="s">
        <v>158</v>
      </c>
      <c r="B35" s="203">
        <f>SUMIF('IE Data Entry'!$B$30:$B$100,'IE SUMMARY'!$S35,'IE Data Entry'!C$30:C$100)</f>
        <v>0</v>
      </c>
      <c r="C35" s="203">
        <f>SUMIF('IE Data Entry'!$B$30:$B$100,'IE SUMMARY'!$S35,'IE Data Entry'!D$30:D$100)</f>
        <v>0</v>
      </c>
      <c r="D35" s="203">
        <f>SUMIF('IE Data Entry'!$B$30:$B$100,'IE SUMMARY'!$S35,'IE Data Entry'!E$30:E$100)</f>
        <v>4588.75</v>
      </c>
      <c r="E35" s="203">
        <f>SUMIF('IE Data Entry'!$B$30:$B$100,'IE SUMMARY'!$S35,'IE Data Entry'!F$30:F$100)</f>
        <v>0</v>
      </c>
      <c r="F35" s="203">
        <f>SUMIF('IE Data Entry'!$B$30:$B$100,'IE SUMMARY'!$S35,'IE Data Entry'!H$30:H$100)</f>
        <v>0</v>
      </c>
      <c r="G35" s="203">
        <f>SUMIF('IE Data Entry'!$B$30:$B$100,'IE SUMMARY'!$S35,'IE Data Entry'!I$30:I$100)</f>
        <v>91602</v>
      </c>
      <c r="H35" s="204">
        <f ca="1">+Proforma!F59*12</f>
        <v>4680.5249999999996</v>
      </c>
      <c r="I35" s="616">
        <f t="shared" ca="1" si="1"/>
        <v>-43414.85</v>
      </c>
      <c r="J35" s="206"/>
      <c r="K35" s="202"/>
      <c r="L35" s="202"/>
      <c r="M35" s="202"/>
      <c r="N35" s="182"/>
      <c r="O35" s="202"/>
      <c r="P35" s="202"/>
      <c r="Q35" s="202"/>
      <c r="R35" s="202"/>
      <c r="S35" s="183">
        <v>5404</v>
      </c>
    </row>
    <row r="36" spans="1:19" x14ac:dyDescent="0.2">
      <c r="A36" s="792" t="s">
        <v>559</v>
      </c>
      <c r="B36" s="203">
        <f>SUMIF('IE Data Entry'!$B$30:$B$100,'IE SUMMARY'!$S36,'IE Data Entry'!C$30:C$100)</f>
        <v>0</v>
      </c>
      <c r="C36" s="203">
        <f>SUMIF('IE Data Entry'!$B$30:$B$100,'IE SUMMARY'!$S36,'IE Data Entry'!D$30:D$100)</f>
        <v>0</v>
      </c>
      <c r="D36" s="203">
        <f>SUMIF('IE Data Entry'!$B$30:$B$100,'IE SUMMARY'!$S36,'IE Data Entry'!E$30:E$100)</f>
        <v>1038.8499999999999</v>
      </c>
      <c r="E36" s="203">
        <f>SUMIF('IE Data Entry'!$B$30:$B$100,'IE SUMMARY'!$S36,'IE Data Entry'!F$30:F$100)</f>
        <v>0</v>
      </c>
      <c r="F36" s="203">
        <f>SUMIF('IE Data Entry'!$B$30:$B$100,'IE SUMMARY'!$S36,'IE Data Entry'!H$30:H$100)</f>
        <v>0</v>
      </c>
      <c r="G36" s="203">
        <f>SUMIF('IE Data Entry'!$B$30:$B$100,'IE SUMMARY'!$S36,'IE Data Entry'!I$30:I$100)</f>
        <v>0</v>
      </c>
      <c r="H36" s="204">
        <f ca="1">+Proforma!F60*12</f>
        <v>1059.627</v>
      </c>
      <c r="I36" s="616">
        <f t="shared" ca="1" si="1"/>
        <v>20.777000000000044</v>
      </c>
      <c r="J36" s="206"/>
      <c r="K36" s="202"/>
      <c r="L36" s="202"/>
      <c r="M36" s="202"/>
      <c r="N36" s="182"/>
      <c r="O36" s="202"/>
      <c r="P36" s="202"/>
      <c r="Q36" s="202"/>
      <c r="R36" s="202"/>
      <c r="S36" s="183">
        <v>5401</v>
      </c>
    </row>
    <row r="37" spans="1:19" x14ac:dyDescent="0.2">
      <c r="A37" s="792" t="s">
        <v>160</v>
      </c>
      <c r="B37" s="203">
        <f>SUMIF('IE Data Entry'!$B$30:$B$100,'IE SUMMARY'!$S37,'IE Data Entry'!C$30:C$100)</f>
        <v>0</v>
      </c>
      <c r="C37" s="203">
        <f>SUMIF('IE Data Entry'!$B$30:$B$100,'IE SUMMARY'!$S37,'IE Data Entry'!D$30:D$100)</f>
        <v>0</v>
      </c>
      <c r="D37" s="203">
        <f>SUMIF('IE Data Entry'!$B$30:$B$100,'IE SUMMARY'!$S37,'IE Data Entry'!E$30:E$100)</f>
        <v>25393.64</v>
      </c>
      <c r="E37" s="203">
        <f>SUMIF('IE Data Entry'!$B$30:$B$100,'IE SUMMARY'!$S37,'IE Data Entry'!F$30:F$100)</f>
        <v>0</v>
      </c>
      <c r="F37" s="203">
        <f>SUMIF('IE Data Entry'!$B$30:$B$100,'IE SUMMARY'!$S37,'IE Data Entry'!H$30:H$100)</f>
        <v>0</v>
      </c>
      <c r="G37" s="203">
        <f>SUMIF('IE Data Entry'!$B$30:$B$100,'IE SUMMARY'!$S37,'IE Data Entry'!I$30:I$100)</f>
        <v>0</v>
      </c>
      <c r="H37" s="204">
        <f ca="1">+Proforma!F61*12</f>
        <v>25901.512800000004</v>
      </c>
      <c r="I37" s="616">
        <f t="shared" ca="1" si="1"/>
        <v>507.87280000000464</v>
      </c>
      <c r="J37" s="206"/>
      <c r="K37" s="202"/>
      <c r="L37" s="202"/>
      <c r="M37" s="202"/>
      <c r="N37" s="182"/>
      <c r="O37" s="202"/>
      <c r="P37" s="202"/>
      <c r="Q37" s="202"/>
      <c r="R37" s="202"/>
      <c r="S37" s="183">
        <v>5405</v>
      </c>
    </row>
    <row r="38" spans="1:19" x14ac:dyDescent="0.2">
      <c r="A38" s="792" t="s">
        <v>161</v>
      </c>
      <c r="B38" s="203">
        <f>SUMIF('IE Data Entry'!$B$30:$B$100,'IE SUMMARY'!$S38,'IE Data Entry'!C$30:C$100)</f>
        <v>0</v>
      </c>
      <c r="C38" s="203">
        <f>SUMIF('IE Data Entry'!$B$30:$B$100,'IE SUMMARY'!$S38,'IE Data Entry'!D$30:D$100)</f>
        <v>0</v>
      </c>
      <c r="D38" s="203">
        <f>SUMIF('IE Data Entry'!$B$30:$B$100,'IE SUMMARY'!$S38,'IE Data Entry'!E$30:E$100)</f>
        <v>31358.97</v>
      </c>
      <c r="E38" s="203">
        <f>SUMIF('IE Data Entry'!$B$30:$B$100,'IE SUMMARY'!$S38,'IE Data Entry'!F$30:F$100)</f>
        <v>0</v>
      </c>
      <c r="F38" s="203">
        <f>SUMIF('IE Data Entry'!$B$30:$B$100,'IE SUMMARY'!$S38,'IE Data Entry'!H$30:H$100)</f>
        <v>0</v>
      </c>
      <c r="G38" s="203">
        <f>SUMIF('IE Data Entry'!$B$30:$B$100,'IE SUMMARY'!$S38,'IE Data Entry'!I$30:I$100)</f>
        <v>0</v>
      </c>
      <c r="H38" s="204">
        <f ca="1">+Proforma!F62*12</f>
        <v>31986.149400000002</v>
      </c>
      <c r="I38" s="616">
        <f t="shared" ca="1" si="1"/>
        <v>627.1794000000009</v>
      </c>
      <c r="J38" s="206"/>
      <c r="K38" s="202"/>
      <c r="L38" s="202"/>
      <c r="M38" s="202"/>
      <c r="N38" s="182"/>
      <c r="O38" s="202"/>
      <c r="P38" s="202"/>
      <c r="Q38" s="202"/>
      <c r="R38" s="202"/>
      <c r="S38" s="183">
        <v>5403</v>
      </c>
    </row>
    <row r="39" spans="1:19" x14ac:dyDescent="0.2">
      <c r="A39" s="792" t="s">
        <v>162</v>
      </c>
      <c r="B39" s="203">
        <f>SUMIF('IE Data Entry'!$B$30:$B$100,'IE SUMMARY'!$S39,'IE Data Entry'!C$30:C$100)</f>
        <v>0</v>
      </c>
      <c r="C39" s="203">
        <f>SUMIF('IE Data Entry'!$B$30:$B$100,'IE SUMMARY'!$S39,'IE Data Entry'!D$30:D$100)</f>
        <v>0</v>
      </c>
      <c r="D39" s="203">
        <f>SUMIF('IE Data Entry'!$B$30:$B$100,'IE SUMMARY'!$S39,'IE Data Entry'!E$30:E$100)</f>
        <v>29221.96</v>
      </c>
      <c r="E39" s="203">
        <f>SUMIF('IE Data Entry'!$B$30:$B$100,'IE SUMMARY'!$S39,'IE Data Entry'!F$30:F$100)</f>
        <v>0</v>
      </c>
      <c r="F39" s="203">
        <f>SUMIF('IE Data Entry'!$B$30:$B$100,'IE SUMMARY'!$S39,'IE Data Entry'!H$30:H$100)</f>
        <v>0</v>
      </c>
      <c r="G39" s="203">
        <f>SUMIF('IE Data Entry'!$B$30:$B$100,'IE SUMMARY'!$S39,'IE Data Entry'!I$30:I$100)</f>
        <v>0</v>
      </c>
      <c r="H39" s="204">
        <f ca="1">+Proforma!F63*12</f>
        <v>29806.3992</v>
      </c>
      <c r="I39" s="616">
        <f t="shared" ca="1" si="1"/>
        <v>584.43920000000071</v>
      </c>
      <c r="J39" s="206"/>
      <c r="K39" s="202"/>
      <c r="L39" s="202"/>
      <c r="M39" s="202"/>
      <c r="N39" s="182"/>
      <c r="O39" s="202"/>
      <c r="P39" s="202"/>
      <c r="Q39" s="202"/>
      <c r="R39" s="202"/>
      <c r="S39" s="183">
        <v>5402</v>
      </c>
    </row>
    <row r="40" spans="1:19" x14ac:dyDescent="0.2">
      <c r="A40" s="792" t="s">
        <v>560</v>
      </c>
      <c r="B40" s="203">
        <f>SUMIF('IE Data Entry'!$B$30:$B$100,'IE SUMMARY'!$S40,'IE Data Entry'!C$30:C$100)</f>
        <v>0</v>
      </c>
      <c r="C40" s="203">
        <f>SUMIF('IE Data Entry'!$B$30:$B$100,'IE SUMMARY'!$S40,'IE Data Entry'!D$30:D$100)</f>
        <v>0</v>
      </c>
      <c r="D40" s="203">
        <f>SUMIF('IE Data Entry'!$B$30:$B$100,'IE SUMMARY'!$S40,'IE Data Entry'!E$30:E$100)</f>
        <v>6159.7899999999991</v>
      </c>
      <c r="E40" s="203">
        <f>SUMIF('IE Data Entry'!$B$30:$B$100,'IE SUMMARY'!$S40,'IE Data Entry'!F$30:F$100)</f>
        <v>0</v>
      </c>
      <c r="F40" s="203">
        <f>SUMIF('IE Data Entry'!$B$30:$B$100,'IE SUMMARY'!$S40,'IE Data Entry'!H$30:H$100)</f>
        <v>0</v>
      </c>
      <c r="G40" s="203">
        <f>SUMIF('IE Data Entry'!$B$30:$B$100,'IE SUMMARY'!$S40,'IE Data Entry'!I$30:I$100)</f>
        <v>1645</v>
      </c>
      <c r="H40" s="204">
        <f>+Proforma!F64*12</f>
        <v>1080</v>
      </c>
      <c r="I40" s="616">
        <f t="shared" si="1"/>
        <v>-2822.3949999999995</v>
      </c>
      <c r="J40" s="206"/>
      <c r="K40" s="202"/>
      <c r="L40" s="202"/>
      <c r="M40" s="202"/>
      <c r="N40" s="182"/>
      <c r="O40" s="202"/>
      <c r="P40" s="202"/>
      <c r="Q40" s="202"/>
      <c r="R40" s="202"/>
      <c r="S40" s="183">
        <v>5603</v>
      </c>
    </row>
    <row r="41" spans="1:19" x14ac:dyDescent="0.2">
      <c r="A41" s="792" t="s">
        <v>164</v>
      </c>
      <c r="B41" s="203">
        <f>SUMIF('IE Data Entry'!$B$30:$B$100,'IE SUMMARY'!$S41,'IE Data Entry'!C$30:C$100)</f>
        <v>0</v>
      </c>
      <c r="C41" s="203">
        <f>SUMIF('IE Data Entry'!$B$30:$B$100,'IE SUMMARY'!$S41,'IE Data Entry'!D$30:D$100)</f>
        <v>0</v>
      </c>
      <c r="D41" s="203">
        <f>SUMIF('IE Data Entry'!$B$30:$B$100,'IE SUMMARY'!$S41,'IE Data Entry'!E$30:E$100)</f>
        <v>2727.25</v>
      </c>
      <c r="E41" s="203">
        <f>SUMIF('IE Data Entry'!$B$30:$B$100,'IE SUMMARY'!$S41,'IE Data Entry'!F$30:F$100)</f>
        <v>0</v>
      </c>
      <c r="F41" s="203">
        <f>SUMIF('IE Data Entry'!$B$30:$B$100,'IE SUMMARY'!$S41,'IE Data Entry'!H$30:H$100)</f>
        <v>0</v>
      </c>
      <c r="G41" s="203">
        <f>SUMIF('IE Data Entry'!$B$30:$B$100,'IE SUMMARY'!$S41,'IE Data Entry'!I$30:I$100)</f>
        <v>0</v>
      </c>
      <c r="H41" s="204">
        <f>+Proforma!F65*12</f>
        <v>1000</v>
      </c>
      <c r="I41" s="616">
        <f t="shared" si="1"/>
        <v>-1727.25</v>
      </c>
      <c r="J41" s="206"/>
      <c r="K41" s="202"/>
      <c r="L41" s="202"/>
      <c r="M41" s="202"/>
      <c r="N41" s="182"/>
      <c r="O41" s="202"/>
      <c r="P41" s="202"/>
      <c r="Q41" s="202"/>
      <c r="R41" s="202"/>
      <c r="S41" s="183">
        <v>5020</v>
      </c>
    </row>
    <row r="42" spans="1:19" x14ac:dyDescent="0.2">
      <c r="A42" s="792" t="s">
        <v>501</v>
      </c>
      <c r="B42" s="203">
        <f>SUMIF('IE Data Entry'!$B$30:$B$100,'IE SUMMARY'!$S42,'IE Data Entry'!C$30:C$100)</f>
        <v>0</v>
      </c>
      <c r="C42" s="203">
        <f>SUMIF('IE Data Entry'!$B$30:$B$100,'IE SUMMARY'!$S42,'IE Data Entry'!D$30:D$100)</f>
        <v>0</v>
      </c>
      <c r="D42" s="203">
        <f>SUMIF('IE Data Entry'!$B$30:$B$100,'IE SUMMARY'!$S42,'IE Data Entry'!E$30:E$100)</f>
        <v>36709.519999999997</v>
      </c>
      <c r="E42" s="203">
        <f>SUMIF('IE Data Entry'!$B$30:$B$100,'IE SUMMARY'!$S42,'IE Data Entry'!F$30:F$100)</f>
        <v>0</v>
      </c>
      <c r="F42" s="203">
        <f>SUMIF('IE Data Entry'!$B$30:$B$100,'IE SUMMARY'!$S42,'IE Data Entry'!H$30:H$100)</f>
        <v>0</v>
      </c>
      <c r="G42" s="203">
        <f>SUMIF('IE Data Entry'!$B$30:$B$100,'IE SUMMARY'!$S42,'IE Data Entry'!I$30:I$100)</f>
        <v>37102</v>
      </c>
      <c r="H42" s="204">
        <f>+Proforma!F66*12</f>
        <v>20200</v>
      </c>
      <c r="I42" s="616">
        <f t="shared" si="1"/>
        <v>-16705.759999999995</v>
      </c>
      <c r="J42" s="206"/>
      <c r="K42" s="202"/>
      <c r="L42" s="202"/>
      <c r="M42" s="202"/>
      <c r="N42" s="182"/>
      <c r="O42" s="202"/>
      <c r="P42" s="202"/>
      <c r="Q42" s="202"/>
      <c r="R42" s="202"/>
      <c r="S42" s="183">
        <v>5104</v>
      </c>
    </row>
    <row r="43" spans="1:19" x14ac:dyDescent="0.2">
      <c r="A43" s="792" t="s">
        <v>165</v>
      </c>
      <c r="B43" s="203">
        <f>SUMIF('IE Data Entry'!$B$30:$B$100,'IE SUMMARY'!$S43,'IE Data Entry'!C$30:C$100)</f>
        <v>0</v>
      </c>
      <c r="C43" s="203">
        <f>SUMIF('IE Data Entry'!$B$30:$B$100,'IE SUMMARY'!$S43,'IE Data Entry'!D$30:D$100)</f>
        <v>0</v>
      </c>
      <c r="D43" s="203">
        <f>SUMIF('IE Data Entry'!$B$30:$B$100,'IE SUMMARY'!$S43,'IE Data Entry'!E$30:E$100)</f>
        <v>1013</v>
      </c>
      <c r="E43" s="203">
        <f>SUMIF('IE Data Entry'!$B$30:$B$100,'IE SUMMARY'!$S43,'IE Data Entry'!F$30:F$100)</f>
        <v>0</v>
      </c>
      <c r="F43" s="203">
        <f>SUMIF('IE Data Entry'!$B$30:$B$100,'IE SUMMARY'!$S43,'IE Data Entry'!H$30:H$100)</f>
        <v>0</v>
      </c>
      <c r="G43" s="203">
        <f>SUMIF('IE Data Entry'!$B$30:$B$100,'IE SUMMARY'!$S43,'IE Data Entry'!I$30:I$100)</f>
        <v>1013</v>
      </c>
      <c r="H43" s="204">
        <f>+Proforma!F67*12</f>
        <v>5000</v>
      </c>
      <c r="I43" s="616">
        <f t="shared" si="1"/>
        <v>3987</v>
      </c>
      <c r="J43" s="206"/>
      <c r="K43" s="202"/>
      <c r="L43" s="202"/>
      <c r="M43" s="202"/>
      <c r="N43" s="182"/>
      <c r="O43" s="202"/>
      <c r="P43" s="202"/>
      <c r="Q43" s="202"/>
      <c r="R43" s="202"/>
      <c r="S43" s="183">
        <v>5109</v>
      </c>
    </row>
    <row r="44" spans="1:19" x14ac:dyDescent="0.2">
      <c r="A44" s="792" t="s">
        <v>166</v>
      </c>
      <c r="B44" s="203">
        <f>SUMIF('IE Data Entry'!$B$30:$B$100,'IE SUMMARY'!$S44,'IE Data Entry'!C$30:C$100)</f>
        <v>0</v>
      </c>
      <c r="C44" s="203">
        <f>SUMIF('IE Data Entry'!$B$30:$B$100,'IE SUMMARY'!$S44,'IE Data Entry'!D$30:D$100)</f>
        <v>0</v>
      </c>
      <c r="D44" s="203">
        <f>SUMIF('IE Data Entry'!$B$30:$B$100,'IE SUMMARY'!$S44,'IE Data Entry'!E$30:E$100)</f>
        <v>23852.53</v>
      </c>
      <c r="E44" s="203">
        <f>SUMIF('IE Data Entry'!$B$30:$B$100,'IE SUMMARY'!$S44,'IE Data Entry'!F$30:F$100)</f>
        <v>0</v>
      </c>
      <c r="F44" s="203">
        <f>SUMIF('IE Data Entry'!$B$30:$B$100,'IE SUMMARY'!$S44,'IE Data Entry'!H$30:H$100)</f>
        <v>0</v>
      </c>
      <c r="G44" s="203">
        <f>SUMIF('IE Data Entry'!$B$30:$B$100,'IE SUMMARY'!$S44,'IE Data Entry'!I$30:I$100)</f>
        <v>23852</v>
      </c>
      <c r="H44" s="204">
        <f>+Proforma!F68*12</f>
        <v>12000</v>
      </c>
      <c r="I44" s="616">
        <f t="shared" si="1"/>
        <v>-11852.264999999999</v>
      </c>
      <c r="J44" s="206"/>
      <c r="K44" s="202"/>
      <c r="L44" s="202"/>
      <c r="M44" s="202"/>
      <c r="N44" s="182"/>
      <c r="O44" s="202"/>
      <c r="P44" s="202"/>
      <c r="Q44" s="202"/>
      <c r="R44" s="202"/>
      <c r="S44" s="183">
        <v>5200</v>
      </c>
    </row>
    <row r="45" spans="1:19" x14ac:dyDescent="0.2">
      <c r="A45" s="205" t="s">
        <v>561</v>
      </c>
      <c r="B45" s="203">
        <f>SUMIF('IE Data Entry'!$B$30:$B$100,'IE SUMMARY'!$S45,'IE Data Entry'!C$30:C$100)</f>
        <v>0</v>
      </c>
      <c r="C45" s="203">
        <f>SUMIF('IE Data Entry'!$B$30:$B$100,'IE SUMMARY'!$S45,'IE Data Entry'!D$30:D$100)</f>
        <v>0</v>
      </c>
      <c r="D45" s="203">
        <f>SUMIF('IE Data Entry'!$B$30:$B$100,'IE SUMMARY'!$S45,'IE Data Entry'!E$30:E$100)</f>
        <v>39744.04</v>
      </c>
      <c r="E45" s="203">
        <f>SUMIF('IE Data Entry'!$B$30:$B$100,'IE SUMMARY'!$S45,'IE Data Entry'!F$30:F$100)</f>
        <v>0</v>
      </c>
      <c r="F45" s="203">
        <f>SUMIF('IE Data Entry'!$B$30:$B$100,'IE SUMMARY'!$S45,'IE Data Entry'!H$30:H$100)</f>
        <v>0</v>
      </c>
      <c r="G45" s="203">
        <f>SUMIF('IE Data Entry'!$B$30:$B$100,'IE SUMMARY'!$S45,'IE Data Entry'!I$30:I$100)</f>
        <v>74750</v>
      </c>
      <c r="H45" s="204">
        <f>+Proforma!F69*12</f>
        <v>67398.974999999991</v>
      </c>
      <c r="I45" s="616">
        <f t="shared" si="1"/>
        <v>10151.954999999987</v>
      </c>
      <c r="J45" s="206"/>
      <c r="K45" s="202"/>
      <c r="L45" s="202"/>
      <c r="M45" s="202"/>
      <c r="N45" s="182"/>
      <c r="O45" s="202"/>
      <c r="P45" s="202"/>
      <c r="Q45" s="202"/>
      <c r="R45" s="202"/>
      <c r="S45" s="183">
        <v>5301</v>
      </c>
    </row>
    <row r="46" spans="1:19" x14ac:dyDescent="0.2">
      <c r="A46" s="792" t="s">
        <v>168</v>
      </c>
      <c r="B46" s="203">
        <f>SUMIF('IE Data Entry'!$B$30:$B$100,'IE SUMMARY'!$S46,'IE Data Entry'!C$30:C$100)</f>
        <v>0</v>
      </c>
      <c r="C46" s="203">
        <f>SUMIF('IE Data Entry'!$B$30:$B$100,'IE SUMMARY'!$S46,'IE Data Entry'!D$30:D$100)</f>
        <v>0</v>
      </c>
      <c r="D46" s="203">
        <f>SUMIF('IE Data Entry'!$B$30:$B$100,'IE SUMMARY'!$S46,'IE Data Entry'!E$30:E$100)</f>
        <v>7711.74</v>
      </c>
      <c r="E46" s="203">
        <f>SUMIF('IE Data Entry'!$B$30:$B$100,'IE SUMMARY'!$S46,'IE Data Entry'!F$30:F$100)</f>
        <v>0</v>
      </c>
      <c r="F46" s="203">
        <f>SUMIF('IE Data Entry'!$B$30:$B$100,'IE SUMMARY'!$S46,'IE Data Entry'!H$30:H$100)</f>
        <v>0</v>
      </c>
      <c r="G46" s="203">
        <f>SUMIF('IE Data Entry'!$B$30:$B$100,'IE SUMMARY'!$S46,'IE Data Entry'!I$30:I$100)</f>
        <v>7711</v>
      </c>
      <c r="H46" s="204">
        <f>+Proforma!F70*12</f>
        <v>7500</v>
      </c>
      <c r="I46" s="616">
        <f t="shared" si="1"/>
        <v>-211.36999999999989</v>
      </c>
      <c r="J46" s="206"/>
      <c r="K46" s="202"/>
      <c r="L46" s="202"/>
      <c r="M46" s="202"/>
      <c r="N46" s="182"/>
      <c r="O46" s="202"/>
      <c r="P46" s="202"/>
      <c r="Q46" s="202"/>
      <c r="R46" s="202"/>
      <c r="S46" s="183">
        <v>5053</v>
      </c>
    </row>
    <row r="47" spans="1:19" x14ac:dyDescent="0.2">
      <c r="A47" s="792" t="s">
        <v>169</v>
      </c>
      <c r="B47" s="203">
        <f>SUMIF('IE Data Entry'!$B$30:$B$100,'IE SUMMARY'!$S47,'IE Data Entry'!C$30:C$100)</f>
        <v>0</v>
      </c>
      <c r="C47" s="203">
        <f>SUMIF('IE Data Entry'!$B$30:$B$100,'IE SUMMARY'!$S47,'IE Data Entry'!D$30:D$100)</f>
        <v>0</v>
      </c>
      <c r="D47" s="203">
        <f>SUMIF('IE Data Entry'!$B$30:$B$100,'IE SUMMARY'!$S47,'IE Data Entry'!E$30:E$100)</f>
        <v>0</v>
      </c>
      <c r="E47" s="203">
        <f>SUMIF('IE Data Entry'!$B$30:$B$100,'IE SUMMARY'!$S47,'IE Data Entry'!F$30:F$100)</f>
        <v>0</v>
      </c>
      <c r="F47" s="203">
        <f>SUMIF('IE Data Entry'!$B$30:$B$100,'IE SUMMARY'!$S47,'IE Data Entry'!H$30:H$100)</f>
        <v>0</v>
      </c>
      <c r="G47" s="203">
        <f>SUMIF('IE Data Entry'!$B$30:$B$100,'IE SUMMARY'!$S47,'IE Data Entry'!I$30:I$100)</f>
        <v>0</v>
      </c>
      <c r="H47" s="204">
        <f>+Proforma!F71*12</f>
        <v>1095</v>
      </c>
      <c r="I47" s="616">
        <f t="shared" si="1"/>
        <v>1095</v>
      </c>
      <c r="J47" s="206"/>
      <c r="K47" s="202"/>
      <c r="L47" s="202"/>
      <c r="M47" s="202"/>
      <c r="N47" s="182"/>
      <c r="O47" s="202"/>
      <c r="P47" s="202"/>
      <c r="Q47" s="202"/>
      <c r="R47" s="202"/>
      <c r="S47" s="183">
        <v>5604</v>
      </c>
    </row>
    <row r="48" spans="1:19" x14ac:dyDescent="0.2">
      <c r="A48" s="792" t="s">
        <v>170</v>
      </c>
      <c r="B48" s="203">
        <f>SUMIF('IE Data Entry'!$B$30:$B$100,'IE SUMMARY'!$S48,'IE Data Entry'!C$30:C$100)</f>
        <v>0</v>
      </c>
      <c r="C48" s="203">
        <f>SUMIF('IE Data Entry'!$B$30:$B$100,'IE SUMMARY'!$S48,'IE Data Entry'!D$30:D$100)</f>
        <v>0</v>
      </c>
      <c r="D48" s="203">
        <f>SUMIF('IE Data Entry'!$B$30:$B$100,'IE SUMMARY'!$S48,'IE Data Entry'!E$30:E$100)</f>
        <v>554.20000000000005</v>
      </c>
      <c r="E48" s="203">
        <f>SUMIF('IE Data Entry'!$B$30:$B$100,'IE SUMMARY'!$S48,'IE Data Entry'!F$30:F$100)</f>
        <v>0</v>
      </c>
      <c r="F48" s="203">
        <f>SUMIF('IE Data Entry'!$B$30:$B$100,'IE SUMMARY'!$S48,'IE Data Entry'!H$30:H$100)</f>
        <v>0</v>
      </c>
      <c r="G48" s="203">
        <f>SUMIF('IE Data Entry'!$B$30:$B$100,'IE SUMMARY'!$S48,'IE Data Entry'!I$30:I$100)</f>
        <v>0</v>
      </c>
      <c r="H48" s="204">
        <f>+Proforma!F72*12</f>
        <v>2500</v>
      </c>
      <c r="I48" s="616">
        <f t="shared" si="1"/>
        <v>1945.8</v>
      </c>
      <c r="J48" s="206"/>
      <c r="K48" s="202"/>
      <c r="L48" s="202"/>
      <c r="M48" s="202"/>
      <c r="N48" s="182"/>
      <c r="O48" s="202"/>
      <c r="P48" s="202"/>
      <c r="Q48" s="202"/>
      <c r="R48" s="202"/>
      <c r="S48" s="183">
        <v>5062</v>
      </c>
    </row>
    <row r="49" spans="1:19" x14ac:dyDescent="0.2">
      <c r="A49" s="792" t="s">
        <v>171</v>
      </c>
      <c r="B49" s="203">
        <f>SUMIF('IE Data Entry'!$B$30:$B$100,'IE SUMMARY'!$S49,'IE Data Entry'!C$30:C$100)</f>
        <v>0</v>
      </c>
      <c r="C49" s="203">
        <f>SUMIF('IE Data Entry'!$B$30:$B$100,'IE SUMMARY'!$S49,'IE Data Entry'!D$30:D$100)</f>
        <v>0</v>
      </c>
      <c r="D49" s="203">
        <f>SUMIF('IE Data Entry'!$B$30:$B$100,'IE SUMMARY'!$S49,'IE Data Entry'!E$30:E$100)</f>
        <v>0</v>
      </c>
      <c r="E49" s="203">
        <f>SUMIF('IE Data Entry'!$B$30:$B$100,'IE SUMMARY'!$S49,'IE Data Entry'!F$30:F$100)</f>
        <v>0</v>
      </c>
      <c r="F49" s="203">
        <f>SUMIF('IE Data Entry'!$B$30:$B$100,'IE SUMMARY'!$S49,'IE Data Entry'!H$30:H$100)</f>
        <v>0</v>
      </c>
      <c r="G49" s="203">
        <f>SUMIF('IE Data Entry'!$B$30:$B$100,'IE SUMMARY'!$S49,'IE Data Entry'!I$30:I$100)</f>
        <v>0</v>
      </c>
      <c r="H49" s="204">
        <f>+Proforma!F73*12</f>
        <v>1700</v>
      </c>
      <c r="I49" s="616">
        <f t="shared" si="1"/>
        <v>1700</v>
      </c>
      <c r="J49" s="206"/>
      <c r="K49" s="202"/>
      <c r="L49" s="202"/>
      <c r="M49" s="202"/>
      <c r="N49" s="182"/>
      <c r="O49" s="202"/>
      <c r="P49" s="202"/>
      <c r="Q49" s="202"/>
      <c r="R49" s="202"/>
      <c r="S49" s="183">
        <v>5302</v>
      </c>
    </row>
    <row r="50" spans="1:19" x14ac:dyDescent="0.2">
      <c r="A50" s="792" t="s">
        <v>172</v>
      </c>
      <c r="B50" s="203">
        <f>SUMIF('IE Data Entry'!$B$30:$B$100,'IE SUMMARY'!$S50,'IE Data Entry'!C$30:C$100)</f>
        <v>0</v>
      </c>
      <c r="C50" s="203">
        <f>SUMIF('IE Data Entry'!$B$30:$B$100,'IE SUMMARY'!$S50,'IE Data Entry'!D$30:D$100)</f>
        <v>0</v>
      </c>
      <c r="D50" s="203">
        <f>SUMIF('IE Data Entry'!$B$30:$B$100,'IE SUMMARY'!$S50,'IE Data Entry'!E$30:E$100)</f>
        <v>0</v>
      </c>
      <c r="E50" s="203">
        <f>SUMIF('IE Data Entry'!$B$30:$B$100,'IE SUMMARY'!$S50,'IE Data Entry'!F$30:F$100)</f>
        <v>0</v>
      </c>
      <c r="F50" s="203">
        <f>SUMIF('IE Data Entry'!$B$30:$B$100,'IE SUMMARY'!$S50,'IE Data Entry'!H$30:H$100)</f>
        <v>0</v>
      </c>
      <c r="G50" s="203">
        <f>SUMIF('IE Data Entry'!$B$30:$B$100,'IE SUMMARY'!$S50,'IE Data Entry'!I$30:I$100)</f>
        <v>0</v>
      </c>
      <c r="H50" s="204">
        <f>+Proforma!F74*12</f>
        <v>0</v>
      </c>
      <c r="I50" s="616">
        <f t="shared" si="1"/>
        <v>0</v>
      </c>
      <c r="J50" s="206"/>
      <c r="K50" s="202"/>
      <c r="L50" s="202"/>
      <c r="M50" s="202"/>
      <c r="N50" s="182"/>
      <c r="O50" s="202"/>
      <c r="P50" s="202"/>
      <c r="Q50" s="202"/>
      <c r="R50" s="202"/>
      <c r="S50" s="183">
        <v>5001</v>
      </c>
    </row>
    <row r="51" spans="1:19" x14ac:dyDescent="0.2">
      <c r="A51" s="792" t="s">
        <v>173</v>
      </c>
      <c r="B51" s="203">
        <f>SUMIF('IE Data Entry'!$B$30:$B$100,'IE SUMMARY'!$S51,'IE Data Entry'!C$30:C$100)</f>
        <v>0</v>
      </c>
      <c r="C51" s="203">
        <f>SUMIF('IE Data Entry'!$B$30:$B$100,'IE SUMMARY'!$S51,'IE Data Entry'!D$30:D$100)</f>
        <v>0</v>
      </c>
      <c r="D51" s="203">
        <f>SUMIF('IE Data Entry'!$B$30:$B$100,'IE SUMMARY'!$S51,'IE Data Entry'!E$30:E$100)</f>
        <v>2647.12</v>
      </c>
      <c r="E51" s="203">
        <f>SUMIF('IE Data Entry'!$B$30:$B$100,'IE SUMMARY'!$S51,'IE Data Entry'!F$30:F$100)</f>
        <v>0</v>
      </c>
      <c r="F51" s="203">
        <f>SUMIF('IE Data Entry'!$B$30:$B$100,'IE SUMMARY'!$S51,'IE Data Entry'!H$30:H$100)</f>
        <v>0</v>
      </c>
      <c r="G51" s="203">
        <f>SUMIF('IE Data Entry'!$B$30:$B$100,'IE SUMMARY'!$S51,'IE Data Entry'!I$30:I$100)</f>
        <v>0</v>
      </c>
      <c r="H51" s="204">
        <f>+Proforma!F75*12</f>
        <v>2450</v>
      </c>
      <c r="I51" s="616">
        <f t="shared" si="1"/>
        <v>-197.11999999999989</v>
      </c>
      <c r="J51" s="206"/>
      <c r="K51" s="202"/>
      <c r="L51" s="202"/>
      <c r="M51" s="202"/>
      <c r="N51" s="182"/>
      <c r="O51" s="202"/>
      <c r="P51" s="202"/>
      <c r="Q51" s="202"/>
      <c r="R51" s="202"/>
      <c r="S51" s="183">
        <v>5061</v>
      </c>
    </row>
    <row r="52" spans="1:19" x14ac:dyDescent="0.2">
      <c r="A52" s="792" t="s">
        <v>174</v>
      </c>
      <c r="B52" s="203">
        <f>SUMIF('IE Data Entry'!$B$30:$B$100,'IE SUMMARY'!$S52,'IE Data Entry'!C$30:C$100)</f>
        <v>0</v>
      </c>
      <c r="C52" s="203">
        <f>SUMIF('IE Data Entry'!$B$30:$B$100,'IE SUMMARY'!$S52,'IE Data Entry'!D$30:D$100)</f>
        <v>0</v>
      </c>
      <c r="D52" s="203">
        <f>SUMIF('IE Data Entry'!$B$30:$B$100,'IE SUMMARY'!$S52,'IE Data Entry'!E$30:E$100)</f>
        <v>3219</v>
      </c>
      <c r="E52" s="203">
        <f>SUMIF('IE Data Entry'!$B$30:$B$100,'IE SUMMARY'!$S52,'IE Data Entry'!F$30:F$100)</f>
        <v>0</v>
      </c>
      <c r="F52" s="203">
        <f>SUMIF('IE Data Entry'!$B$30:$B$100,'IE SUMMARY'!$S52,'IE Data Entry'!H$30:H$100)</f>
        <v>0</v>
      </c>
      <c r="G52" s="203">
        <f>SUMIF('IE Data Entry'!$B$30:$B$100,'IE SUMMARY'!$S52,'IE Data Entry'!I$30:I$100)</f>
        <v>3219</v>
      </c>
      <c r="H52" s="204">
        <f ca="1">+Proforma!F76*12</f>
        <v>3283.38</v>
      </c>
      <c r="I52" s="616">
        <f t="shared" ca="1" si="1"/>
        <v>64.380000000000109</v>
      </c>
      <c r="J52" s="206"/>
      <c r="K52" s="202"/>
      <c r="L52" s="202"/>
      <c r="M52" s="202"/>
      <c r="N52" s="182"/>
      <c r="O52" s="202"/>
      <c r="P52" s="202"/>
      <c r="Q52" s="202"/>
      <c r="R52" s="202"/>
      <c r="S52" s="183">
        <v>5304</v>
      </c>
    </row>
    <row r="53" spans="1:19" x14ac:dyDescent="0.2">
      <c r="A53" s="792" t="s">
        <v>175</v>
      </c>
      <c r="B53" s="203">
        <f>SUMIF('IE Data Entry'!$B$30:$B$100,'IE SUMMARY'!$S53,'IE Data Entry'!C$30:C$100)</f>
        <v>0</v>
      </c>
      <c r="C53" s="203">
        <f>SUMIF('IE Data Entry'!$B$30:$B$100,'IE SUMMARY'!$S53,'IE Data Entry'!D$30:D$100)</f>
        <v>0</v>
      </c>
      <c r="D53" s="203">
        <f>SUMIF('IE Data Entry'!$B$30:$B$100,'IE SUMMARY'!$S53,'IE Data Entry'!E$30:E$100)</f>
        <v>24</v>
      </c>
      <c r="E53" s="203">
        <f>SUMIF('IE Data Entry'!$B$30:$B$100,'IE SUMMARY'!$S53,'IE Data Entry'!F$30:F$100)</f>
        <v>0</v>
      </c>
      <c r="F53" s="203">
        <f>SUMIF('IE Data Entry'!$B$30:$B$100,'IE SUMMARY'!$S53,'IE Data Entry'!H$30:H$100)</f>
        <v>0</v>
      </c>
      <c r="G53" s="203">
        <f>SUMIF('IE Data Entry'!$B$30:$B$100,'IE SUMMARY'!$S53,'IE Data Entry'!I$30:I$100)</f>
        <v>0</v>
      </c>
      <c r="H53" s="204">
        <f>+Proforma!F77*12</f>
        <v>0</v>
      </c>
      <c r="I53" s="616">
        <f t="shared" si="1"/>
        <v>-24</v>
      </c>
      <c r="J53" s="206"/>
      <c r="K53" s="202"/>
      <c r="L53" s="202"/>
      <c r="M53" s="202"/>
      <c r="N53" s="182"/>
      <c r="O53" s="202"/>
      <c r="P53" s="202"/>
      <c r="Q53" s="202"/>
      <c r="R53" s="202"/>
      <c r="S53" s="183">
        <v>5064</v>
      </c>
    </row>
    <row r="54" spans="1:19" x14ac:dyDescent="0.2">
      <c r="A54" s="792" t="s">
        <v>176</v>
      </c>
      <c r="B54" s="203">
        <f>SUMIF('IE Data Entry'!$B$30:$B$100,'IE SUMMARY'!$S54,'IE Data Entry'!C$30:C$100)</f>
        <v>0</v>
      </c>
      <c r="C54" s="203">
        <f>SUMIF('IE Data Entry'!$B$30:$B$100,'IE SUMMARY'!$S54,'IE Data Entry'!D$30:D$100)</f>
        <v>0</v>
      </c>
      <c r="D54" s="203">
        <f>SUMIF('IE Data Entry'!$B$30:$B$100,'IE SUMMARY'!$S54,'IE Data Entry'!E$30:E$100)</f>
        <v>8831.06</v>
      </c>
      <c r="E54" s="203">
        <f>SUMIF('IE Data Entry'!$B$30:$B$100,'IE SUMMARY'!$S54,'IE Data Entry'!F$30:F$100)</f>
        <v>0</v>
      </c>
      <c r="F54" s="203">
        <f>SUMIF('IE Data Entry'!$B$30:$B$100,'IE SUMMARY'!$S54,'IE Data Entry'!H$30:H$100)</f>
        <v>0</v>
      </c>
      <c r="G54" s="203">
        <f>SUMIF('IE Data Entry'!$B$30:$B$100,'IE SUMMARY'!$S54,'IE Data Entry'!I$30:I$100)</f>
        <v>9730</v>
      </c>
      <c r="H54" s="204">
        <f>+Proforma!F78*12</f>
        <v>1500</v>
      </c>
      <c r="I54" s="616">
        <f t="shared" si="1"/>
        <v>-7780.5299999999988</v>
      </c>
      <c r="J54" s="206"/>
      <c r="K54" s="179" t="str">
        <f>IF(ISERROR((+(G56-E56)/E56)),"",(+(G56-E56)/E56))</f>
        <v/>
      </c>
      <c r="L54" s="187" t="s">
        <v>549</v>
      </c>
      <c r="M54" s="206"/>
      <c r="O54" s="206"/>
      <c r="P54" s="206"/>
      <c r="Q54" s="206"/>
      <c r="R54" s="206"/>
      <c r="S54" s="183">
        <v>5601</v>
      </c>
    </row>
    <row r="55" spans="1:19" x14ac:dyDescent="0.2">
      <c r="A55" s="792" t="s">
        <v>562</v>
      </c>
      <c r="B55" s="207">
        <f>SUMIF('IE Data Entry'!$B$30:$B$100,'IE SUMMARY'!$S55,'IE Data Entry'!C$30:C$100)</f>
        <v>0</v>
      </c>
      <c r="C55" s="207">
        <f>SUMIF('IE Data Entry'!$B$30:$B$100,'IE SUMMARY'!$S55,'IE Data Entry'!D$30:D$100)</f>
        <v>0</v>
      </c>
      <c r="D55" s="207">
        <f>SUMIF('IE Data Entry'!$B$30:$B$100,'IE SUMMARY'!$S55,'IE Data Entry'!E$30:E$100)</f>
        <v>0</v>
      </c>
      <c r="E55" s="207">
        <f>SUMIF('IE Data Entry'!$B$30:$B$100,'IE SUMMARY'!$S55,'IE Data Entry'!F$30:F$100)</f>
        <v>0</v>
      </c>
      <c r="F55" s="207">
        <f>SUMIF('IE Data Entry'!$B$30:$B$100,'IE SUMMARY'!$S55,'IE Data Entry'!H$30:H$100)</f>
        <v>0</v>
      </c>
      <c r="G55" s="207">
        <f>SUMIF('IE Data Entry'!$B$30:$B$100,'IE SUMMARY'!$S55,'IE Data Entry'!I$30:I$100)</f>
        <v>0</v>
      </c>
      <c r="H55" s="208">
        <f>+Proforma!F79*12</f>
        <v>24244.340000000004</v>
      </c>
      <c r="I55" s="617">
        <f t="shared" si="1"/>
        <v>24244.340000000004</v>
      </c>
      <c r="J55" s="206"/>
      <c r="K55" s="189" t="str">
        <f>IF(ISERROR((+(G56-F56)/F56)),"",(+(G56-F56)/F56))</f>
        <v/>
      </c>
      <c r="L55" s="187" t="s">
        <v>551</v>
      </c>
      <c r="M55" s="206"/>
      <c r="O55" s="206"/>
      <c r="P55" s="206"/>
      <c r="Q55" s="206"/>
      <c r="R55" s="206"/>
      <c r="S55" s="183">
        <v>5000</v>
      </c>
    </row>
    <row r="56" spans="1:19" x14ac:dyDescent="0.2">
      <c r="A56" s="209" t="s">
        <v>563</v>
      </c>
      <c r="B56" s="699">
        <f>SUM(B32:B55)</f>
        <v>0</v>
      </c>
      <c r="C56" s="699">
        <f t="shared" ref="C56:H56" si="5">SUM(C32:C55)</f>
        <v>0</v>
      </c>
      <c r="D56" s="699">
        <f t="shared" si="5"/>
        <v>268373.3</v>
      </c>
      <c r="E56" s="699">
        <f t="shared" si="5"/>
        <v>0</v>
      </c>
      <c r="F56" s="699">
        <f t="shared" si="5"/>
        <v>0</v>
      </c>
      <c r="G56" s="699">
        <f t="shared" si="5"/>
        <v>294201</v>
      </c>
      <c r="H56" s="699">
        <f t="shared" ca="1" si="5"/>
        <v>304188.50839999999</v>
      </c>
      <c r="I56" s="700">
        <f t="shared" ca="1" si="1"/>
        <v>22901.358399999968</v>
      </c>
      <c r="J56" s="606"/>
      <c r="K56" s="189">
        <f>IF(ISERROR((+(G56-D56)/D56)),"",(+(G56-D56)/D56))</f>
        <v>9.6237964059763065E-2</v>
      </c>
      <c r="L56" s="187" t="str">
        <f>"Broker Compared to "&amp;'IE Data Entry'!$B$4</f>
        <v>Broker Compared to 2021</v>
      </c>
      <c r="M56" s="210"/>
      <c r="P56" s="206"/>
      <c r="Q56" s="206"/>
      <c r="R56" s="206"/>
    </row>
    <row r="57" spans="1:19" x14ac:dyDescent="0.2">
      <c r="A57" s="211" t="s">
        <v>552</v>
      </c>
      <c r="B57" s="187"/>
      <c r="C57" s="189" t="str">
        <f>IF(ISERROR((+(C56-B56)/B56)),"",(+(C56-B56)/B56))</f>
        <v/>
      </c>
      <c r="D57" s="189" t="str">
        <f>IF(ISERROR((+(D56-C56)/C56)),"",(+(D56-C56)/C56))</f>
        <v/>
      </c>
      <c r="E57" s="189">
        <f>IF(ISERROR((+(E56-D56)/D56)),"",(+(E56-D56)/D56))</f>
        <v>-1</v>
      </c>
      <c r="F57" s="189">
        <f>IF(ISERROR((+(F56-D56)/D56)),"",(+(F56-D56)/D56))</f>
        <v>-1</v>
      </c>
      <c r="G57" s="212"/>
      <c r="I57" s="619"/>
      <c r="M57" s="212"/>
      <c r="N57" s="212"/>
      <c r="P57" s="213"/>
      <c r="Q57" s="213"/>
      <c r="R57" s="213"/>
    </row>
    <row r="58" spans="1:19" x14ac:dyDescent="0.2">
      <c r="A58" s="214" t="s">
        <v>564</v>
      </c>
      <c r="B58" s="215" t="str">
        <f>IF(ISERROR((+B56/B26)),"",(+B56/B26))</f>
        <v/>
      </c>
      <c r="C58" s="215" t="str">
        <f t="shared" ref="C58:H58" si="6">IF(ISERROR((+C56/C26)),"",(+C56/C26))</f>
        <v/>
      </c>
      <c r="D58" s="215">
        <f t="shared" si="6"/>
        <v>0.5756361771853159</v>
      </c>
      <c r="E58" s="215" t="str">
        <f t="shared" si="6"/>
        <v/>
      </c>
      <c r="F58" s="215" t="str">
        <f t="shared" si="6"/>
        <v/>
      </c>
      <c r="G58" s="216"/>
      <c r="H58" s="215">
        <f t="shared" ca="1" si="6"/>
        <v>0.62733922309289503</v>
      </c>
      <c r="I58" s="619"/>
      <c r="J58" s="215"/>
      <c r="K58" s="187"/>
      <c r="L58" s="212"/>
      <c r="M58" s="212"/>
      <c r="N58" s="212"/>
      <c r="O58" s="213"/>
      <c r="P58" s="213"/>
      <c r="Q58" s="213"/>
      <c r="R58" s="213"/>
    </row>
    <row r="59" spans="1:19" x14ac:dyDescent="0.2">
      <c r="A59" s="211"/>
      <c r="B59" s="168"/>
      <c r="C59" s="168"/>
      <c r="D59" s="168"/>
      <c r="E59" s="168"/>
      <c r="F59" s="894" t="str">
        <f>Current_Year&amp;" Annualized"</f>
        <v>2022 Annualized</v>
      </c>
      <c r="G59" s="894" t="s">
        <v>543</v>
      </c>
      <c r="H59" s="189"/>
      <c r="I59" s="619"/>
      <c r="J59" s="189"/>
      <c r="K59" s="187"/>
      <c r="L59" s="212"/>
      <c r="M59" s="212"/>
      <c r="N59" s="212"/>
      <c r="O59" s="213"/>
      <c r="P59" s="213"/>
      <c r="Q59" s="213"/>
      <c r="R59" s="213"/>
    </row>
    <row r="60" spans="1:19" ht="16" thickBot="1" x14ac:dyDescent="0.25">
      <c r="B60" s="169">
        <f>+B31</f>
        <v>2019</v>
      </c>
      <c r="C60" s="169">
        <f t="shared" ref="C60:E60" si="7">+C31</f>
        <v>2020</v>
      </c>
      <c r="D60" s="169">
        <f t="shared" si="7"/>
        <v>2021</v>
      </c>
      <c r="E60" s="169" t="str">
        <f t="shared" si="7"/>
        <v>Trailing 12</v>
      </c>
      <c r="F60" s="895"/>
      <c r="G60" s="895"/>
      <c r="H60" s="371" t="str">
        <f>+H31</f>
        <v>BVG Yr 1 Projection</v>
      </c>
      <c r="I60" s="616" t="str">
        <f t="shared" si="1"/>
        <v>BVG Yr 1 Projection</v>
      </c>
      <c r="J60" s="607"/>
      <c r="K60" s="179">
        <f>IF(ISERROR((+(G62-E62)/E62)),"",(+(G62-E62)/E62))</f>
        <v>-1</v>
      </c>
      <c r="L60" s="187" t="s">
        <v>549</v>
      </c>
    </row>
    <row r="61" spans="1:19" ht="16" thickBot="1" x14ac:dyDescent="0.25">
      <c r="A61" s="194" t="s">
        <v>454</v>
      </c>
      <c r="B61" s="672">
        <f t="shared" ref="B61:H61" si="8">+B26-B56</f>
        <v>0</v>
      </c>
      <c r="C61" s="672">
        <f t="shared" si="8"/>
        <v>0</v>
      </c>
      <c r="D61" s="672">
        <f t="shared" si="8"/>
        <v>197847.05</v>
      </c>
      <c r="E61" s="672">
        <f t="shared" si="8"/>
        <v>0</v>
      </c>
      <c r="F61" s="672">
        <f t="shared" si="8"/>
        <v>0</v>
      </c>
      <c r="G61" s="672">
        <f t="shared" si="8"/>
        <v>-294201</v>
      </c>
      <c r="H61" s="370">
        <f t="shared" ca="1" si="8"/>
        <v>180698.2916</v>
      </c>
      <c r="I61" s="616">
        <f t="shared" ca="1" si="1"/>
        <v>-17148.758399999992</v>
      </c>
      <c r="J61" s="206"/>
      <c r="K61" s="189" t="str">
        <f>IF(ISERROR((+(G61-F61)/F61)),"",(+(G61-F61)/F61))</f>
        <v/>
      </c>
      <c r="L61" s="187" t="s">
        <v>551</v>
      </c>
    </row>
    <row r="62" spans="1:19" ht="16" thickTop="1" x14ac:dyDescent="0.2">
      <c r="A62" s="211" t="s">
        <v>552</v>
      </c>
      <c r="B62" s="187"/>
      <c r="C62" s="189" t="str">
        <f>IF(ISERROR((+(C61-B61)/B61)),"",(+(C61-B61)/B61))</f>
        <v/>
      </c>
      <c r="D62" s="189" t="str">
        <f>IF(ISERROR((+(D61-C61)/C61)),"",(+(D61-C61)/C61))</f>
        <v/>
      </c>
      <c r="E62" s="189">
        <f>IF(ISERROR((+(E61-D61)/D61)),"",(+(E61-D61)/D61))</f>
        <v>-1</v>
      </c>
      <c r="F62" s="189">
        <f>IF(ISERROR((+(F61-D61)/D61)),"",(+(F61-D61)/D61))</f>
        <v>-1</v>
      </c>
      <c r="G62" s="212"/>
      <c r="K62" s="189">
        <f>IF(ISERROR((+(G61-D61)/D61)),"",(+(G61-D61)/D61))</f>
        <v>-2.4870123158267967</v>
      </c>
      <c r="L62" s="187" t="str">
        <f>"Broker Compared to "&amp;'IE Data Entry'!$B$4</f>
        <v>Broker Compared to 2021</v>
      </c>
    </row>
    <row r="64" spans="1:19" x14ac:dyDescent="0.2">
      <c r="A64" s="890" t="s">
        <v>565</v>
      </c>
      <c r="B64" s="890"/>
      <c r="C64" s="890"/>
      <c r="D64" s="890"/>
      <c r="E64" s="890"/>
      <c r="F64" s="890"/>
      <c r="G64" s="890"/>
      <c r="H64" s="890"/>
      <c r="I64" s="608"/>
      <c r="J64" s="608"/>
    </row>
    <row r="65" spans="1:10" x14ac:dyDescent="0.2">
      <c r="A65" s="227" t="s">
        <v>566</v>
      </c>
      <c r="B65" s="227">
        <f>+B60</f>
        <v>2019</v>
      </c>
      <c r="C65" s="227">
        <f t="shared" ref="C65:H65" si="9">+C60</f>
        <v>2020</v>
      </c>
      <c r="D65" s="227">
        <f t="shared" si="9"/>
        <v>2021</v>
      </c>
      <c r="E65" s="227" t="str">
        <f t="shared" si="9"/>
        <v>Trailing 12</v>
      </c>
      <c r="F65" s="227" t="str">
        <f>+F59</f>
        <v>2022 Annualized</v>
      </c>
      <c r="G65" s="227" t="str">
        <f>+G59</f>
        <v>Broker Projection</v>
      </c>
      <c r="H65" s="227" t="str">
        <f t="shared" si="9"/>
        <v>BVG Yr 1 Projection</v>
      </c>
      <c r="I65" s="167"/>
      <c r="J65" s="167"/>
    </row>
    <row r="66" spans="1:10" x14ac:dyDescent="0.2">
      <c r="A66" s="628" t="s">
        <v>567</v>
      </c>
      <c r="B66" s="225">
        <f>SUM(B15:B19)</f>
        <v>0</v>
      </c>
      <c r="C66" s="225">
        <f t="shared" ref="C66:H66" si="10">SUM(C15:C19)</f>
        <v>0</v>
      </c>
      <c r="D66" s="225">
        <f t="shared" si="10"/>
        <v>31226.41</v>
      </c>
      <c r="E66" s="225">
        <f t="shared" si="10"/>
        <v>0</v>
      </c>
      <c r="F66" s="225">
        <f t="shared" si="10"/>
        <v>0</v>
      </c>
      <c r="G66" s="225">
        <f t="shared" si="10"/>
        <v>0</v>
      </c>
      <c r="H66" s="225">
        <f t="shared" si="10"/>
        <v>31226</v>
      </c>
      <c r="I66" s="609"/>
      <c r="J66" s="225"/>
    </row>
    <row r="67" spans="1:10" x14ac:dyDescent="0.2">
      <c r="A67" s="628" t="s">
        <v>568</v>
      </c>
      <c r="B67" s="225">
        <f>SUM(B35:B39)</f>
        <v>0</v>
      </c>
      <c r="C67" s="225">
        <f t="shared" ref="C67:H67" si="11">SUM(C35:C39)</f>
        <v>0</v>
      </c>
      <c r="D67" s="225">
        <f t="shared" si="11"/>
        <v>91602.17</v>
      </c>
      <c r="E67" s="225">
        <f t="shared" si="11"/>
        <v>0</v>
      </c>
      <c r="F67" s="225">
        <f t="shared" si="11"/>
        <v>0</v>
      </c>
      <c r="G67" s="225">
        <f t="shared" si="11"/>
        <v>91602</v>
      </c>
      <c r="H67" s="225">
        <f t="shared" ca="1" si="11"/>
        <v>93434.213400000008</v>
      </c>
      <c r="I67" s="609"/>
      <c r="J67" s="225"/>
    </row>
    <row r="68" spans="1:10" x14ac:dyDescent="0.2">
      <c r="A68" s="628" t="s">
        <v>569</v>
      </c>
      <c r="B68" s="855">
        <f>+B66-B67</f>
        <v>0</v>
      </c>
      <c r="C68" s="855">
        <f t="shared" ref="C68:H68" si="12">+C66-C67</f>
        <v>0</v>
      </c>
      <c r="D68" s="855">
        <f t="shared" si="12"/>
        <v>-60375.759999999995</v>
      </c>
      <c r="E68" s="855">
        <f t="shared" si="12"/>
        <v>0</v>
      </c>
      <c r="F68" s="855">
        <f t="shared" si="12"/>
        <v>0</v>
      </c>
      <c r="G68" s="855">
        <f t="shared" si="12"/>
        <v>-91602</v>
      </c>
      <c r="H68" s="855">
        <f t="shared" ca="1" si="12"/>
        <v>-62208.213400000008</v>
      </c>
      <c r="I68" s="609"/>
      <c r="J68" s="225"/>
    </row>
    <row r="69" spans="1:10" x14ac:dyDescent="0.2">
      <c r="A69" s="628" t="s">
        <v>570</v>
      </c>
      <c r="B69" s="226" t="str">
        <f>IF(ISERROR((+B66/B67)),"",(+B66/B67))</f>
        <v/>
      </c>
      <c r="C69" s="226" t="str">
        <f t="shared" ref="C69:H69" si="13">IF(ISERROR((+C66/C67)),"",(+C66/C67))</f>
        <v/>
      </c>
      <c r="D69" s="226">
        <f t="shared" si="13"/>
        <v>0.34089159678204128</v>
      </c>
      <c r="E69" s="226" t="str">
        <f t="shared" si="13"/>
        <v/>
      </c>
      <c r="F69" s="226" t="str">
        <f t="shared" si="13"/>
        <v/>
      </c>
      <c r="G69" s="226">
        <f t="shared" si="13"/>
        <v>0</v>
      </c>
      <c r="H69" s="226">
        <f t="shared" ca="1" si="13"/>
        <v>0.33420305971131553</v>
      </c>
      <c r="I69" s="609"/>
      <c r="J69" s="226"/>
    </row>
    <row r="70" spans="1:10" x14ac:dyDescent="0.2">
      <c r="I70" s="609"/>
    </row>
    <row r="71" spans="1:10" x14ac:dyDescent="0.2">
      <c r="A71" s="167" t="s">
        <v>571</v>
      </c>
      <c r="B71" s="164"/>
      <c r="I71" s="609"/>
    </row>
    <row r="72" spans="1:10" x14ac:dyDescent="0.2">
      <c r="A72" s="628" t="s">
        <v>572</v>
      </c>
      <c r="B72" s="225">
        <f>B15</f>
        <v>0</v>
      </c>
      <c r="C72" s="225">
        <f t="shared" ref="C72:H72" si="14">C15</f>
        <v>0</v>
      </c>
      <c r="D72" s="225">
        <f t="shared" si="14"/>
        <v>16101</v>
      </c>
      <c r="E72" s="225">
        <f t="shared" si="14"/>
        <v>0</v>
      </c>
      <c r="F72" s="225">
        <f t="shared" si="14"/>
        <v>0</v>
      </c>
      <c r="G72" s="225">
        <f t="shared" si="14"/>
        <v>0</v>
      </c>
      <c r="H72" s="225">
        <f t="shared" si="14"/>
        <v>0</v>
      </c>
      <c r="I72" s="609"/>
      <c r="J72" s="225"/>
    </row>
    <row r="73" spans="1:10" x14ac:dyDescent="0.2">
      <c r="A73" s="628" t="s">
        <v>573</v>
      </c>
      <c r="B73" s="225">
        <f>B35</f>
        <v>0</v>
      </c>
      <c r="C73" s="225">
        <f t="shared" ref="C73:H73" si="15">C35</f>
        <v>0</v>
      </c>
      <c r="D73" s="225">
        <f t="shared" si="15"/>
        <v>4588.75</v>
      </c>
      <c r="E73" s="225">
        <f t="shared" si="15"/>
        <v>0</v>
      </c>
      <c r="F73" s="225">
        <f t="shared" si="15"/>
        <v>0</v>
      </c>
      <c r="G73" s="225">
        <f t="shared" si="15"/>
        <v>91602</v>
      </c>
      <c r="H73" s="225">
        <f t="shared" ca="1" si="15"/>
        <v>4680.5249999999996</v>
      </c>
      <c r="I73" s="609"/>
      <c r="J73" s="225"/>
    </row>
    <row r="74" spans="1:10" x14ac:dyDescent="0.2">
      <c r="A74" s="628" t="s">
        <v>574</v>
      </c>
      <c r="B74" s="855">
        <f>+B72-B73</f>
        <v>0</v>
      </c>
      <c r="C74" s="855">
        <f t="shared" ref="C74:H74" si="16">+C72-C73</f>
        <v>0</v>
      </c>
      <c r="D74" s="855">
        <f t="shared" si="16"/>
        <v>11512.25</v>
      </c>
      <c r="E74" s="855">
        <f t="shared" si="16"/>
        <v>0</v>
      </c>
      <c r="F74" s="855">
        <f t="shared" si="16"/>
        <v>0</v>
      </c>
      <c r="G74" s="855">
        <f t="shared" si="16"/>
        <v>-91602</v>
      </c>
      <c r="H74" s="855">
        <f t="shared" ca="1" si="16"/>
        <v>-4680.5249999999996</v>
      </c>
      <c r="I74" s="609"/>
      <c r="J74" s="225"/>
    </row>
    <row r="75" spans="1:10" x14ac:dyDescent="0.2">
      <c r="A75" s="628" t="s">
        <v>575</v>
      </c>
      <c r="B75" s="226" t="str">
        <f>IF(ISERROR((+B72/B73)),"",(+B72/B73))</f>
        <v/>
      </c>
      <c r="C75" s="226" t="str">
        <f t="shared" ref="C75:H75" si="17">IF(ISERROR((+C72/C73)),"",(+C72/C73))</f>
        <v/>
      </c>
      <c r="D75" s="226">
        <f t="shared" si="17"/>
        <v>3.5087986924543721</v>
      </c>
      <c r="E75" s="226" t="str">
        <f t="shared" si="17"/>
        <v/>
      </c>
      <c r="F75" s="226" t="str">
        <f t="shared" si="17"/>
        <v/>
      </c>
      <c r="G75" s="226">
        <f t="shared" si="17"/>
        <v>0</v>
      </c>
      <c r="H75" s="226">
        <f t="shared" ca="1" si="17"/>
        <v>0</v>
      </c>
      <c r="I75" s="609"/>
      <c r="J75" s="226"/>
    </row>
    <row r="76" spans="1:10" x14ac:dyDescent="0.2">
      <c r="I76" s="609"/>
    </row>
    <row r="77" spans="1:10" x14ac:dyDescent="0.2">
      <c r="A77" s="167" t="s">
        <v>576</v>
      </c>
      <c r="B77" s="164"/>
      <c r="I77" s="609"/>
    </row>
    <row r="78" spans="1:10" x14ac:dyDescent="0.2">
      <c r="A78" s="628" t="s">
        <v>577</v>
      </c>
      <c r="B78" s="225">
        <f>B16</f>
        <v>0</v>
      </c>
      <c r="C78" s="225">
        <f t="shared" ref="C78:H78" si="18">C16</f>
        <v>0</v>
      </c>
      <c r="D78" s="225">
        <f t="shared" si="18"/>
        <v>0</v>
      </c>
      <c r="E78" s="225">
        <f t="shared" si="18"/>
        <v>0</v>
      </c>
      <c r="F78" s="225">
        <f t="shared" si="18"/>
        <v>0</v>
      </c>
      <c r="G78" s="225">
        <f t="shared" si="18"/>
        <v>0</v>
      </c>
      <c r="H78" s="225">
        <f t="shared" si="18"/>
        <v>0</v>
      </c>
      <c r="I78" s="609"/>
      <c r="J78" s="225"/>
    </row>
    <row r="79" spans="1:10" x14ac:dyDescent="0.2">
      <c r="A79" s="628" t="s">
        <v>578</v>
      </c>
      <c r="B79" s="225">
        <f>B36</f>
        <v>0</v>
      </c>
      <c r="C79" s="225">
        <f t="shared" ref="C79:H79" si="19">C36</f>
        <v>0</v>
      </c>
      <c r="D79" s="225">
        <f t="shared" si="19"/>
        <v>1038.8499999999999</v>
      </c>
      <c r="E79" s="225">
        <f t="shared" si="19"/>
        <v>0</v>
      </c>
      <c r="F79" s="225">
        <f t="shared" si="19"/>
        <v>0</v>
      </c>
      <c r="G79" s="225">
        <f t="shared" si="19"/>
        <v>0</v>
      </c>
      <c r="H79" s="225">
        <f t="shared" ca="1" si="19"/>
        <v>1059.627</v>
      </c>
      <c r="I79" s="609"/>
      <c r="J79" s="225"/>
    </row>
    <row r="80" spans="1:10" x14ac:dyDescent="0.2">
      <c r="A80" s="628" t="s">
        <v>576</v>
      </c>
      <c r="B80" s="855">
        <f>+B78-B79</f>
        <v>0</v>
      </c>
      <c r="C80" s="855">
        <f t="shared" ref="C80:H80" si="20">+C78-C79</f>
        <v>0</v>
      </c>
      <c r="D80" s="855">
        <f t="shared" si="20"/>
        <v>-1038.8499999999999</v>
      </c>
      <c r="E80" s="855">
        <f t="shared" si="20"/>
        <v>0</v>
      </c>
      <c r="F80" s="855">
        <f t="shared" si="20"/>
        <v>0</v>
      </c>
      <c r="G80" s="855">
        <f t="shared" si="20"/>
        <v>0</v>
      </c>
      <c r="H80" s="855">
        <f t="shared" ca="1" si="20"/>
        <v>-1059.627</v>
      </c>
      <c r="I80" s="609"/>
      <c r="J80" s="225"/>
    </row>
    <row r="81" spans="1:10" x14ac:dyDescent="0.2">
      <c r="A81" s="628" t="s">
        <v>579</v>
      </c>
      <c r="B81" s="226" t="str">
        <f>IF(ISERROR((+B78/B79)),"",(+B78/B79))</f>
        <v/>
      </c>
      <c r="C81" s="226" t="str">
        <f t="shared" ref="C81:H81" si="21">IF(ISERROR((+C78/C79)),"",(+C78/C79))</f>
        <v/>
      </c>
      <c r="D81" s="226">
        <f t="shared" si="21"/>
        <v>0</v>
      </c>
      <c r="E81" s="226" t="str">
        <f t="shared" si="21"/>
        <v/>
      </c>
      <c r="F81" s="226" t="str">
        <f t="shared" si="21"/>
        <v/>
      </c>
      <c r="G81" s="226" t="str">
        <f t="shared" si="21"/>
        <v/>
      </c>
      <c r="H81" s="226">
        <f t="shared" ca="1" si="21"/>
        <v>0</v>
      </c>
      <c r="I81" s="609"/>
      <c r="J81" s="226"/>
    </row>
    <row r="82" spans="1:10" x14ac:dyDescent="0.2">
      <c r="I82" s="609"/>
    </row>
    <row r="83" spans="1:10" x14ac:dyDescent="0.2">
      <c r="A83" s="167" t="s">
        <v>580</v>
      </c>
      <c r="B83" s="164"/>
      <c r="I83" s="609"/>
    </row>
    <row r="84" spans="1:10" x14ac:dyDescent="0.2">
      <c r="A84" s="628" t="s">
        <v>581</v>
      </c>
      <c r="B84" s="225">
        <f>B17</f>
        <v>0</v>
      </c>
      <c r="C84" s="225">
        <f t="shared" ref="C84:H84" si="22">C17</f>
        <v>0</v>
      </c>
      <c r="D84" s="225">
        <f t="shared" si="22"/>
        <v>13223</v>
      </c>
      <c r="E84" s="225">
        <f t="shared" si="22"/>
        <v>0</v>
      </c>
      <c r="F84" s="225">
        <f t="shared" si="22"/>
        <v>0</v>
      </c>
      <c r="G84" s="225">
        <f t="shared" si="22"/>
        <v>0</v>
      </c>
      <c r="H84" s="225">
        <f t="shared" si="22"/>
        <v>13223</v>
      </c>
      <c r="I84" s="609"/>
      <c r="J84" s="225"/>
    </row>
    <row r="85" spans="1:10" x14ac:dyDescent="0.2">
      <c r="A85" s="628" t="s">
        <v>582</v>
      </c>
      <c r="B85" s="225">
        <f>B37</f>
        <v>0</v>
      </c>
      <c r="C85" s="225">
        <f t="shared" ref="C85:H85" si="23">C37</f>
        <v>0</v>
      </c>
      <c r="D85" s="225">
        <f t="shared" si="23"/>
        <v>25393.64</v>
      </c>
      <c r="E85" s="225">
        <f t="shared" si="23"/>
        <v>0</v>
      </c>
      <c r="F85" s="225">
        <f t="shared" si="23"/>
        <v>0</v>
      </c>
      <c r="G85" s="225">
        <f t="shared" si="23"/>
        <v>0</v>
      </c>
      <c r="H85" s="225">
        <f t="shared" ca="1" si="23"/>
        <v>25901.512800000004</v>
      </c>
      <c r="I85" s="609"/>
      <c r="J85" s="225"/>
    </row>
    <row r="86" spans="1:10" x14ac:dyDescent="0.2">
      <c r="A86" s="628" t="s">
        <v>580</v>
      </c>
      <c r="B86" s="855">
        <f>+B84-B85</f>
        <v>0</v>
      </c>
      <c r="C86" s="855">
        <f t="shared" ref="C86:H86" si="24">+C84-C85</f>
        <v>0</v>
      </c>
      <c r="D86" s="855">
        <f t="shared" si="24"/>
        <v>-12170.64</v>
      </c>
      <c r="E86" s="855">
        <f t="shared" si="24"/>
        <v>0</v>
      </c>
      <c r="F86" s="855">
        <f t="shared" si="24"/>
        <v>0</v>
      </c>
      <c r="G86" s="855">
        <f t="shared" si="24"/>
        <v>0</v>
      </c>
      <c r="H86" s="855">
        <f t="shared" ca="1" si="24"/>
        <v>-12678.512800000004</v>
      </c>
      <c r="I86" s="609"/>
      <c r="J86" s="225"/>
    </row>
    <row r="87" spans="1:10" x14ac:dyDescent="0.2">
      <c r="A87" s="628" t="s">
        <v>583</v>
      </c>
      <c r="B87" s="226" t="str">
        <f>IF(ISERROR((+B84/B85)),"",(+B84/B85))</f>
        <v/>
      </c>
      <c r="C87" s="226" t="str">
        <f t="shared" ref="C87:H87" si="25">IF(ISERROR((+C84/C85)),"",(+C84/C85))</f>
        <v/>
      </c>
      <c r="D87" s="226">
        <f t="shared" si="25"/>
        <v>0.52072093642345096</v>
      </c>
      <c r="E87" s="226" t="str">
        <f t="shared" si="25"/>
        <v/>
      </c>
      <c r="F87" s="226" t="str">
        <f t="shared" si="25"/>
        <v/>
      </c>
      <c r="G87" s="226" t="str">
        <f t="shared" si="25"/>
        <v/>
      </c>
      <c r="H87" s="226">
        <f t="shared" ca="1" si="25"/>
        <v>0.51051072198377534</v>
      </c>
      <c r="I87" s="609"/>
      <c r="J87" s="226"/>
    </row>
    <row r="88" spans="1:10" x14ac:dyDescent="0.2">
      <c r="I88" s="609"/>
    </row>
    <row r="89" spans="1:10" x14ac:dyDescent="0.2">
      <c r="A89" s="167" t="s">
        <v>584</v>
      </c>
      <c r="B89" s="164"/>
      <c r="I89" s="609"/>
    </row>
    <row r="90" spans="1:10" x14ac:dyDescent="0.2">
      <c r="A90" s="628" t="s">
        <v>585</v>
      </c>
      <c r="B90" s="225">
        <f>B18</f>
        <v>0</v>
      </c>
      <c r="C90" s="225">
        <f t="shared" ref="C90:H90" si="26">C18</f>
        <v>0</v>
      </c>
      <c r="D90" s="225">
        <f t="shared" si="26"/>
        <v>0</v>
      </c>
      <c r="E90" s="225">
        <f t="shared" si="26"/>
        <v>0</v>
      </c>
      <c r="F90" s="225">
        <f t="shared" si="26"/>
        <v>0</v>
      </c>
      <c r="G90" s="225">
        <f t="shared" si="26"/>
        <v>0</v>
      </c>
      <c r="H90" s="225">
        <f t="shared" si="26"/>
        <v>16101</v>
      </c>
      <c r="I90" s="609"/>
      <c r="J90" s="225"/>
    </row>
    <row r="91" spans="1:10" x14ac:dyDescent="0.2">
      <c r="A91" s="628" t="s">
        <v>586</v>
      </c>
      <c r="B91" s="225">
        <f>B38</f>
        <v>0</v>
      </c>
      <c r="C91" s="225">
        <f t="shared" ref="C91:H91" si="27">C38</f>
        <v>0</v>
      </c>
      <c r="D91" s="225">
        <f t="shared" si="27"/>
        <v>31358.97</v>
      </c>
      <c r="E91" s="225">
        <f t="shared" si="27"/>
        <v>0</v>
      </c>
      <c r="F91" s="225">
        <f t="shared" si="27"/>
        <v>0</v>
      </c>
      <c r="G91" s="225">
        <f t="shared" si="27"/>
        <v>0</v>
      </c>
      <c r="H91" s="225">
        <f t="shared" ca="1" si="27"/>
        <v>31986.149400000002</v>
      </c>
      <c r="I91" s="609"/>
      <c r="J91" s="225"/>
    </row>
    <row r="92" spans="1:10" x14ac:dyDescent="0.2">
      <c r="A92" s="628" t="s">
        <v>584</v>
      </c>
      <c r="B92" s="855">
        <f>+B90-B91</f>
        <v>0</v>
      </c>
      <c r="C92" s="855">
        <f t="shared" ref="C92" si="28">+C90-C91</f>
        <v>0</v>
      </c>
      <c r="D92" s="855">
        <f t="shared" ref="D92" si="29">+D90-D91</f>
        <v>-31358.97</v>
      </c>
      <c r="E92" s="855">
        <f t="shared" ref="E92" si="30">+E90-E91</f>
        <v>0</v>
      </c>
      <c r="F92" s="855">
        <f t="shared" ref="F92" si="31">+F90-F91</f>
        <v>0</v>
      </c>
      <c r="G92" s="855">
        <f t="shared" ref="G92" si="32">+G90-G91</f>
        <v>0</v>
      </c>
      <c r="H92" s="855">
        <f t="shared" ref="H92" ca="1" si="33">+H90-H91</f>
        <v>-15885.149400000002</v>
      </c>
      <c r="I92" s="609"/>
      <c r="J92" s="225"/>
    </row>
    <row r="93" spans="1:10" x14ac:dyDescent="0.2">
      <c r="A93" s="628" t="s">
        <v>587</v>
      </c>
      <c r="B93" s="226" t="str">
        <f>IF(ISERROR((+B90/B91)),"",(+B90/B91))</f>
        <v/>
      </c>
      <c r="C93" s="226" t="str">
        <f t="shared" ref="C93:H93" si="34">IF(ISERROR((+C90/C91)),"",(+C90/C91))</f>
        <v/>
      </c>
      <c r="D93" s="226">
        <f t="shared" si="34"/>
        <v>0</v>
      </c>
      <c r="E93" s="226" t="str">
        <f t="shared" si="34"/>
        <v/>
      </c>
      <c r="F93" s="226" t="str">
        <f t="shared" si="34"/>
        <v/>
      </c>
      <c r="G93" s="226" t="str">
        <f t="shared" si="34"/>
        <v/>
      </c>
      <c r="H93" s="226">
        <f t="shared" ca="1" si="34"/>
        <v>0.50337412605219678</v>
      </c>
      <c r="I93" s="609"/>
      <c r="J93" s="226"/>
    </row>
    <row r="94" spans="1:10" x14ac:dyDescent="0.2">
      <c r="I94" s="609"/>
    </row>
    <row r="95" spans="1:10" x14ac:dyDescent="0.2">
      <c r="A95" s="167" t="s">
        <v>588</v>
      </c>
      <c r="B95" s="164"/>
      <c r="I95" s="609"/>
    </row>
    <row r="96" spans="1:10" x14ac:dyDescent="0.2">
      <c r="A96" s="628" t="s">
        <v>589</v>
      </c>
      <c r="B96" s="225">
        <f>B19</f>
        <v>0</v>
      </c>
      <c r="C96" s="225">
        <f t="shared" ref="C96:H96" si="35">C19</f>
        <v>0</v>
      </c>
      <c r="D96" s="225">
        <f t="shared" si="35"/>
        <v>1902.41</v>
      </c>
      <c r="E96" s="225">
        <f t="shared" si="35"/>
        <v>0</v>
      </c>
      <c r="F96" s="225">
        <f t="shared" si="35"/>
        <v>0</v>
      </c>
      <c r="G96" s="225">
        <f t="shared" si="35"/>
        <v>0</v>
      </c>
      <c r="H96" s="225">
        <f t="shared" si="35"/>
        <v>1902</v>
      </c>
      <c r="I96" s="609"/>
      <c r="J96" s="225"/>
    </row>
    <row r="97" spans="1:10" x14ac:dyDescent="0.2">
      <c r="A97" s="628" t="s">
        <v>590</v>
      </c>
      <c r="B97" s="225">
        <f>B39</f>
        <v>0</v>
      </c>
      <c r="C97" s="225">
        <f t="shared" ref="C97:H97" si="36">C39</f>
        <v>0</v>
      </c>
      <c r="D97" s="225">
        <f t="shared" si="36"/>
        <v>29221.96</v>
      </c>
      <c r="E97" s="225">
        <f t="shared" si="36"/>
        <v>0</v>
      </c>
      <c r="F97" s="225">
        <f t="shared" si="36"/>
        <v>0</v>
      </c>
      <c r="G97" s="225">
        <f t="shared" si="36"/>
        <v>0</v>
      </c>
      <c r="H97" s="225">
        <f t="shared" ca="1" si="36"/>
        <v>29806.3992</v>
      </c>
      <c r="I97" s="609"/>
      <c r="J97" s="225"/>
    </row>
    <row r="98" spans="1:10" x14ac:dyDescent="0.2">
      <c r="A98" s="628" t="s">
        <v>588</v>
      </c>
      <c r="B98" s="855">
        <f>+B96-B97</f>
        <v>0</v>
      </c>
      <c r="C98" s="855">
        <f t="shared" ref="C98" si="37">+C96-C97</f>
        <v>0</v>
      </c>
      <c r="D98" s="855">
        <f t="shared" ref="D98" si="38">+D96-D97</f>
        <v>-27319.55</v>
      </c>
      <c r="E98" s="855">
        <f t="shared" ref="E98" si="39">+E96-E97</f>
        <v>0</v>
      </c>
      <c r="F98" s="855">
        <f t="shared" ref="F98" si="40">+F96-F97</f>
        <v>0</v>
      </c>
      <c r="G98" s="855">
        <f t="shared" ref="G98" si="41">+G96-G97</f>
        <v>0</v>
      </c>
      <c r="H98" s="855">
        <f t="shared" ref="H98" ca="1" si="42">+H96-H97</f>
        <v>-27904.3992</v>
      </c>
      <c r="I98" s="609"/>
      <c r="J98" s="225"/>
    </row>
    <row r="99" spans="1:10" x14ac:dyDescent="0.2">
      <c r="A99" s="628" t="s">
        <v>591</v>
      </c>
      <c r="B99" s="226" t="str">
        <f>IF(ISERROR((+B96/B97)),"",(+B96/B97))</f>
        <v/>
      </c>
      <c r="C99" s="226" t="str">
        <f t="shared" ref="C99:H99" si="43">IF(ISERROR((+C96/C97)),"",(+C96/C97))</f>
        <v/>
      </c>
      <c r="D99" s="226">
        <f t="shared" si="43"/>
        <v>6.5102067075582887E-2</v>
      </c>
      <c r="E99" s="226" t="str">
        <f t="shared" si="43"/>
        <v/>
      </c>
      <c r="F99" s="226" t="str">
        <f t="shared" si="43"/>
        <v/>
      </c>
      <c r="G99" s="226" t="str">
        <f t="shared" si="43"/>
        <v/>
      </c>
      <c r="H99" s="226">
        <f t="shared" ca="1" si="43"/>
        <v>6.3811800521010265E-2</v>
      </c>
      <c r="I99" s="609"/>
      <c r="J99" s="226"/>
    </row>
    <row r="100" spans="1:10" x14ac:dyDescent="0.2">
      <c r="I100" s="609"/>
    </row>
    <row r="101" spans="1:10" x14ac:dyDescent="0.2">
      <c r="A101" s="167" t="s">
        <v>592</v>
      </c>
      <c r="B101" s="164"/>
      <c r="I101" s="609"/>
    </row>
    <row r="102" spans="1:10" x14ac:dyDescent="0.2">
      <c r="A102" s="628" t="s">
        <v>593</v>
      </c>
      <c r="B102" s="225">
        <f>SUM(B18:B19)</f>
        <v>0</v>
      </c>
      <c r="C102" s="225">
        <f t="shared" ref="C102:H102" si="44">SUM(C18:C19)</f>
        <v>0</v>
      </c>
      <c r="D102" s="225">
        <f t="shared" si="44"/>
        <v>1902.41</v>
      </c>
      <c r="E102" s="225">
        <f t="shared" si="44"/>
        <v>0</v>
      </c>
      <c r="F102" s="225">
        <f t="shared" si="44"/>
        <v>0</v>
      </c>
      <c r="G102" s="225">
        <f t="shared" si="44"/>
        <v>0</v>
      </c>
      <c r="H102" s="225">
        <f t="shared" si="44"/>
        <v>18003</v>
      </c>
      <c r="I102" s="609"/>
      <c r="J102" s="225"/>
    </row>
    <row r="103" spans="1:10" x14ac:dyDescent="0.2">
      <c r="A103" s="628" t="s">
        <v>594</v>
      </c>
      <c r="B103" s="225">
        <f>SUM(B38:B39)</f>
        <v>0</v>
      </c>
      <c r="C103" s="225">
        <f t="shared" ref="C103:H103" si="45">SUM(C38:C39)</f>
        <v>0</v>
      </c>
      <c r="D103" s="225">
        <f t="shared" si="45"/>
        <v>60580.93</v>
      </c>
      <c r="E103" s="225">
        <f t="shared" si="45"/>
        <v>0</v>
      </c>
      <c r="F103" s="225">
        <f t="shared" si="45"/>
        <v>0</v>
      </c>
      <c r="G103" s="225">
        <f t="shared" si="45"/>
        <v>0</v>
      </c>
      <c r="H103" s="225">
        <f t="shared" ca="1" si="45"/>
        <v>61792.548600000002</v>
      </c>
      <c r="I103" s="609"/>
      <c r="J103" s="225"/>
    </row>
    <row r="104" spans="1:10" x14ac:dyDescent="0.2">
      <c r="A104" s="628" t="s">
        <v>592</v>
      </c>
      <c r="B104" s="855">
        <f>+B102-B103</f>
        <v>0</v>
      </c>
      <c r="C104" s="855">
        <f t="shared" ref="C104" si="46">+C102-C103</f>
        <v>0</v>
      </c>
      <c r="D104" s="855">
        <f t="shared" ref="D104" si="47">+D102-D103</f>
        <v>-58678.52</v>
      </c>
      <c r="E104" s="855">
        <f t="shared" ref="E104" si="48">+E102-E103</f>
        <v>0</v>
      </c>
      <c r="F104" s="855">
        <f t="shared" ref="F104" si="49">+F102-F103</f>
        <v>0</v>
      </c>
      <c r="G104" s="855">
        <f t="shared" ref="G104" si="50">+G102-G103</f>
        <v>0</v>
      </c>
      <c r="H104" s="855">
        <f t="shared" ref="H104" ca="1" si="51">+H102-H103</f>
        <v>-43789.548600000002</v>
      </c>
      <c r="I104" s="609"/>
      <c r="J104" s="225"/>
    </row>
    <row r="105" spans="1:10" x14ac:dyDescent="0.2">
      <c r="A105" s="628" t="s">
        <v>595</v>
      </c>
      <c r="B105" s="226" t="str">
        <f>IF(ISERROR((+B102/B103)),"",(+B102/B103))</f>
        <v/>
      </c>
      <c r="C105" s="226" t="str">
        <f t="shared" ref="C105:H105" si="52">IF(ISERROR((+C102/C103)),"",(+C102/C103))</f>
        <v/>
      </c>
      <c r="D105" s="226">
        <f t="shared" si="52"/>
        <v>3.14027863223625E-2</v>
      </c>
      <c r="E105" s="226" t="str">
        <f t="shared" si="52"/>
        <v/>
      </c>
      <c r="F105" s="226" t="str">
        <f t="shared" si="52"/>
        <v/>
      </c>
      <c r="G105" s="226" t="str">
        <f t="shared" si="52"/>
        <v/>
      </c>
      <c r="H105" s="226">
        <f t="shared" ca="1" si="52"/>
        <v>0.29134580799601456</v>
      </c>
      <c r="I105" s="226"/>
      <c r="J105" s="226"/>
    </row>
    <row r="110" spans="1:10" x14ac:dyDescent="0.2">
      <c r="A110" s="181" t="s">
        <v>596</v>
      </c>
      <c r="B110" s="181">
        <f>+B60</f>
        <v>2019</v>
      </c>
      <c r="C110" s="181">
        <f t="shared" ref="C110:E110" si="53">+C60</f>
        <v>2020</v>
      </c>
      <c r="D110" s="181">
        <f t="shared" si="53"/>
        <v>2021</v>
      </c>
      <c r="E110" s="181" t="str">
        <f t="shared" si="53"/>
        <v>Trailing 12</v>
      </c>
      <c r="F110" s="181" t="str">
        <f>LEFT(F31,4)&amp;" Ann."</f>
        <v>2022 Ann.</v>
      </c>
      <c r="G110" s="181" t="s">
        <v>468</v>
      </c>
      <c r="H110" s="181" t="s">
        <v>445</v>
      </c>
      <c r="I110" s="181"/>
      <c r="J110" s="181"/>
    </row>
  </sheetData>
  <sheetProtection algorithmName="SHA-512" hashValue="2FKKTk5l57gtOKUnr3Ha++qIQF625cQ0yp/9YEgAqutlt1fwRUyk2hKs0hkZUvVu+s/A2jAYqojjei0ZhyGQPA==" saltValue="Og8zRdHtee1ZnzVtZPSMZw==" spinCount="100000" sheet="1" objects="1" scenarios="1"/>
  <mergeCells count="8">
    <mergeCell ref="F59:F60"/>
    <mergeCell ref="G59:G60"/>
    <mergeCell ref="A64:H64"/>
    <mergeCell ref="A1:G1"/>
    <mergeCell ref="A3:G3"/>
    <mergeCell ref="F4:F5"/>
    <mergeCell ref="G4:G5"/>
    <mergeCell ref="A29:G29"/>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A1CD38-0102-4834-932D-032EA85C1A01}">
  <sheetPr codeName="Sheet13">
    <tabColor rgb="FF7030A0"/>
  </sheetPr>
  <dimension ref="A1"/>
  <sheetViews>
    <sheetView workbookViewId="0">
      <selection sqref="A1:L1"/>
    </sheetView>
  </sheetViews>
  <sheetFormatPr baseColWidth="10" defaultColWidth="9.1640625" defaultRowHeight="15" x14ac:dyDescent="0.2"/>
  <cols>
    <col min="1" max="16384" width="9.1640625" style="157"/>
  </cols>
  <sheetData/>
  <sheetProtection algorithmName="SHA-512" hashValue="Fkhf8VTmuJ5okS783noII0hOV3M76UGDEbQc99yWZTQinc+3CXgH/M8BeVmUHvYEWrz4IeTS0Bs7FtsTH8INfQ==" saltValue="9whKpeB/RnD6OVvFxmR4rA==" spinCount="100000" sheet="1" objects="1" scenarios="1"/>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9905EA-A685-4ADC-9128-6A2E339F78B9}">
  <sheetPr codeName="Sheet14">
    <tabColor rgb="FF7030A0"/>
    <pageSetUpPr fitToPage="1"/>
  </sheetPr>
  <dimension ref="A1:C41"/>
  <sheetViews>
    <sheetView workbookViewId="0">
      <selection sqref="A1:L1"/>
    </sheetView>
  </sheetViews>
  <sheetFormatPr baseColWidth="10" defaultColWidth="9.1640625" defaultRowHeight="15" x14ac:dyDescent="0.2"/>
  <cols>
    <col min="1" max="1" width="9.1640625" style="157"/>
    <col min="2" max="2" width="53.6640625" style="157" bestFit="1" customWidth="1"/>
    <col min="3" max="3" width="108.33203125" style="157" bestFit="1" customWidth="1"/>
    <col min="4" max="16384" width="9.1640625" style="157"/>
  </cols>
  <sheetData>
    <row r="1" spans="1:3" x14ac:dyDescent="0.2">
      <c r="A1" s="881" t="s">
        <v>597</v>
      </c>
      <c r="B1" s="881"/>
      <c r="C1" s="881"/>
    </row>
    <row r="2" spans="1:3" x14ac:dyDescent="0.2">
      <c r="A2" s="793">
        <v>1</v>
      </c>
      <c r="B2" s="791" t="s">
        <v>475</v>
      </c>
    </row>
    <row r="3" spans="1:3" x14ac:dyDescent="0.2">
      <c r="A3" s="794">
        <v>2</v>
      </c>
      <c r="B3" s="795" t="s">
        <v>477</v>
      </c>
      <c r="C3" s="217" t="s">
        <v>598</v>
      </c>
    </row>
    <row r="4" spans="1:3" x14ac:dyDescent="0.2">
      <c r="A4" s="793">
        <v>3</v>
      </c>
      <c r="B4" s="791" t="s">
        <v>479</v>
      </c>
      <c r="C4" s="157" t="s">
        <v>598</v>
      </c>
    </row>
    <row r="5" spans="1:3" x14ac:dyDescent="0.2">
      <c r="A5" s="794">
        <v>4</v>
      </c>
      <c r="B5" s="795" t="s">
        <v>481</v>
      </c>
      <c r="C5" s="217" t="s">
        <v>599</v>
      </c>
    </row>
    <row r="6" spans="1:3" x14ac:dyDescent="0.2">
      <c r="A6" s="793">
        <v>4403</v>
      </c>
      <c r="B6" s="791" t="s">
        <v>158</v>
      </c>
      <c r="C6" s="157" t="s">
        <v>600</v>
      </c>
    </row>
    <row r="7" spans="1:3" x14ac:dyDescent="0.2">
      <c r="A7" s="794">
        <v>4401</v>
      </c>
      <c r="B7" s="795" t="s">
        <v>145</v>
      </c>
      <c r="C7" s="217" t="s">
        <v>600</v>
      </c>
    </row>
    <row r="8" spans="1:3" x14ac:dyDescent="0.2">
      <c r="A8" s="793">
        <v>4404</v>
      </c>
      <c r="B8" s="791" t="s">
        <v>160</v>
      </c>
      <c r="C8" s="157" t="s">
        <v>600</v>
      </c>
    </row>
    <row r="9" spans="1:3" x14ac:dyDescent="0.2">
      <c r="A9" s="794">
        <v>4405</v>
      </c>
      <c r="B9" s="795" t="s">
        <v>368</v>
      </c>
      <c r="C9" s="217" t="s">
        <v>600</v>
      </c>
    </row>
    <row r="10" spans="1:3" x14ac:dyDescent="0.2">
      <c r="A10" s="793">
        <v>4402</v>
      </c>
      <c r="B10" s="791" t="s">
        <v>367</v>
      </c>
      <c r="C10" s="157" t="s">
        <v>600</v>
      </c>
    </row>
    <row r="11" spans="1:3" x14ac:dyDescent="0.2">
      <c r="A11" s="794">
        <v>4998</v>
      </c>
      <c r="B11" s="795" t="s">
        <v>483</v>
      </c>
      <c r="C11" s="217" t="s">
        <v>601</v>
      </c>
    </row>
    <row r="12" spans="1:3" x14ac:dyDescent="0.2">
      <c r="A12" s="793">
        <v>4134</v>
      </c>
      <c r="B12" s="791" t="s">
        <v>484</v>
      </c>
      <c r="C12" s="218" t="s">
        <v>602</v>
      </c>
    </row>
    <row r="15" spans="1:3" x14ac:dyDescent="0.2">
      <c r="A15" s="881" t="s">
        <v>603</v>
      </c>
      <c r="B15" s="881"/>
      <c r="C15" s="881"/>
    </row>
    <row r="17" spans="1:3" ht="16" thickBot="1" x14ac:dyDescent="0.25">
      <c r="A17" s="219" t="s">
        <v>604</v>
      </c>
      <c r="B17" s="219" t="s">
        <v>605</v>
      </c>
      <c r="C17" s="219" t="s">
        <v>606</v>
      </c>
    </row>
    <row r="18" spans="1:3" x14ac:dyDescent="0.2">
      <c r="A18" s="793">
        <v>5701</v>
      </c>
      <c r="B18" s="791" t="s">
        <v>558</v>
      </c>
      <c r="C18" s="157" t="s">
        <v>607</v>
      </c>
    </row>
    <row r="19" spans="1:3" x14ac:dyDescent="0.2">
      <c r="A19" s="794">
        <v>5305</v>
      </c>
      <c r="B19" s="795" t="s">
        <v>156</v>
      </c>
      <c r="C19" s="217" t="s">
        <v>608</v>
      </c>
    </row>
    <row r="20" spans="1:3" x14ac:dyDescent="0.2">
      <c r="A20" s="793">
        <v>5306</v>
      </c>
      <c r="B20" s="791" t="s">
        <v>157</v>
      </c>
      <c r="C20" s="157" t="s">
        <v>609</v>
      </c>
    </row>
    <row r="21" spans="1:3" x14ac:dyDescent="0.2">
      <c r="A21" s="794">
        <v>5404</v>
      </c>
      <c r="B21" s="795" t="s">
        <v>158</v>
      </c>
      <c r="C21" s="217" t="s">
        <v>610</v>
      </c>
    </row>
    <row r="22" spans="1:3" x14ac:dyDescent="0.2">
      <c r="A22" s="793">
        <v>5401</v>
      </c>
      <c r="B22" s="791" t="s">
        <v>559</v>
      </c>
      <c r="C22" s="157" t="s">
        <v>611</v>
      </c>
    </row>
    <row r="23" spans="1:3" x14ac:dyDescent="0.2">
      <c r="A23" s="794">
        <v>5405</v>
      </c>
      <c r="B23" s="795" t="s">
        <v>160</v>
      </c>
      <c r="C23" s="217" t="s">
        <v>612</v>
      </c>
    </row>
    <row r="24" spans="1:3" x14ac:dyDescent="0.2">
      <c r="A24" s="793">
        <v>5403</v>
      </c>
      <c r="B24" s="791" t="s">
        <v>161</v>
      </c>
      <c r="C24" s="157" t="s">
        <v>613</v>
      </c>
    </row>
    <row r="25" spans="1:3" x14ac:dyDescent="0.2">
      <c r="A25" s="794">
        <v>5402</v>
      </c>
      <c r="B25" s="795" t="s">
        <v>162</v>
      </c>
      <c r="C25" s="217" t="s">
        <v>614</v>
      </c>
    </row>
    <row r="26" spans="1:3" x14ac:dyDescent="0.2">
      <c r="A26" s="793">
        <v>5603</v>
      </c>
      <c r="B26" s="791" t="s">
        <v>560</v>
      </c>
      <c r="C26" s="157" t="s">
        <v>615</v>
      </c>
    </row>
    <row r="27" spans="1:3" x14ac:dyDescent="0.2">
      <c r="A27" s="794">
        <v>5020</v>
      </c>
      <c r="B27" s="795" t="s">
        <v>164</v>
      </c>
      <c r="C27" s="217" t="s">
        <v>616</v>
      </c>
    </row>
    <row r="28" spans="1:3" x14ac:dyDescent="0.2">
      <c r="A28" s="793">
        <v>5104</v>
      </c>
      <c r="B28" s="791" t="s">
        <v>617</v>
      </c>
      <c r="C28" s="157" t="s">
        <v>618</v>
      </c>
    </row>
    <row r="29" spans="1:3" x14ac:dyDescent="0.2">
      <c r="A29" s="794">
        <v>5109</v>
      </c>
      <c r="B29" s="795" t="s">
        <v>165</v>
      </c>
      <c r="C29" s="217" t="s">
        <v>619</v>
      </c>
    </row>
    <row r="30" spans="1:3" x14ac:dyDescent="0.2">
      <c r="A30" s="793">
        <v>5200</v>
      </c>
      <c r="B30" s="791" t="s">
        <v>166</v>
      </c>
      <c r="C30" s="157" t="s">
        <v>620</v>
      </c>
    </row>
    <row r="31" spans="1:3" x14ac:dyDescent="0.2">
      <c r="A31" s="794">
        <v>5301</v>
      </c>
      <c r="B31" s="220" t="s">
        <v>561</v>
      </c>
      <c r="C31" s="217"/>
    </row>
    <row r="32" spans="1:3" x14ac:dyDescent="0.2">
      <c r="A32" s="793">
        <v>5053</v>
      </c>
      <c r="B32" s="791" t="s">
        <v>168</v>
      </c>
    </row>
    <row r="33" spans="1:3" x14ac:dyDescent="0.2">
      <c r="A33" s="794">
        <v>5604</v>
      </c>
      <c r="B33" s="795" t="s">
        <v>169</v>
      </c>
      <c r="C33" s="217" t="s">
        <v>621</v>
      </c>
    </row>
    <row r="34" spans="1:3" x14ac:dyDescent="0.2">
      <c r="A34" s="793">
        <v>5062</v>
      </c>
      <c r="B34" s="791" t="s">
        <v>170</v>
      </c>
      <c r="C34" s="157" t="s">
        <v>622</v>
      </c>
    </row>
    <row r="35" spans="1:3" x14ac:dyDescent="0.2">
      <c r="A35" s="794">
        <v>5302</v>
      </c>
      <c r="B35" s="795" t="s">
        <v>171</v>
      </c>
      <c r="C35" s="217" t="s">
        <v>623</v>
      </c>
    </row>
    <row r="36" spans="1:3" x14ac:dyDescent="0.2">
      <c r="A36" s="793">
        <v>5001</v>
      </c>
      <c r="B36" s="791" t="s">
        <v>172</v>
      </c>
      <c r="C36" s="157" t="s">
        <v>624</v>
      </c>
    </row>
    <row r="37" spans="1:3" x14ac:dyDescent="0.2">
      <c r="A37" s="794">
        <v>5061</v>
      </c>
      <c r="B37" s="795" t="s">
        <v>173</v>
      </c>
      <c r="C37" s="217" t="s">
        <v>625</v>
      </c>
    </row>
    <row r="38" spans="1:3" x14ac:dyDescent="0.2">
      <c r="A38" s="793">
        <v>5304</v>
      </c>
      <c r="B38" s="791" t="s">
        <v>174</v>
      </c>
      <c r="C38" s="157" t="s">
        <v>626</v>
      </c>
    </row>
    <row r="39" spans="1:3" x14ac:dyDescent="0.2">
      <c r="A39" s="794">
        <v>5064</v>
      </c>
      <c r="B39" s="795" t="s">
        <v>175</v>
      </c>
      <c r="C39" s="217" t="s">
        <v>627</v>
      </c>
    </row>
    <row r="40" spans="1:3" x14ac:dyDescent="0.2">
      <c r="A40" s="793">
        <v>5601</v>
      </c>
      <c r="B40" s="791" t="s">
        <v>176</v>
      </c>
      <c r="C40" s="157" t="s">
        <v>628</v>
      </c>
    </row>
    <row r="41" spans="1:3" x14ac:dyDescent="0.2">
      <c r="A41" s="794">
        <v>5000</v>
      </c>
      <c r="B41" s="795" t="s">
        <v>515</v>
      </c>
      <c r="C41" s="217" t="s">
        <v>629</v>
      </c>
    </row>
  </sheetData>
  <sheetProtection algorithmName="SHA-512" hashValue="kB28v4rBZQQnzs2M+1UoBo06FkNpQ4yp/E7TS9G2tfN14akA8I+7vkQJYWWFk0d8VbhhJIBPilkqWppNNIoEeQ==" saltValue="YK3BbDm/1Wo0pGZI4Uii2w==" spinCount="100000" sheet="1" objects="1" scenarios="1"/>
  <mergeCells count="2">
    <mergeCell ref="A1:C1"/>
    <mergeCell ref="A15:C15"/>
  </mergeCells>
  <pageMargins left="0.2" right="0.2" top="0.25" bottom="0.25" header="0.3" footer="0.3"/>
  <pageSetup scale="80"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FFC64E-E2C4-49DD-9354-6DEC28E1B8F3}">
  <sheetPr>
    <tabColor rgb="FF7030A0"/>
  </sheetPr>
  <dimension ref="A1:AC26"/>
  <sheetViews>
    <sheetView workbookViewId="0">
      <selection sqref="A1:L1"/>
    </sheetView>
  </sheetViews>
  <sheetFormatPr baseColWidth="10" defaultColWidth="9.1640625" defaultRowHeight="13" x14ac:dyDescent="0.15"/>
  <cols>
    <col min="1" max="1" width="31.5" style="40" customWidth="1"/>
    <col min="2" max="2" width="45.5" style="353" customWidth="1"/>
    <col min="3" max="3" width="9.1640625" style="40"/>
    <col min="4" max="4" width="12.33203125" style="40" bestFit="1" customWidth="1"/>
    <col min="5" max="8" width="9.1640625" style="40"/>
    <col min="9" max="9" width="13.83203125" style="40" bestFit="1" customWidth="1"/>
    <col min="10" max="10" width="13.83203125" style="40" customWidth="1"/>
    <col min="11" max="11" width="11.1640625" style="40" bestFit="1" customWidth="1"/>
    <col min="12" max="12" width="11.1640625" style="40" customWidth="1"/>
    <col min="13" max="13" width="12.1640625" style="40" bestFit="1" customWidth="1"/>
    <col min="14" max="14" width="12.1640625" style="40" customWidth="1"/>
    <col min="15" max="15" width="9.1640625" style="40"/>
    <col min="16" max="16" width="13.83203125" style="40" bestFit="1" customWidth="1"/>
    <col min="17" max="17" width="13.83203125" style="40" customWidth="1"/>
    <col min="18" max="24" width="9.1640625" style="40"/>
    <col min="25" max="25" width="21.6640625" style="40" customWidth="1"/>
    <col min="26" max="16384" width="9.1640625" style="40"/>
  </cols>
  <sheetData>
    <row r="1" spans="1:29" ht="15" x14ac:dyDescent="0.2">
      <c r="A1" s="896" t="s">
        <v>630</v>
      </c>
      <c r="B1" s="896"/>
      <c r="D1" s="349" t="s">
        <v>631</v>
      </c>
      <c r="E1" s="349" t="s">
        <v>632</v>
      </c>
      <c r="F1" s="349" t="s">
        <v>633</v>
      </c>
      <c r="G1" s="349" t="s">
        <v>634</v>
      </c>
      <c r="H1" s="349" t="s">
        <v>635</v>
      </c>
      <c r="I1" s="349" t="s">
        <v>636</v>
      </c>
      <c r="J1" s="349" t="s">
        <v>637</v>
      </c>
      <c r="K1" s="349" t="s">
        <v>638</v>
      </c>
      <c r="L1" s="349" t="s">
        <v>639</v>
      </c>
      <c r="M1" s="349" t="s">
        <v>640</v>
      </c>
      <c r="N1" s="349" t="s">
        <v>641</v>
      </c>
      <c r="O1" s="349" t="s">
        <v>642</v>
      </c>
      <c r="P1" s="349" t="s">
        <v>643</v>
      </c>
      <c r="Q1" s="349" t="s">
        <v>644</v>
      </c>
      <c r="R1" s="349" t="s">
        <v>645</v>
      </c>
      <c r="S1" s="349" t="s">
        <v>646</v>
      </c>
      <c r="T1" s="349" t="s">
        <v>647</v>
      </c>
      <c r="U1" s="349" t="s">
        <v>648</v>
      </c>
      <c r="V1" s="349" t="s">
        <v>649</v>
      </c>
      <c r="W1" s="349" t="s">
        <v>650</v>
      </c>
      <c r="X1" s="349" t="s">
        <v>651</v>
      </c>
      <c r="Y1" s="349" t="s">
        <v>652</v>
      </c>
      <c r="Z1" s="349" t="s">
        <v>653</v>
      </c>
      <c r="AA1" s="349" t="s">
        <v>654</v>
      </c>
      <c r="AB1" s="349" t="s">
        <v>655</v>
      </c>
      <c r="AC1" s="349"/>
    </row>
    <row r="2" spans="1:29" x14ac:dyDescent="0.15">
      <c r="A2" s="40" t="s">
        <v>656</v>
      </c>
      <c r="B2" s="357">
        <f ca="1">TODAY()</f>
        <v>44867</v>
      </c>
      <c r="D2" s="350" t="str">
        <f ca="1">TEXT(B2, "MMMM D, YYYY")</f>
        <v>November 2, 2022</v>
      </c>
      <c r="E2" s="349" t="str">
        <f>B3</f>
        <v xml:space="preserve">Echo Hills Estates </v>
      </c>
      <c r="F2" s="349" t="str">
        <f>B4</f>
        <v xml:space="preserve"> 1700 S State Street, Hemet, CA </v>
      </c>
      <c r="G2" s="349" t="str">
        <f>B5</f>
        <v>Elias Weiner</v>
      </c>
      <c r="H2" s="349" t="str">
        <f>B6</f>
        <v>Owner of Record</v>
      </c>
      <c r="I2" s="351" t="str">
        <f>TEXT(B7,"$##,###,###")</f>
        <v>$5,750,000</v>
      </c>
      <c r="J2" s="351" t="str">
        <f>B8</f>
        <v xml:space="preserve">One Million  </v>
      </c>
      <c r="K2" s="351" t="str">
        <f>TEXT(B9,"$###,###")</f>
        <v>$20,000</v>
      </c>
      <c r="L2" s="351" t="str">
        <f>B10</f>
        <v>Twenty Thousand</v>
      </c>
      <c r="M2" s="351" t="e">
        <f>TEXT(B11,"$##,###,###")</f>
        <v>#REF!</v>
      </c>
      <c r="N2" s="351" t="str">
        <f>B12</f>
        <v>Three Hundred Thousand</v>
      </c>
      <c r="O2" s="352" t="e">
        <f>TEXT(B13,"##%")</f>
        <v>#REF!</v>
      </c>
      <c r="P2" s="351" t="e">
        <f>TEXT(B14,"$##,###,###")</f>
        <v>#REF!</v>
      </c>
      <c r="Q2" s="351" t="str">
        <f>B15</f>
        <v>Seven Hundred Thousand</v>
      </c>
      <c r="R2" s="352" t="e">
        <f>TEXT(B16,"##%")</f>
        <v>#REF!</v>
      </c>
      <c r="S2" s="349">
        <f>B17</f>
        <v>45</v>
      </c>
      <c r="T2" s="349" t="str">
        <f>B18</f>
        <v>Forty-Five</v>
      </c>
      <c r="U2" s="349">
        <f>B19</f>
        <v>75</v>
      </c>
      <c r="V2" s="349" t="str">
        <f>B20</f>
        <v>Seventy-Five</v>
      </c>
      <c r="W2" s="349">
        <f>B21</f>
        <v>90</v>
      </c>
      <c r="X2" s="349" t="str">
        <f>B22</f>
        <v>Ninety</v>
      </c>
      <c r="Y2" s="350" t="str">
        <f ca="1">TEXT(B23, "DDDD, MMMM D, YYYY")</f>
        <v>Monday, November 7, 2022</v>
      </c>
      <c r="Z2" s="349" t="str">
        <f>B24</f>
        <v>Old Republic Title</v>
      </c>
      <c r="AA2" s="349" t="str">
        <f>B25</f>
        <v>California</v>
      </c>
      <c r="AB2" s="349" t="str">
        <f>B26</f>
        <v>Enter Broker Name Here</v>
      </c>
      <c r="AC2" s="349"/>
    </row>
    <row r="3" spans="1:29" x14ac:dyDescent="0.15">
      <c r="A3" s="40" t="s">
        <v>657</v>
      </c>
      <c r="B3" s="77" t="str">
        <f>LEFT(Proforma!C1,SEARCH("-",Proforma!C1)-1)</f>
        <v xml:space="preserve">Echo Hills Estates </v>
      </c>
    </row>
    <row r="4" spans="1:29" x14ac:dyDescent="0.15">
      <c r="A4" s="40" t="s">
        <v>658</v>
      </c>
      <c r="B4" s="77" t="str">
        <f>RIGHT(Proforma!C1,LEN(Proforma!C1)-SEARCH("-",Proforma!C1))</f>
        <v xml:space="preserve"> 1700 S State Street, Hemet, CA </v>
      </c>
    </row>
    <row r="5" spans="1:29" x14ac:dyDescent="0.15">
      <c r="A5" s="40" t="s">
        <v>634</v>
      </c>
      <c r="B5" s="707" t="s">
        <v>659</v>
      </c>
    </row>
    <row r="6" spans="1:29" x14ac:dyDescent="0.15">
      <c r="A6" s="40" t="s">
        <v>635</v>
      </c>
      <c r="B6" s="359" t="s">
        <v>660</v>
      </c>
    </row>
    <row r="7" spans="1:29" x14ac:dyDescent="0.15">
      <c r="A7" s="40" t="s">
        <v>43</v>
      </c>
      <c r="B7" s="354">
        <f>Proforma!D4</f>
        <v>5750000</v>
      </c>
    </row>
    <row r="8" spans="1:29" x14ac:dyDescent="0.15">
      <c r="A8" s="40" t="s">
        <v>661</v>
      </c>
      <c r="B8" s="360" t="s">
        <v>662</v>
      </c>
    </row>
    <row r="9" spans="1:29" x14ac:dyDescent="0.15">
      <c r="A9" s="40" t="s">
        <v>638</v>
      </c>
      <c r="B9" s="354">
        <v>20000</v>
      </c>
    </row>
    <row r="10" spans="1:29" x14ac:dyDescent="0.15">
      <c r="A10" s="40" t="s">
        <v>663</v>
      </c>
      <c r="B10" s="360" t="s">
        <v>664</v>
      </c>
    </row>
    <row r="11" spans="1:29" x14ac:dyDescent="0.15">
      <c r="A11" s="40" t="s">
        <v>665</v>
      </c>
      <c r="B11" s="355" t="e">
        <f>B7*(1-Proforma!#REF!)</f>
        <v>#REF!</v>
      </c>
    </row>
    <row r="12" spans="1:29" x14ac:dyDescent="0.15">
      <c r="A12" s="40" t="s">
        <v>666</v>
      </c>
      <c r="B12" s="360" t="s">
        <v>667</v>
      </c>
    </row>
    <row r="13" spans="1:29" x14ac:dyDescent="0.15">
      <c r="A13" s="40" t="s">
        <v>668</v>
      </c>
      <c r="B13" s="356" t="e">
        <f>B11/B7</f>
        <v>#REF!</v>
      </c>
    </row>
    <row r="14" spans="1:29" x14ac:dyDescent="0.15">
      <c r="A14" s="40" t="s">
        <v>643</v>
      </c>
      <c r="B14" s="358" t="e">
        <f>B7-B11</f>
        <v>#REF!</v>
      </c>
    </row>
    <row r="15" spans="1:29" x14ac:dyDescent="0.15">
      <c r="A15" s="40" t="s">
        <v>669</v>
      </c>
      <c r="B15" s="360" t="s">
        <v>670</v>
      </c>
    </row>
    <row r="16" spans="1:29" x14ac:dyDescent="0.15">
      <c r="A16" s="40" t="s">
        <v>671</v>
      </c>
      <c r="B16" s="356" t="e">
        <f>B14/B7</f>
        <v>#REF!</v>
      </c>
    </row>
    <row r="17" spans="1:2" x14ac:dyDescent="0.15">
      <c r="A17" s="40" t="s">
        <v>672</v>
      </c>
      <c r="B17" s="77">
        <v>45</v>
      </c>
    </row>
    <row r="18" spans="1:2" x14ac:dyDescent="0.15">
      <c r="A18" s="40" t="s">
        <v>673</v>
      </c>
      <c r="B18" s="361" t="s">
        <v>674</v>
      </c>
    </row>
    <row r="19" spans="1:2" x14ac:dyDescent="0.15">
      <c r="A19" s="40" t="s">
        <v>675</v>
      </c>
      <c r="B19" s="77">
        <v>75</v>
      </c>
    </row>
    <row r="20" spans="1:2" x14ac:dyDescent="0.15">
      <c r="A20" s="40" t="s">
        <v>676</v>
      </c>
      <c r="B20" s="361" t="s">
        <v>677</v>
      </c>
    </row>
    <row r="21" spans="1:2" x14ac:dyDescent="0.15">
      <c r="A21" s="40" t="s">
        <v>650</v>
      </c>
      <c r="B21" s="77">
        <v>90</v>
      </c>
    </row>
    <row r="22" spans="1:2" x14ac:dyDescent="0.15">
      <c r="A22" s="40" t="s">
        <v>678</v>
      </c>
      <c r="B22" s="361" t="s">
        <v>679</v>
      </c>
    </row>
    <row r="23" spans="1:2" x14ac:dyDescent="0.15">
      <c r="A23" s="40" t="s">
        <v>680</v>
      </c>
      <c r="B23" s="357">
        <f ca="1">5+B2</f>
        <v>44872</v>
      </c>
    </row>
    <row r="24" spans="1:2" x14ac:dyDescent="0.15">
      <c r="A24" s="40" t="s">
        <v>681</v>
      </c>
      <c r="B24" s="707" t="s">
        <v>682</v>
      </c>
    </row>
    <row r="25" spans="1:2" x14ac:dyDescent="0.15">
      <c r="A25" s="40" t="s">
        <v>683</v>
      </c>
      <c r="B25" s="707" t="s">
        <v>684</v>
      </c>
    </row>
    <row r="26" spans="1:2" x14ac:dyDescent="0.15">
      <c r="A26" s="40" t="s">
        <v>685</v>
      </c>
      <c r="B26" s="359" t="s">
        <v>686</v>
      </c>
    </row>
  </sheetData>
  <sheetProtection algorithmName="SHA-512" hashValue="UmjwDMvQAyXsTEtwvxRBLszuoTInc85TaOBuAiKCYt8sLgg+GBHFMlRHU0pHuFr+iYn9fkrTgLkghBKXLkBsXg==" saltValue="WhxIrH5bpt2/wBAEoPYfjg==" spinCount="100000" sheet="1" objects="1" scenarios="1"/>
  <mergeCells count="1">
    <mergeCell ref="A1:B1"/>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7C7F88-CAF0-4425-A084-0EAFE098B48C}">
  <sheetPr>
    <tabColor theme="9"/>
    <pageSetUpPr fitToPage="1"/>
  </sheetPr>
  <dimension ref="A1:AC112"/>
  <sheetViews>
    <sheetView workbookViewId="0">
      <selection activeCell="E4" sqref="E4"/>
    </sheetView>
  </sheetViews>
  <sheetFormatPr baseColWidth="10" defaultColWidth="0" defaultRowHeight="0" customHeight="1" zeroHeight="1" x14ac:dyDescent="0.2"/>
  <cols>
    <col min="1" max="1" width="1" style="378" customWidth="1"/>
    <col min="2" max="2" width="29.6640625" style="378" customWidth="1"/>
    <col min="3" max="3" width="15.33203125" style="378" customWidth="1"/>
    <col min="4" max="4" width="16.1640625" style="378" bestFit="1" customWidth="1"/>
    <col min="5" max="5" width="20.33203125" style="378" customWidth="1"/>
    <col min="6" max="7" width="10.83203125" style="379" bestFit="1" customWidth="1"/>
    <col min="8" max="9" width="10.1640625" style="379" bestFit="1" customWidth="1"/>
    <col min="10" max="10" width="12.33203125" style="379" customWidth="1"/>
    <col min="11" max="11" width="10.33203125" style="379" customWidth="1"/>
    <col min="12" max="13" width="10.1640625" style="379" bestFit="1" customWidth="1"/>
    <col min="14" max="14" width="11.83203125" style="379" customWidth="1"/>
    <col min="15" max="16" width="10.1640625" style="379" bestFit="1" customWidth="1"/>
    <col min="17" max="17" width="10.33203125" style="378" bestFit="1" customWidth="1"/>
    <col min="18" max="18" width="18.5" style="378" bestFit="1" customWidth="1"/>
    <col min="19" max="20" width="10.1640625" style="378" bestFit="1" customWidth="1"/>
    <col min="21" max="21" width="11.1640625" style="378" bestFit="1" customWidth="1"/>
    <col min="22" max="29" width="9.1640625" style="378" customWidth="1"/>
    <col min="30" max="16384" width="9.1640625" style="378" hidden="1"/>
  </cols>
  <sheetData>
    <row r="1" spans="1:21" ht="6.75" customHeight="1" x14ac:dyDescent="0.2"/>
    <row r="2" spans="1:21" ht="19" x14ac:dyDescent="0.25">
      <c r="B2" s="380" t="s">
        <v>687</v>
      </c>
      <c r="C2" s="381"/>
      <c r="D2" s="381"/>
      <c r="E2" s="381"/>
      <c r="F2" s="382"/>
      <c r="G2" s="382"/>
      <c r="H2" s="382"/>
      <c r="I2" s="382"/>
      <c r="J2" s="382"/>
      <c r="K2" s="382"/>
      <c r="L2" s="382"/>
      <c r="M2" s="382"/>
      <c r="N2" s="382"/>
      <c r="O2" s="382"/>
      <c r="P2" s="382"/>
      <c r="Q2" s="382"/>
      <c r="R2" s="382"/>
      <c r="S2" s="382"/>
      <c r="T2" s="382"/>
      <c r="U2" s="383"/>
    </row>
    <row r="3" spans="1:21" ht="5" customHeight="1" x14ac:dyDescent="0.2">
      <c r="B3" s="384"/>
      <c r="C3" s="385"/>
      <c r="D3" s="385"/>
      <c r="E3" s="385"/>
      <c r="F3" s="386"/>
      <c r="G3" s="386"/>
      <c r="H3" s="386"/>
      <c r="I3" s="386"/>
      <c r="J3" s="386"/>
      <c r="K3" s="386"/>
      <c r="L3" s="386"/>
      <c r="M3" s="386"/>
      <c r="N3" s="386"/>
      <c r="O3" s="386"/>
      <c r="P3" s="386"/>
      <c r="Q3" s="386"/>
      <c r="R3" s="386"/>
      <c r="S3" s="386"/>
      <c r="T3" s="386"/>
      <c r="U3" s="386"/>
    </row>
    <row r="4" spans="1:21" ht="16" x14ac:dyDescent="0.2">
      <c r="B4" s="384" t="s">
        <v>688</v>
      </c>
      <c r="C4" s="385"/>
      <c r="D4" s="387" t="s">
        <v>689</v>
      </c>
      <c r="E4" s="388"/>
      <c r="F4" s="389" t="s">
        <v>690</v>
      </c>
      <c r="G4" s="390">
        <v>10</v>
      </c>
      <c r="H4" s="386"/>
      <c r="I4" s="386"/>
      <c r="J4" s="386"/>
      <c r="K4" s="386"/>
      <c r="L4" s="386"/>
      <c r="M4" s="386"/>
      <c r="N4" s="391"/>
      <c r="O4" s="899"/>
      <c r="P4" s="899"/>
      <c r="Q4" s="899"/>
      <c r="R4" s="899"/>
      <c r="S4" s="899"/>
      <c r="T4" s="386"/>
      <c r="U4" s="386"/>
    </row>
    <row r="5" spans="1:21" ht="16" x14ac:dyDescent="0.2">
      <c r="A5" s="378" t="b">
        <f>AND(E5="Yes", H14&lt;Equity_Share_Sponsor)</f>
        <v>0</v>
      </c>
      <c r="B5" s="384" t="s">
        <v>691</v>
      </c>
      <c r="C5" s="385"/>
      <c r="D5" s="392" t="s">
        <v>692</v>
      </c>
      <c r="E5" s="393" t="s">
        <v>82</v>
      </c>
      <c r="F5" s="394" t="s">
        <v>693</v>
      </c>
      <c r="G5" s="395">
        <f>Proforma!D97</f>
        <v>5</v>
      </c>
      <c r="H5" s="396" t="s">
        <v>694</v>
      </c>
      <c r="I5" s="386"/>
      <c r="J5" s="386"/>
      <c r="K5" s="386"/>
      <c r="L5" s="386"/>
      <c r="M5" s="386"/>
      <c r="N5" s="391"/>
      <c r="O5" s="899"/>
      <c r="P5" s="899"/>
      <c r="Q5" s="899"/>
      <c r="R5" s="899"/>
      <c r="S5" s="899"/>
      <c r="T5" s="386"/>
      <c r="U5" s="386"/>
    </row>
    <row r="6" spans="1:21" ht="5" customHeight="1" x14ac:dyDescent="0.2">
      <c r="B6" s="397"/>
      <c r="C6" s="397"/>
      <c r="D6" s="398"/>
      <c r="E6" s="397"/>
      <c r="F6" s="399"/>
      <c r="G6" s="399"/>
      <c r="H6" s="399"/>
      <c r="I6" s="399"/>
      <c r="J6" s="399"/>
      <c r="K6" s="399"/>
      <c r="L6" s="399"/>
      <c r="M6" s="386"/>
      <c r="N6" s="399"/>
      <c r="O6" s="399"/>
      <c r="P6" s="399"/>
      <c r="Q6" s="397"/>
      <c r="R6" s="397"/>
      <c r="S6" s="397"/>
      <c r="T6" s="397"/>
      <c r="U6" s="397"/>
    </row>
    <row r="7" spans="1:21" ht="17" thickBot="1" x14ac:dyDescent="0.25">
      <c r="B7" s="400" t="s">
        <v>695</v>
      </c>
      <c r="C7" s="401" t="s">
        <v>696</v>
      </c>
      <c r="D7" s="401" t="s">
        <v>697</v>
      </c>
      <c r="E7" s="394"/>
      <c r="F7" s="401" t="s">
        <v>698</v>
      </c>
      <c r="G7" s="402">
        <f>Proforma!E102</f>
        <v>0.05</v>
      </c>
      <c r="H7" s="396" t="s">
        <v>699</v>
      </c>
      <c r="I7" s="399"/>
      <c r="J7" s="399"/>
      <c r="K7" s="399"/>
      <c r="L7" s="399"/>
      <c r="M7" s="386"/>
      <c r="N7" s="399"/>
      <c r="O7" s="399"/>
      <c r="P7" s="399"/>
      <c r="Q7" s="397"/>
      <c r="R7" s="397"/>
      <c r="S7" s="397"/>
      <c r="T7" s="397"/>
      <c r="U7" s="397"/>
    </row>
    <row r="8" spans="1:21" ht="15" x14ac:dyDescent="0.2">
      <c r="B8" s="397" t="s">
        <v>700</v>
      </c>
      <c r="C8" s="403">
        <v>0.05</v>
      </c>
      <c r="D8" s="404">
        <f ca="1">Equity_Share_Sponsor*Total_Equity</f>
        <v>170976.61681033188</v>
      </c>
      <c r="E8" s="397"/>
      <c r="F8" s="405"/>
      <c r="G8" s="396"/>
      <c r="H8" s="399"/>
      <c r="I8" s="399"/>
      <c r="J8" s="399"/>
      <c r="K8" s="406" t="s">
        <v>701</v>
      </c>
      <c r="L8" s="407" t="str">
        <f ca="1">IF(ROUND(L10,0)=ROUND(L9,0),"OK","Error")</f>
        <v>OK</v>
      </c>
      <c r="M8" s="399"/>
      <c r="N8" s="399"/>
      <c r="O8" s="399"/>
      <c r="P8" s="399"/>
      <c r="Q8" s="397"/>
      <c r="R8" s="397"/>
      <c r="S8" s="397"/>
      <c r="T8" s="397"/>
      <c r="U8" s="397"/>
    </row>
    <row r="9" spans="1:21" ht="15" x14ac:dyDescent="0.2">
      <c r="B9" s="397" t="s">
        <v>702</v>
      </c>
      <c r="C9" s="408">
        <f>1-C8</f>
        <v>0.95</v>
      </c>
      <c r="D9" s="409">
        <f ca="1">Total_Equity*Equity_Share_LP</f>
        <v>3248555.7193963053</v>
      </c>
      <c r="E9" s="397"/>
      <c r="F9" s="405"/>
      <c r="G9" s="410"/>
      <c r="H9" s="399"/>
      <c r="I9" s="399"/>
      <c r="J9" s="399"/>
      <c r="K9" s="411" t="s">
        <v>703</v>
      </c>
      <c r="L9" s="412">
        <f ca="1">(D23+D33)/1000000</f>
        <v>1.477545685414263</v>
      </c>
      <c r="M9" s="399"/>
      <c r="N9" s="399"/>
      <c r="O9" s="399"/>
      <c r="P9" s="399"/>
      <c r="Q9" s="397"/>
      <c r="R9" s="413"/>
      <c r="S9" s="397"/>
      <c r="T9" s="397"/>
      <c r="U9" s="397"/>
    </row>
    <row r="10" spans="1:21" ht="16" thickBot="1" x14ac:dyDescent="0.25">
      <c r="B10" s="397" t="s">
        <v>704</v>
      </c>
      <c r="C10" s="414"/>
      <c r="D10" s="404">
        <f ca="1">-SUMIF(F47:U47,"&lt;0")</f>
        <v>3419532.3362066373</v>
      </c>
      <c r="E10" s="397"/>
      <c r="F10" s="405"/>
      <c r="G10" s="410"/>
      <c r="H10" s="399"/>
      <c r="I10" s="399"/>
      <c r="J10" s="399"/>
      <c r="K10" s="415" t="s">
        <v>705</v>
      </c>
      <c r="L10" s="416">
        <f ca="1">(SUM(F47:U47)+SUM(F40:U42))/1000000</f>
        <v>1.4775456854142626</v>
      </c>
      <c r="M10" s="399"/>
      <c r="N10" s="417"/>
      <c r="O10" s="399"/>
      <c r="P10" s="399"/>
      <c r="Q10" s="397"/>
      <c r="R10" s="413"/>
      <c r="S10" s="397"/>
      <c r="T10" s="397"/>
      <c r="U10" s="397"/>
    </row>
    <row r="11" spans="1:21" ht="5" customHeight="1" x14ac:dyDescent="0.2">
      <c r="B11" s="397"/>
      <c r="C11" s="414"/>
      <c r="D11" s="418"/>
      <c r="E11" s="397"/>
      <c r="F11" s="405"/>
      <c r="G11" s="410"/>
      <c r="H11" s="399"/>
      <c r="I11" s="399"/>
      <c r="J11" s="399"/>
      <c r="K11" s="399"/>
      <c r="L11" s="399"/>
      <c r="M11" s="399"/>
      <c r="N11" s="399"/>
      <c r="O11" s="399"/>
      <c r="P11" s="399"/>
      <c r="Q11" s="397"/>
      <c r="R11" s="397"/>
      <c r="S11" s="397"/>
      <c r="T11" s="397"/>
      <c r="U11" s="397"/>
    </row>
    <row r="12" spans="1:21" ht="15" x14ac:dyDescent="0.2">
      <c r="B12" s="397"/>
      <c r="C12" s="397"/>
      <c r="D12" s="398"/>
      <c r="E12" s="397"/>
      <c r="F12" s="900" t="s">
        <v>706</v>
      </c>
      <c r="G12" s="901"/>
      <c r="H12" s="904" t="s">
        <v>707</v>
      </c>
      <c r="I12" s="904"/>
      <c r="J12" s="419"/>
      <c r="K12" s="399"/>
      <c r="L12" s="399"/>
      <c r="M12" s="399"/>
      <c r="N12" s="399"/>
      <c r="O12" s="399"/>
      <c r="P12" s="399"/>
      <c r="Q12" s="397"/>
      <c r="R12" s="413"/>
      <c r="S12" s="397"/>
      <c r="T12" s="397"/>
      <c r="U12" s="397"/>
    </row>
    <row r="13" spans="1:21" ht="16" x14ac:dyDescent="0.2">
      <c r="B13" s="420" t="str">
        <f>IF(D4="Equity Multiple","Promote Structure (Equity Multiple Hurdles)","Promote Structure (IRR Hurdles)")</f>
        <v>Promote Structure (IRR Hurdles)</v>
      </c>
      <c r="C13" s="421"/>
      <c r="D13" s="422"/>
      <c r="E13" s="421"/>
      <c r="F13" s="902"/>
      <c r="G13" s="903"/>
      <c r="H13" s="423" t="s">
        <v>708</v>
      </c>
      <c r="I13" s="424" t="s">
        <v>709</v>
      </c>
      <c r="J13" s="425" t="s">
        <v>473</v>
      </c>
      <c r="K13" s="426"/>
      <c r="L13" s="426"/>
      <c r="M13" s="426"/>
      <c r="N13" s="426"/>
      <c r="O13" s="399"/>
      <c r="P13" s="399"/>
      <c r="Q13" s="397"/>
      <c r="R13" s="397"/>
      <c r="S13" s="397"/>
      <c r="T13" s="397"/>
      <c r="U13" s="397"/>
    </row>
    <row r="14" spans="1:21" ht="15" x14ac:dyDescent="0.2">
      <c r="B14" s="397" t="s">
        <v>710</v>
      </c>
      <c r="C14" s="427" t="s">
        <v>711</v>
      </c>
      <c r="D14" s="428" t="s">
        <v>712</v>
      </c>
      <c r="E14" s="429">
        <f>IF($D$4="Equity Multiple",C15,D15)</f>
        <v>7.0000000000000007E-2</v>
      </c>
      <c r="F14" s="430" t="s">
        <v>713</v>
      </c>
      <c r="G14" s="431"/>
      <c r="H14" s="432">
        <f>Equity_Share_Sponsor</f>
        <v>0.05</v>
      </c>
      <c r="I14" s="414">
        <f>1-H14</f>
        <v>0.95</v>
      </c>
      <c r="J14" s="905" t="str">
        <f>IF(I14=Equity_Share_LP,"Pref prorata to LP/GP, then Pro rata return of capital",IF(CU?,"Return of capital and Pref NOT pro rata + GP Catch Up","Return of capital and Pref NOT pro rata"))</f>
        <v>Pref prorata to LP/GP, then Pro rata return of capital</v>
      </c>
      <c r="K14" s="906"/>
      <c r="L14" s="906"/>
      <c r="M14" s="906"/>
      <c r="N14" s="906"/>
      <c r="O14" s="399"/>
      <c r="P14" s="399"/>
      <c r="Q14" s="397"/>
      <c r="R14" s="433"/>
      <c r="S14" s="397"/>
      <c r="T14" s="397"/>
      <c r="U14" s="397"/>
    </row>
    <row r="15" spans="1:21" ht="15" x14ac:dyDescent="0.2">
      <c r="B15" s="397" t="s">
        <v>714</v>
      </c>
      <c r="C15" s="434">
        <v>2</v>
      </c>
      <c r="D15" s="435">
        <v>7.0000000000000007E-2</v>
      </c>
      <c r="E15" s="436">
        <f t="shared" ref="E15:E16" si="0">IF($D$4="Equity Multiple",C16,D16)</f>
        <v>0.15</v>
      </c>
      <c r="F15" s="432">
        <v>0.4</v>
      </c>
      <c r="G15" s="437"/>
      <c r="H15" s="438">
        <f>1-(Equity_Share_LP*(1-F15))</f>
        <v>0.43000000000000005</v>
      </c>
      <c r="I15" s="414">
        <f t="shared" ref="I15:I17" si="1">1-H15</f>
        <v>0.56999999999999995</v>
      </c>
      <c r="J15" s="897" t="str">
        <f>IF(Equity_Share_Sponsor&lt;&gt;H14,TEXT(I14,"0.0%")&amp;"/"&amp;TEXT(H14,"0.0%")&amp;" to "&amp;(IF(D4="IRR",TEXT(E14,"0.0%"),TEXT(E14,"0.0X")))&amp;", then "&amp;TEXT(I15,"0.0%")&amp;"/"&amp;TEXT(H15,"0.0%")&amp;" to "&amp;(IF(D4="IRR",TEXT(E15,"0.0%"),TEXT(E15,"0.0X"))),"Prorata to LP/GP to "&amp;(IF(D4="IRR",TEXT(E14,"0.0%"),TEXT(E14,"0.0X")))&amp;", then "&amp;TEXT(I15,"0.0%")&amp;"/"&amp;TEXT(H15,"0.0%")&amp;" to "&amp;(IF(D4="IRR",TEXT(E15,"0.0%"),TEXT(E15,"0.0X"))))</f>
        <v>Prorata to LP/GP to 7.0%, then 57.0%/43.0% to 15.0%</v>
      </c>
      <c r="K15" s="898"/>
      <c r="L15" s="898"/>
      <c r="M15" s="898"/>
      <c r="N15" s="898"/>
      <c r="O15" s="399"/>
      <c r="P15" s="399"/>
      <c r="Q15" s="397"/>
      <c r="R15" s="397"/>
      <c r="S15" s="397"/>
      <c r="T15" s="397"/>
      <c r="U15" s="397"/>
    </row>
    <row r="16" spans="1:21" ht="15" x14ac:dyDescent="0.2">
      <c r="B16" s="397" t="s">
        <v>715</v>
      </c>
      <c r="C16" s="434">
        <v>2.5</v>
      </c>
      <c r="D16" s="435">
        <v>0.15</v>
      </c>
      <c r="E16" s="436">
        <f t="shared" si="0"/>
        <v>0.99</v>
      </c>
      <c r="F16" s="432">
        <v>0.5</v>
      </c>
      <c r="G16" s="437"/>
      <c r="H16" s="438">
        <f>1-(Equity_Share_LP*(1-F16))</f>
        <v>0.52500000000000002</v>
      </c>
      <c r="I16" s="414">
        <f t="shared" si="1"/>
        <v>0.47499999999999998</v>
      </c>
      <c r="J16" s="897" t="str">
        <f>TEXT(I15,"0.0%")&amp;"/"&amp;TEXT(H15,"0.0%")&amp;" to "&amp;(IF(D4="IRR",TEXT(E15,"0.0%"),TEXT(E15,"0.0X")))&amp;", then "&amp;TEXT(I16,"0.0%")&amp;"/"&amp;TEXT(H16,"0.0%")&amp;" to "&amp;(IF(D4="IRR",TEXT(E16,"0.0%"),TEXT(E16,"0.0X")))</f>
        <v>57.0%/43.0% to 15.0%, then 47.5%/52.5% to 99.0%</v>
      </c>
      <c r="K16" s="898"/>
      <c r="L16" s="898"/>
      <c r="M16" s="898"/>
      <c r="N16" s="898"/>
      <c r="O16" s="399"/>
      <c r="P16" s="399"/>
      <c r="Q16" s="397"/>
      <c r="R16" s="439"/>
      <c r="S16" s="397"/>
      <c r="T16" s="397"/>
      <c r="U16" s="397"/>
    </row>
    <row r="17" spans="2:21" ht="15" x14ac:dyDescent="0.2">
      <c r="B17" s="397" t="s">
        <v>716</v>
      </c>
      <c r="C17" s="434">
        <v>3</v>
      </c>
      <c r="D17" s="435">
        <v>0.99</v>
      </c>
      <c r="E17" s="436"/>
      <c r="F17" s="432">
        <v>0.5</v>
      </c>
      <c r="G17" s="437"/>
      <c r="H17" s="438">
        <f>1-(Equity_Share_LP*(1-F17))</f>
        <v>0.52500000000000002</v>
      </c>
      <c r="I17" s="414">
        <f t="shared" si="1"/>
        <v>0.47499999999999998</v>
      </c>
      <c r="J17" s="897" t="str">
        <f>TEXT(I16,"0.0%")&amp;"/"&amp;TEXT(H16,"0.0%")&amp;" to "&amp;(IF(D4="IRR",TEXT(E16,"0.0%"),TEXT(E16,"0.0X")))&amp;", then "&amp;TEXT(I17,"0.0%")&amp;"/"&amp;TEXT(H17,"0.0%")&amp;" thereafter"</f>
        <v>47.5%/52.5% to 99.0%, then 47.5%/52.5% thereafter</v>
      </c>
      <c r="K17" s="898"/>
      <c r="L17" s="898"/>
      <c r="M17" s="898"/>
      <c r="N17" s="898"/>
      <c r="O17" s="399"/>
      <c r="P17" s="399"/>
      <c r="Q17" s="397"/>
      <c r="R17" s="397"/>
      <c r="S17" s="397"/>
      <c r="T17" s="397"/>
      <c r="U17" s="397"/>
    </row>
    <row r="18" spans="2:21" ht="5" customHeight="1" x14ac:dyDescent="0.2">
      <c r="B18" s="397"/>
      <c r="C18" s="397"/>
      <c r="D18" s="440"/>
      <c r="E18" s="436"/>
      <c r="F18" s="410"/>
      <c r="G18" s="441"/>
      <c r="H18" s="442"/>
      <c r="I18" s="442"/>
      <c r="J18" s="399"/>
      <c r="K18" s="399"/>
      <c r="L18" s="399"/>
      <c r="M18" s="399"/>
      <c r="N18" s="399"/>
      <c r="O18" s="399"/>
      <c r="P18" s="399"/>
      <c r="Q18" s="397"/>
      <c r="R18" s="397"/>
      <c r="S18" s="397"/>
      <c r="T18" s="397"/>
      <c r="U18" s="397"/>
    </row>
    <row r="19" spans="2:21" ht="16" x14ac:dyDescent="0.2">
      <c r="B19" s="420" t="s">
        <v>717</v>
      </c>
      <c r="C19" s="421"/>
      <c r="D19" s="443"/>
      <c r="E19" s="444"/>
      <c r="F19" s="445">
        <v>0</v>
      </c>
      <c r="G19" s="445">
        <f ca="1">IF(G39="","",F19+1)</f>
        <v>1</v>
      </c>
      <c r="H19" s="445">
        <f t="shared" ref="H19:U19" ca="1" si="2">IF(H39="","",G19+1)</f>
        <v>2</v>
      </c>
      <c r="I19" s="445">
        <f t="shared" ca="1" si="2"/>
        <v>3</v>
      </c>
      <c r="J19" s="445">
        <f t="shared" ca="1" si="2"/>
        <v>4</v>
      </c>
      <c r="K19" s="445">
        <f t="shared" ca="1" si="2"/>
        <v>5</v>
      </c>
      <c r="L19" s="445">
        <f t="shared" ca="1" si="2"/>
        <v>6</v>
      </c>
      <c r="M19" s="445">
        <f t="shared" ca="1" si="2"/>
        <v>7</v>
      </c>
      <c r="N19" s="445">
        <f t="shared" ca="1" si="2"/>
        <v>8</v>
      </c>
      <c r="O19" s="445">
        <f t="shared" ca="1" si="2"/>
        <v>9</v>
      </c>
      <c r="P19" s="445">
        <f t="shared" ca="1" si="2"/>
        <v>10</v>
      </c>
      <c r="Q19" s="445" t="str">
        <f t="shared" si="2"/>
        <v/>
      </c>
      <c r="R19" s="445" t="str">
        <f t="shared" si="2"/>
        <v/>
      </c>
      <c r="S19" s="445" t="str">
        <f t="shared" si="2"/>
        <v/>
      </c>
      <c r="T19" s="445" t="str">
        <f t="shared" si="2"/>
        <v/>
      </c>
      <c r="U19" s="445" t="str">
        <f t="shared" si="2"/>
        <v/>
      </c>
    </row>
    <row r="20" spans="2:21" ht="15" x14ac:dyDescent="0.2">
      <c r="B20" s="446" t="s">
        <v>718</v>
      </c>
      <c r="C20" s="397"/>
      <c r="D20" s="440"/>
      <c r="E20" s="436"/>
      <c r="F20" s="447"/>
      <c r="G20" s="448"/>
      <c r="H20" s="449"/>
      <c r="I20" s="449"/>
      <c r="J20" s="398"/>
      <c r="K20" s="398"/>
      <c r="L20" s="398"/>
      <c r="M20" s="398"/>
      <c r="N20" s="398"/>
      <c r="O20" s="398"/>
      <c r="P20" s="398"/>
      <c r="Q20" s="398"/>
      <c r="R20" s="398"/>
      <c r="S20" s="398"/>
      <c r="T20" s="398"/>
      <c r="U20" s="398"/>
    </row>
    <row r="21" spans="2:21" ht="15" x14ac:dyDescent="0.2">
      <c r="B21" s="450" t="s">
        <v>719</v>
      </c>
      <c r="C21" s="397"/>
      <c r="D21" s="451">
        <f ca="1">SUM(F21:U21)</f>
        <v>4055502.1427546912</v>
      </c>
      <c r="E21" s="436"/>
      <c r="F21" s="404">
        <f t="shared" ref="F21:U21" si="3">IF(F19="","",F60+F82+F97+F104)</f>
        <v>0</v>
      </c>
      <c r="G21" s="404">
        <f t="shared" ca="1" si="3"/>
        <v>9765.920769999997</v>
      </c>
      <c r="H21" s="404">
        <f t="shared" ca="1" si="3"/>
        <v>101993.99638108157</v>
      </c>
      <c r="I21" s="404">
        <f t="shared" ca="1" si="3"/>
        <v>362021.30446438561</v>
      </c>
      <c r="J21" s="404">
        <f t="shared" ca="1" si="3"/>
        <v>198812.06299725946</v>
      </c>
      <c r="K21" s="404">
        <f t="shared" ca="1" si="3"/>
        <v>2997214.4087043577</v>
      </c>
      <c r="L21" s="404">
        <f t="shared" ca="1" si="3"/>
        <v>57800.453406755361</v>
      </c>
      <c r="M21" s="404">
        <f t="shared" ca="1" si="3"/>
        <v>82818.770557112468</v>
      </c>
      <c r="N21" s="404">
        <f t="shared" ca="1" si="3"/>
        <v>108921.50828928308</v>
      </c>
      <c r="O21" s="404">
        <f t="shared" ca="1" si="3"/>
        <v>136153.71718445566</v>
      </c>
      <c r="P21" s="404">
        <f t="shared" ca="1" si="3"/>
        <v>0</v>
      </c>
      <c r="Q21" s="404" t="str">
        <f t="shared" si="3"/>
        <v/>
      </c>
      <c r="R21" s="404" t="str">
        <f t="shared" si="3"/>
        <v/>
      </c>
      <c r="S21" s="404" t="str">
        <f t="shared" si="3"/>
        <v/>
      </c>
      <c r="T21" s="404" t="str">
        <f t="shared" si="3"/>
        <v/>
      </c>
      <c r="U21" s="404" t="str">
        <f t="shared" si="3"/>
        <v/>
      </c>
    </row>
    <row r="22" spans="2:21" ht="15" x14ac:dyDescent="0.2">
      <c r="B22" s="450" t="s">
        <v>720</v>
      </c>
      <c r="C22" s="397"/>
      <c r="D22" s="451">
        <f ca="1">SUM(F22:U22)</f>
        <v>3248555.7193963053</v>
      </c>
      <c r="E22" s="436"/>
      <c r="F22" s="404">
        <f t="shared" ref="F22:U22" si="4">F56</f>
        <v>3045700</v>
      </c>
      <c r="G22" s="404">
        <f t="shared" ca="1" si="4"/>
        <v>0</v>
      </c>
      <c r="H22" s="404">
        <f t="shared" ca="1" si="4"/>
        <v>0</v>
      </c>
      <c r="I22" s="404">
        <f t="shared" ca="1" si="4"/>
        <v>0</v>
      </c>
      <c r="J22" s="404">
        <f t="shared" ca="1" si="4"/>
        <v>0</v>
      </c>
      <c r="K22" s="404">
        <f t="shared" ca="1" si="4"/>
        <v>0</v>
      </c>
      <c r="L22" s="404">
        <f t="shared" ca="1" si="4"/>
        <v>0</v>
      </c>
      <c r="M22" s="404">
        <f t="shared" ca="1" si="4"/>
        <v>0</v>
      </c>
      <c r="N22" s="404">
        <f t="shared" ca="1" si="4"/>
        <v>0</v>
      </c>
      <c r="O22" s="404">
        <f t="shared" ca="1" si="4"/>
        <v>0</v>
      </c>
      <c r="P22" s="404">
        <f t="shared" ca="1" si="4"/>
        <v>202855.7193963055</v>
      </c>
      <c r="Q22" s="404" t="str">
        <f t="shared" si="4"/>
        <v/>
      </c>
      <c r="R22" s="404" t="str">
        <f t="shared" si="4"/>
        <v/>
      </c>
      <c r="S22" s="404" t="str">
        <f t="shared" si="4"/>
        <v/>
      </c>
      <c r="T22" s="404" t="str">
        <f t="shared" si="4"/>
        <v/>
      </c>
      <c r="U22" s="404" t="str">
        <f t="shared" si="4"/>
        <v/>
      </c>
    </row>
    <row r="23" spans="2:21" ht="15" x14ac:dyDescent="0.2">
      <c r="B23" s="450" t="s">
        <v>721</v>
      </c>
      <c r="C23" s="397"/>
      <c r="D23" s="451">
        <f ca="1">D21-D22</f>
        <v>806946.42335838592</v>
      </c>
      <c r="E23" s="436"/>
      <c r="F23" s="447"/>
      <c r="G23" s="448"/>
      <c r="H23" s="449"/>
      <c r="I23" s="449"/>
      <c r="J23" s="398"/>
      <c r="K23" s="398"/>
      <c r="L23" s="398"/>
      <c r="M23" s="398"/>
      <c r="N23" s="398"/>
      <c r="O23" s="398"/>
      <c r="P23" s="398"/>
      <c r="Q23" s="398"/>
      <c r="R23" s="398"/>
      <c r="S23" s="398"/>
      <c r="T23" s="398"/>
      <c r="U23" s="398"/>
    </row>
    <row r="24" spans="2:21" ht="15" x14ac:dyDescent="0.2">
      <c r="B24" s="450" t="s">
        <v>722</v>
      </c>
      <c r="C24" s="397"/>
      <c r="D24" s="452">
        <f ca="1">IRR(F24:U24)</f>
        <v>5.1451857531718215E-2</v>
      </c>
      <c r="E24" s="436"/>
      <c r="F24" s="404">
        <f t="shared" ref="F24:U24" si="5">IF(F19="","",(-F22)+F21)</f>
        <v>-3045700</v>
      </c>
      <c r="G24" s="404">
        <f t="shared" ca="1" si="5"/>
        <v>9765.920769999997</v>
      </c>
      <c r="H24" s="404">
        <f t="shared" ca="1" si="5"/>
        <v>101993.99638108157</v>
      </c>
      <c r="I24" s="404">
        <f t="shared" ca="1" si="5"/>
        <v>362021.30446438561</v>
      </c>
      <c r="J24" s="404">
        <f t="shared" ca="1" si="5"/>
        <v>198812.06299725946</v>
      </c>
      <c r="K24" s="404">
        <f t="shared" ca="1" si="5"/>
        <v>2997214.4087043577</v>
      </c>
      <c r="L24" s="404">
        <f t="shared" ca="1" si="5"/>
        <v>57800.453406755361</v>
      </c>
      <c r="M24" s="404">
        <f t="shared" ca="1" si="5"/>
        <v>82818.770557112468</v>
      </c>
      <c r="N24" s="404">
        <f t="shared" ca="1" si="5"/>
        <v>108921.50828928308</v>
      </c>
      <c r="O24" s="404">
        <f t="shared" ca="1" si="5"/>
        <v>136153.71718445566</v>
      </c>
      <c r="P24" s="404">
        <f t="shared" ca="1" si="5"/>
        <v>-202855.7193963055</v>
      </c>
      <c r="Q24" s="404" t="str">
        <f t="shared" si="5"/>
        <v/>
      </c>
      <c r="R24" s="404" t="str">
        <f t="shared" si="5"/>
        <v/>
      </c>
      <c r="S24" s="404" t="str">
        <f t="shared" si="5"/>
        <v/>
      </c>
      <c r="T24" s="404" t="str">
        <f t="shared" si="5"/>
        <v/>
      </c>
      <c r="U24" s="404" t="str">
        <f t="shared" si="5"/>
        <v/>
      </c>
    </row>
    <row r="25" spans="2:21" ht="15" x14ac:dyDescent="0.2">
      <c r="B25" s="450" t="s">
        <v>723</v>
      </c>
      <c r="C25" s="397"/>
      <c r="D25" s="453">
        <f ca="1">D21/D22</f>
        <v>1.2484015953736958</v>
      </c>
      <c r="E25" s="436"/>
      <c r="F25" s="447"/>
      <c r="G25" s="448"/>
      <c r="H25" s="449"/>
      <c r="I25" s="449"/>
      <c r="J25" s="398"/>
      <c r="K25" s="398"/>
      <c r="L25" s="398"/>
      <c r="M25" s="398"/>
      <c r="N25" s="398"/>
      <c r="O25" s="398"/>
      <c r="P25" s="398"/>
      <c r="Q25" s="398"/>
      <c r="R25" s="398"/>
      <c r="S25" s="398"/>
      <c r="T25" s="398"/>
      <c r="U25" s="398"/>
    </row>
    <row r="26" spans="2:21" ht="5" customHeight="1" x14ac:dyDescent="0.2">
      <c r="B26" s="450"/>
      <c r="C26" s="397"/>
      <c r="D26" s="440"/>
      <c r="E26" s="436"/>
      <c r="F26" s="447"/>
      <c r="G26" s="448"/>
      <c r="H26" s="449"/>
      <c r="I26" s="449"/>
      <c r="J26" s="398"/>
      <c r="K26" s="398"/>
      <c r="L26" s="398"/>
      <c r="M26" s="398"/>
      <c r="N26" s="398"/>
      <c r="O26" s="398"/>
      <c r="P26" s="398"/>
      <c r="Q26" s="398"/>
      <c r="R26" s="398"/>
      <c r="S26" s="398"/>
      <c r="T26" s="398"/>
      <c r="U26" s="398"/>
    </row>
    <row r="27" spans="2:21" ht="15" x14ac:dyDescent="0.2">
      <c r="B27" s="446" t="s">
        <v>724</v>
      </c>
      <c r="C27" s="397"/>
      <c r="D27" s="440"/>
      <c r="E27" s="436"/>
      <c r="F27" s="447"/>
      <c r="G27" s="448"/>
      <c r="H27" s="449"/>
      <c r="I27" s="449"/>
      <c r="J27" s="398"/>
      <c r="K27" s="398"/>
      <c r="L27" s="398"/>
      <c r="M27" s="398"/>
      <c r="N27" s="398"/>
      <c r="O27" s="398"/>
      <c r="P27" s="398"/>
      <c r="Q27" s="398"/>
      <c r="R27" s="398"/>
      <c r="S27" s="398"/>
      <c r="T27" s="398"/>
      <c r="U27" s="398"/>
    </row>
    <row r="28" spans="2:21" s="459" customFormat="1" ht="15" x14ac:dyDescent="0.2">
      <c r="B28" s="454" t="s">
        <v>725</v>
      </c>
      <c r="C28" s="455"/>
      <c r="D28" s="456">
        <f ca="1">SUM(F28:U28)</f>
        <v>213447.4811976155</v>
      </c>
      <c r="E28" s="457"/>
      <c r="F28" s="458">
        <f t="shared" ref="F28:U28" si="6">IF(F19="","",F65+F83+F98+F105)</f>
        <v>0</v>
      </c>
      <c r="G28" s="458">
        <f t="shared" ca="1" si="6"/>
        <v>513.99582999999984</v>
      </c>
      <c r="H28" s="458">
        <f t="shared" ca="1" si="6"/>
        <v>5368.1050726885105</v>
      </c>
      <c r="I28" s="458">
        <f t="shared" ca="1" si="6"/>
        <v>19053.752866546612</v>
      </c>
      <c r="J28" s="458">
        <f t="shared" ca="1" si="6"/>
        <v>10463.792789329447</v>
      </c>
      <c r="K28" s="458">
        <f t="shared" ca="1" si="6"/>
        <v>157748.12677391377</v>
      </c>
      <c r="L28" s="458">
        <f t="shared" ca="1" si="6"/>
        <v>3042.1291266713351</v>
      </c>
      <c r="M28" s="458">
        <f t="shared" ca="1" si="6"/>
        <v>4358.8826609006628</v>
      </c>
      <c r="N28" s="458">
        <f t="shared" ca="1" si="6"/>
        <v>5732.7109625938465</v>
      </c>
      <c r="O28" s="458">
        <f t="shared" ca="1" si="6"/>
        <v>7165.9851149713504</v>
      </c>
      <c r="P28" s="458">
        <f t="shared" ca="1" si="6"/>
        <v>0</v>
      </c>
      <c r="Q28" s="458" t="str">
        <f t="shared" si="6"/>
        <v/>
      </c>
      <c r="R28" s="458" t="str">
        <f t="shared" si="6"/>
        <v/>
      </c>
      <c r="S28" s="458" t="str">
        <f t="shared" si="6"/>
        <v/>
      </c>
      <c r="T28" s="458" t="str">
        <f t="shared" si="6"/>
        <v/>
      </c>
      <c r="U28" s="458" t="str">
        <f t="shared" si="6"/>
        <v/>
      </c>
    </row>
    <row r="29" spans="2:21" ht="15" x14ac:dyDescent="0.2">
      <c r="B29" s="450" t="s">
        <v>726</v>
      </c>
      <c r="C29" s="397"/>
      <c r="D29" s="451"/>
      <c r="E29" s="436"/>
      <c r="F29" s="404"/>
      <c r="G29" s="404">
        <f t="shared" ref="G29:U29" ca="1" si="7">IF(ISERROR((+G21/Equity_Share_LP*Equity_Share_Sponsor)),"-",(+G21/Equity_Share_LP*Equity_Share_Sponsor))</f>
        <v>513.99582999999984</v>
      </c>
      <c r="H29" s="404">
        <f t="shared" ca="1" si="7"/>
        <v>5368.1050726885042</v>
      </c>
      <c r="I29" s="404">
        <f t="shared" ca="1" si="7"/>
        <v>19053.752866546612</v>
      </c>
      <c r="J29" s="404">
        <f t="shared" ca="1" si="7"/>
        <v>10463.792789329447</v>
      </c>
      <c r="K29" s="404">
        <f t="shared" ca="1" si="7"/>
        <v>157748.12677391359</v>
      </c>
      <c r="L29" s="404">
        <f t="shared" ca="1" si="7"/>
        <v>3042.1291266713351</v>
      </c>
      <c r="M29" s="404">
        <f t="shared" ca="1" si="7"/>
        <v>4358.8826609006564</v>
      </c>
      <c r="N29" s="404">
        <f t="shared" ca="1" si="7"/>
        <v>5732.7109625938465</v>
      </c>
      <c r="O29" s="404">
        <f t="shared" ca="1" si="7"/>
        <v>7165.9851149713504</v>
      </c>
      <c r="P29" s="404">
        <f t="shared" ca="1" si="7"/>
        <v>0</v>
      </c>
      <c r="Q29" s="404" t="str">
        <f t="shared" si="7"/>
        <v>-</v>
      </c>
      <c r="R29" s="404" t="str">
        <f t="shared" si="7"/>
        <v>-</v>
      </c>
      <c r="S29" s="404" t="str">
        <f t="shared" si="7"/>
        <v>-</v>
      </c>
      <c r="T29" s="404" t="str">
        <f t="shared" si="7"/>
        <v>-</v>
      </c>
      <c r="U29" s="404" t="str">
        <f t="shared" si="7"/>
        <v>-</v>
      </c>
    </row>
    <row r="30" spans="2:21" ht="15" x14ac:dyDescent="0.2">
      <c r="B30" s="450" t="s">
        <v>727</v>
      </c>
      <c r="C30" s="397"/>
      <c r="D30" s="451"/>
      <c r="E30" s="436"/>
      <c r="F30" s="404"/>
      <c r="G30" s="404">
        <f ca="1">IF(ISERROR((+G28-G29)),"-",(+G28-G29))</f>
        <v>0</v>
      </c>
      <c r="H30" s="404">
        <f t="shared" ref="H30:U30" ca="1" si="8">IF(ISERROR((+H28-H29)),"-",(+H28-H29))</f>
        <v>6.3664629124104977E-12</v>
      </c>
      <c r="I30" s="404">
        <f t="shared" ca="1" si="8"/>
        <v>0</v>
      </c>
      <c r="J30" s="404">
        <f t="shared" ca="1" si="8"/>
        <v>0</v>
      </c>
      <c r="K30" s="404">
        <f t="shared" ca="1" si="8"/>
        <v>1.7462298274040222E-10</v>
      </c>
      <c r="L30" s="404">
        <f t="shared" ca="1" si="8"/>
        <v>0</v>
      </c>
      <c r="M30" s="404">
        <f t="shared" ca="1" si="8"/>
        <v>6.3664629124104977E-12</v>
      </c>
      <c r="N30" s="404">
        <f t="shared" ca="1" si="8"/>
        <v>0</v>
      </c>
      <c r="O30" s="404">
        <f t="shared" ca="1" si="8"/>
        <v>0</v>
      </c>
      <c r="P30" s="404">
        <f t="shared" ca="1" si="8"/>
        <v>0</v>
      </c>
      <c r="Q30" s="404" t="str">
        <f t="shared" si="8"/>
        <v>-</v>
      </c>
      <c r="R30" s="404" t="str">
        <f t="shared" si="8"/>
        <v>-</v>
      </c>
      <c r="S30" s="404" t="str">
        <f t="shared" si="8"/>
        <v>-</v>
      </c>
      <c r="T30" s="404" t="str">
        <f t="shared" si="8"/>
        <v>-</v>
      </c>
      <c r="U30" s="404" t="str">
        <f t="shared" si="8"/>
        <v>-</v>
      </c>
    </row>
    <row r="31" spans="2:21" ht="15" x14ac:dyDescent="0.2">
      <c r="B31" s="450" t="s">
        <v>728</v>
      </c>
      <c r="C31" s="397"/>
      <c r="D31" s="451">
        <f ca="1">SUM(F31:U31)</f>
        <v>628128.39766859356</v>
      </c>
      <c r="E31" s="436"/>
      <c r="F31" s="404">
        <f>IF(F19="","",SUM(F40:F42))</f>
        <v>200000</v>
      </c>
      <c r="G31" s="404">
        <f t="shared" ref="G31:U31" ca="1" si="9">IF(G19="","",SUM(G40:G42))</f>
        <v>29600</v>
      </c>
      <c r="H31" s="404">
        <f t="shared" ca="1" si="9"/>
        <v>29600</v>
      </c>
      <c r="I31" s="404">
        <f t="shared" ca="1" si="9"/>
        <v>29600</v>
      </c>
      <c r="J31" s="404">
        <f t="shared" ca="1" si="9"/>
        <v>29600</v>
      </c>
      <c r="K31" s="404">
        <f t="shared" ca="1" si="9"/>
        <v>29600</v>
      </c>
      <c r="L31" s="404">
        <f t="shared" ca="1" si="9"/>
        <v>29600</v>
      </c>
      <c r="M31" s="404">
        <f t="shared" ca="1" si="9"/>
        <v>29600</v>
      </c>
      <c r="N31" s="404">
        <f t="shared" ca="1" si="9"/>
        <v>29600</v>
      </c>
      <c r="O31" s="404">
        <f t="shared" ca="1" si="9"/>
        <v>29600</v>
      </c>
      <c r="P31" s="404">
        <f t="shared" ca="1" si="9"/>
        <v>161728.39766859359</v>
      </c>
      <c r="Q31" s="404" t="str">
        <f t="shared" si="9"/>
        <v/>
      </c>
      <c r="R31" s="404" t="str">
        <f t="shared" si="9"/>
        <v/>
      </c>
      <c r="S31" s="404" t="str">
        <f t="shared" si="9"/>
        <v/>
      </c>
      <c r="T31" s="404" t="str">
        <f t="shared" si="9"/>
        <v/>
      </c>
      <c r="U31" s="404" t="str">
        <f t="shared" si="9"/>
        <v/>
      </c>
    </row>
    <row r="32" spans="2:21" ht="15" x14ac:dyDescent="0.2">
      <c r="B32" s="450" t="s">
        <v>729</v>
      </c>
      <c r="C32" s="397"/>
      <c r="D32" s="451">
        <f ca="1">SUM(F32:U32)</f>
        <v>170976.61681033188</v>
      </c>
      <c r="E32" s="436"/>
      <c r="F32" s="404">
        <f t="shared" ref="F32:U32" si="10">IF(F19="","",-(MIN(F47,0)+F56))</f>
        <v>160300</v>
      </c>
      <c r="G32" s="404">
        <f t="shared" ca="1" si="10"/>
        <v>0</v>
      </c>
      <c r="H32" s="404">
        <f t="shared" ca="1" si="10"/>
        <v>0</v>
      </c>
      <c r="I32" s="404">
        <f t="shared" ca="1" si="10"/>
        <v>0</v>
      </c>
      <c r="J32" s="404">
        <f t="shared" ca="1" si="10"/>
        <v>0</v>
      </c>
      <c r="K32" s="404">
        <f t="shared" ca="1" si="10"/>
        <v>0</v>
      </c>
      <c r="L32" s="404">
        <f t="shared" ca="1" si="10"/>
        <v>0</v>
      </c>
      <c r="M32" s="404">
        <f t="shared" ca="1" si="10"/>
        <v>0</v>
      </c>
      <c r="N32" s="404">
        <f t="shared" ca="1" si="10"/>
        <v>0</v>
      </c>
      <c r="O32" s="404">
        <f t="shared" ca="1" si="10"/>
        <v>0</v>
      </c>
      <c r="P32" s="404">
        <f t="shared" ca="1" si="10"/>
        <v>10676.616810331878</v>
      </c>
      <c r="Q32" s="404" t="str">
        <f t="shared" si="10"/>
        <v/>
      </c>
      <c r="R32" s="404" t="str">
        <f t="shared" si="10"/>
        <v/>
      </c>
      <c r="S32" s="404" t="str">
        <f t="shared" si="10"/>
        <v/>
      </c>
      <c r="T32" s="404" t="str">
        <f t="shared" si="10"/>
        <v/>
      </c>
      <c r="U32" s="404" t="str">
        <f t="shared" si="10"/>
        <v/>
      </c>
    </row>
    <row r="33" spans="2:25" ht="15" x14ac:dyDescent="0.2">
      <c r="B33" s="450" t="s">
        <v>730</v>
      </c>
      <c r="C33" s="397"/>
      <c r="D33" s="451">
        <f ca="1">+D28+D31-D32</f>
        <v>670599.26205587713</v>
      </c>
      <c r="E33" s="436"/>
      <c r="F33" s="447"/>
      <c r="G33" s="448"/>
      <c r="H33" s="449"/>
      <c r="I33" s="449"/>
      <c r="J33" s="398"/>
      <c r="K33" s="398"/>
      <c r="L33" s="398"/>
      <c r="M33" s="398"/>
      <c r="N33" s="398"/>
      <c r="O33" s="398"/>
      <c r="P33" s="398"/>
      <c r="Q33" s="398"/>
      <c r="R33" s="398"/>
      <c r="S33" s="398"/>
      <c r="T33" s="398"/>
      <c r="U33" s="398"/>
    </row>
    <row r="34" spans="2:25" ht="15" x14ac:dyDescent="0.2">
      <c r="B34" s="450" t="s">
        <v>731</v>
      </c>
      <c r="C34" s="397"/>
      <c r="D34" s="452" t="e">
        <f ca="1">IRR(F34:U34)</f>
        <v>#NUM!</v>
      </c>
      <c r="E34" s="436"/>
      <c r="F34" s="404">
        <f>IF(F19="","",(-F32)+F28+F31)</f>
        <v>39700</v>
      </c>
      <c r="G34" s="404">
        <f t="shared" ref="G34:U34" ca="1" si="11">IF(G19="","",(-G32)+G28+G31)</f>
        <v>30113.99583</v>
      </c>
      <c r="H34" s="404">
        <f t="shared" ca="1" si="11"/>
        <v>34968.105072688508</v>
      </c>
      <c r="I34" s="404">
        <f t="shared" ca="1" si="11"/>
        <v>48653.752866546609</v>
      </c>
      <c r="J34" s="404">
        <f t="shared" ca="1" si="11"/>
        <v>40063.792789329447</v>
      </c>
      <c r="K34" s="404">
        <f t="shared" ca="1" si="11"/>
        <v>187348.12677391377</v>
      </c>
      <c r="L34" s="404">
        <f t="shared" ca="1" si="11"/>
        <v>32642.129126671334</v>
      </c>
      <c r="M34" s="404">
        <f t="shared" ca="1" si="11"/>
        <v>33958.882660900665</v>
      </c>
      <c r="N34" s="404">
        <f t="shared" ca="1" si="11"/>
        <v>35332.710962593846</v>
      </c>
      <c r="O34" s="404">
        <f t="shared" ca="1" si="11"/>
        <v>36765.98511497135</v>
      </c>
      <c r="P34" s="404">
        <f t="shared" ca="1" si="11"/>
        <v>151051.78085826171</v>
      </c>
      <c r="Q34" s="404" t="str">
        <f t="shared" si="11"/>
        <v/>
      </c>
      <c r="R34" s="404" t="str">
        <f t="shared" si="11"/>
        <v/>
      </c>
      <c r="S34" s="404" t="str">
        <f t="shared" si="11"/>
        <v/>
      </c>
      <c r="T34" s="404" t="str">
        <f t="shared" si="11"/>
        <v/>
      </c>
      <c r="U34" s="404" t="str">
        <f t="shared" si="11"/>
        <v/>
      </c>
    </row>
    <row r="35" spans="2:25" ht="15" x14ac:dyDescent="0.2">
      <c r="B35" s="450" t="s">
        <v>732</v>
      </c>
      <c r="C35" s="397"/>
      <c r="D35" s="453">
        <f ca="1">D28/D32</f>
        <v>1.2484015953736967</v>
      </c>
      <c r="E35" s="436"/>
      <c r="F35" s="447"/>
      <c r="G35" s="448"/>
      <c r="H35" s="449"/>
      <c r="I35" s="449"/>
      <c r="J35" s="398"/>
      <c r="K35" s="398"/>
      <c r="L35" s="398"/>
      <c r="M35" s="398"/>
      <c r="N35" s="398"/>
      <c r="O35" s="398"/>
      <c r="P35" s="398"/>
      <c r="Q35" s="398"/>
      <c r="R35" s="398"/>
      <c r="S35" s="398"/>
      <c r="T35" s="398"/>
      <c r="U35" s="398"/>
    </row>
    <row r="36" spans="2:25" ht="5" customHeight="1" x14ac:dyDescent="0.2">
      <c r="B36" s="460"/>
      <c r="C36" s="461"/>
      <c r="D36" s="462"/>
      <c r="E36" s="397"/>
      <c r="F36" s="398"/>
      <c r="G36" s="398"/>
      <c r="H36" s="398"/>
      <c r="I36" s="398"/>
      <c r="J36" s="398"/>
      <c r="K36" s="398"/>
      <c r="L36" s="398"/>
      <c r="M36" s="398"/>
      <c r="N36" s="398"/>
      <c r="O36" s="398"/>
      <c r="P36" s="398"/>
      <c r="Q36" s="398"/>
      <c r="R36" s="398"/>
      <c r="S36" s="398"/>
      <c r="T36" s="398"/>
      <c r="U36" s="398"/>
    </row>
    <row r="37" spans="2:25" ht="16" x14ac:dyDescent="0.2">
      <c r="B37" s="420" t="s">
        <v>733</v>
      </c>
      <c r="C37" s="421"/>
      <c r="D37" s="421"/>
      <c r="E37" s="426"/>
      <c r="F37" s="445">
        <v>0</v>
      </c>
      <c r="G37" s="445">
        <f t="shared" ref="G37:U37" si="12">IF(F37&gt;=$G$4,"",F37+1)</f>
        <v>1</v>
      </c>
      <c r="H37" s="445">
        <f t="shared" si="12"/>
        <v>2</v>
      </c>
      <c r="I37" s="445">
        <f t="shared" si="12"/>
        <v>3</v>
      </c>
      <c r="J37" s="445">
        <f t="shared" si="12"/>
        <v>4</v>
      </c>
      <c r="K37" s="445">
        <f t="shared" si="12"/>
        <v>5</v>
      </c>
      <c r="L37" s="445">
        <f t="shared" si="12"/>
        <v>6</v>
      </c>
      <c r="M37" s="445">
        <f t="shared" si="12"/>
        <v>7</v>
      </c>
      <c r="N37" s="445">
        <f t="shared" si="12"/>
        <v>8</v>
      </c>
      <c r="O37" s="445">
        <f t="shared" si="12"/>
        <v>9</v>
      </c>
      <c r="P37" s="445">
        <f t="shared" si="12"/>
        <v>10</v>
      </c>
      <c r="Q37" s="445" t="str">
        <f t="shared" si="12"/>
        <v/>
      </c>
      <c r="R37" s="445" t="str">
        <f t="shared" si="12"/>
        <v/>
      </c>
      <c r="S37" s="445" t="str">
        <f t="shared" si="12"/>
        <v/>
      </c>
      <c r="T37" s="445" t="str">
        <f t="shared" si="12"/>
        <v/>
      </c>
      <c r="U37" s="445" t="str">
        <f t="shared" si="12"/>
        <v/>
      </c>
      <c r="V37" s="463"/>
      <c r="W37" s="463"/>
      <c r="X37" s="463"/>
      <c r="Y37" s="463"/>
    </row>
    <row r="38" spans="2:25" ht="15" x14ac:dyDescent="0.2">
      <c r="B38" s="397"/>
      <c r="C38" s="397"/>
      <c r="D38" s="397"/>
      <c r="E38" s="405" t="s">
        <v>734</v>
      </c>
      <c r="F38" s="464">
        <f ca="1">EOMONTH(TODAY(),0)</f>
        <v>44895</v>
      </c>
      <c r="G38" s="465">
        <f ca="1">IF(G37="","",EOMONTH(F38,12))</f>
        <v>45260</v>
      </c>
      <c r="H38" s="465">
        <f t="shared" ref="H38:U38" ca="1" si="13">IF(H37="","",EOMONTH(G38,12))</f>
        <v>45626</v>
      </c>
      <c r="I38" s="465">
        <f t="shared" ca="1" si="13"/>
        <v>45991</v>
      </c>
      <c r="J38" s="465">
        <f t="shared" ca="1" si="13"/>
        <v>46356</v>
      </c>
      <c r="K38" s="465">
        <f t="shared" ca="1" si="13"/>
        <v>46721</v>
      </c>
      <c r="L38" s="465">
        <f t="shared" ca="1" si="13"/>
        <v>47087</v>
      </c>
      <c r="M38" s="465">
        <f t="shared" ca="1" si="13"/>
        <v>47452</v>
      </c>
      <c r="N38" s="465">
        <f t="shared" ca="1" si="13"/>
        <v>47817</v>
      </c>
      <c r="O38" s="465">
        <f t="shared" ca="1" si="13"/>
        <v>48182</v>
      </c>
      <c r="P38" s="465">
        <f t="shared" ca="1" si="13"/>
        <v>48548</v>
      </c>
      <c r="Q38" s="465" t="str">
        <f t="shared" si="13"/>
        <v/>
      </c>
      <c r="R38" s="465" t="str">
        <f t="shared" si="13"/>
        <v/>
      </c>
      <c r="S38" s="465" t="str">
        <f t="shared" si="13"/>
        <v/>
      </c>
      <c r="T38" s="465" t="str">
        <f t="shared" si="13"/>
        <v/>
      </c>
      <c r="U38" s="465" t="str">
        <f t="shared" si="13"/>
        <v/>
      </c>
      <c r="V38" s="463"/>
      <c r="W38" s="463"/>
      <c r="X38" s="463"/>
      <c r="Y38" s="463"/>
    </row>
    <row r="39" spans="2:25" ht="15" x14ac:dyDescent="0.2">
      <c r="B39" s="466" t="s">
        <v>735</v>
      </c>
      <c r="C39" s="397"/>
      <c r="D39" s="397"/>
      <c r="E39" s="433"/>
      <c r="F39" s="467">
        <f>Proforma!E115</f>
        <v>-2960000</v>
      </c>
      <c r="G39" s="467">
        <f ca="1">IF(G37="","",IF(G37=$G$4,Proforma!F115+Proforma!F104-Proforma!F99,Proforma!F115))</f>
        <v>44879.916599999997</v>
      </c>
      <c r="H39" s="467">
        <f ca="1">IF(H37="","",IF(H37=$G$4,Proforma!G115+Proforma!G104-Proforma!G99,Proforma!G115))</f>
        <v>141962.10145377007</v>
      </c>
      <c r="I39" s="467">
        <f ca="1">IF(I37="","",IF(I37=$G$4,Proforma!H115+Proforma!H104-Proforma!H99,Proforma!H115))</f>
        <v>415675.05733093224</v>
      </c>
      <c r="J39" s="467">
        <f ca="1">IF(J37="","",IF(J37=$G$4,Proforma!I115+Proforma!I104-Proforma!I99,Proforma!I115))</f>
        <v>243875.85578658892</v>
      </c>
      <c r="K39" s="467">
        <f ca="1">IF(K37="","",IF(K37=$G$4,Proforma!J115+Proforma!J104-Proforma!J99,Proforma!J115))</f>
        <v>3189562.5354782711</v>
      </c>
      <c r="L39" s="467">
        <f ca="1">IF(L37="","",IF(L37=$G$4,Proforma!K115+Proforma!K104-Proforma!K99,Proforma!K115))</f>
        <v>95442.582533426699</v>
      </c>
      <c r="M39" s="467">
        <f ca="1">IF(M37="","",IF(M37=$G$4,Proforma!L115+Proforma!L104-Proforma!L99,Proforma!L115))</f>
        <v>121777.65321801312</v>
      </c>
      <c r="N39" s="467">
        <f ca="1">IF(N37="","",IF(N37=$G$4,Proforma!M115+Proforma!M104-Proforma!M99,Proforma!M115))</f>
        <v>149254.21925187693</v>
      </c>
      <c r="O39" s="467">
        <f ca="1">IF(O37="","",IF(O37=$G$4,Proforma!N115+Proforma!N104-Proforma!N99,Proforma!N115))</f>
        <v>177919.70229942701</v>
      </c>
      <c r="P39" s="467">
        <f ca="1">IF(P37="","",IF(P37=$G$4,Proforma!O115+Proforma!O104-Proforma!O99,Proforma!O115))</f>
        <v>415645.45330203377</v>
      </c>
      <c r="Q39" s="467" t="str">
        <f>IF(Q37="","",IF(Q37=$G$4,Proforma!P115+Proforma!P104-Proforma!P99,Proforma!P115))</f>
        <v/>
      </c>
      <c r="R39" s="467" t="str">
        <f>IF(R37="","",IF(R37=$G$4,Proforma!Q115+Proforma!Q104-Proforma!Q99,Proforma!Q115))</f>
        <v/>
      </c>
      <c r="S39" s="467" t="str">
        <f>IF(S37="","",IF(S37=$G$4,Proforma!R115+Proforma!R104-Proforma!R99,Proforma!R115))</f>
        <v/>
      </c>
      <c r="T39" s="467" t="str">
        <f>IF(T37="","",IF(T37=$G$4,Proforma!S115+Proforma!S104-Proforma!S99,Proforma!S115))</f>
        <v/>
      </c>
      <c r="U39" s="467" t="str">
        <f>IF(U37="","",IF(U37=$G$4,Proforma!T115+Proforma!T104-Proforma!T99,Proforma!T115))</f>
        <v/>
      </c>
    </row>
    <row r="40" spans="2:25" ht="15" x14ac:dyDescent="0.2">
      <c r="B40" s="450" t="s">
        <v>736</v>
      </c>
      <c r="C40" s="468">
        <v>0.01</v>
      </c>
      <c r="D40" s="397"/>
      <c r="E40" s="433"/>
      <c r="F40" s="467">
        <v>0</v>
      </c>
      <c r="G40" s="467">
        <f ca="1">IF(G39="","",$C$40*(-Proforma!$E$115))</f>
        <v>29600</v>
      </c>
      <c r="H40" s="467">
        <f ca="1">IF(H39="","",$C$40*(-Proforma!$E$115))</f>
        <v>29600</v>
      </c>
      <c r="I40" s="467">
        <f ca="1">IF(I39="","",$C$40*(-Proforma!$E$115))</f>
        <v>29600</v>
      </c>
      <c r="J40" s="467">
        <f ca="1">IF(J39="","",$C$40*(-Proforma!$E$115))</f>
        <v>29600</v>
      </c>
      <c r="K40" s="467">
        <f ca="1">IF(K39="","",$C$40*(-Proforma!$E$115))</f>
        <v>29600</v>
      </c>
      <c r="L40" s="467">
        <f ca="1">IF(L39="","",$C$40*(-Proforma!$E$115))</f>
        <v>29600</v>
      </c>
      <c r="M40" s="467">
        <f ca="1">IF(M39="","",$C$40*(-Proforma!$E$115))</f>
        <v>29600</v>
      </c>
      <c r="N40" s="467">
        <f ca="1">IF(N39="","",$C$40*(-Proforma!$E$115))</f>
        <v>29600</v>
      </c>
      <c r="O40" s="467">
        <f ca="1">IF(O39="","",$C$40*(-Proforma!$E$115))</f>
        <v>29600</v>
      </c>
      <c r="P40" s="467">
        <f ca="1">IF(P39="","",$C$40*(-Proforma!$E$115))</f>
        <v>29600</v>
      </c>
      <c r="Q40" s="467" t="str">
        <f>IF(Q39="","",$C$40*(-Proforma!$E$115))</f>
        <v/>
      </c>
      <c r="R40" s="467" t="str">
        <f>IF(R39="","",$C$40*(-Proforma!$E$115))</f>
        <v/>
      </c>
      <c r="S40" s="467" t="str">
        <f>IF(S39="","",$C$40*(-Proforma!$E$115))</f>
        <v/>
      </c>
      <c r="T40" s="467" t="str">
        <f>IF(T39="","",$C$40*(-Proforma!$E$115))</f>
        <v/>
      </c>
      <c r="U40" s="467" t="str">
        <f>IF(U39="","",$C$40*(-Proforma!$E$115))</f>
        <v/>
      </c>
    </row>
    <row r="41" spans="2:25" ht="15" x14ac:dyDescent="0.2">
      <c r="B41" s="450" t="s">
        <v>737</v>
      </c>
      <c r="C41" s="469">
        <v>0.01</v>
      </c>
      <c r="D41" s="397"/>
      <c r="E41" s="433"/>
      <c r="F41" s="467">
        <v>200000</v>
      </c>
      <c r="G41" s="467">
        <f ca="1">IF(G39="","",0)</f>
        <v>0</v>
      </c>
      <c r="H41" s="467">
        <f t="shared" ref="H41:U41" ca="1" si="14">IF(H39="","",0)</f>
        <v>0</v>
      </c>
      <c r="I41" s="467">
        <f t="shared" ca="1" si="14"/>
        <v>0</v>
      </c>
      <c r="J41" s="467">
        <f t="shared" ca="1" si="14"/>
        <v>0</v>
      </c>
      <c r="K41" s="467">
        <f t="shared" ca="1" si="14"/>
        <v>0</v>
      </c>
      <c r="L41" s="467">
        <f t="shared" ca="1" si="14"/>
        <v>0</v>
      </c>
      <c r="M41" s="467">
        <f t="shared" ca="1" si="14"/>
        <v>0</v>
      </c>
      <c r="N41" s="467">
        <f t="shared" ca="1" si="14"/>
        <v>0</v>
      </c>
      <c r="O41" s="467">
        <f t="shared" ca="1" si="14"/>
        <v>0</v>
      </c>
      <c r="P41" s="467">
        <f t="shared" ca="1" si="14"/>
        <v>0</v>
      </c>
      <c r="Q41" s="467" t="str">
        <f t="shared" si="14"/>
        <v/>
      </c>
      <c r="R41" s="467" t="str">
        <f t="shared" si="14"/>
        <v/>
      </c>
      <c r="S41" s="467" t="str">
        <f t="shared" si="14"/>
        <v/>
      </c>
      <c r="T41" s="467" t="str">
        <f t="shared" si="14"/>
        <v/>
      </c>
      <c r="U41" s="467" t="str">
        <f t="shared" si="14"/>
        <v/>
      </c>
    </row>
    <row r="42" spans="2:25" ht="15" x14ac:dyDescent="0.2">
      <c r="B42" s="450" t="s">
        <v>738</v>
      </c>
      <c r="C42" s="469">
        <v>0.01</v>
      </c>
      <c r="D42" s="397"/>
      <c r="E42" s="433"/>
      <c r="F42" s="467">
        <v>0</v>
      </c>
      <c r="G42" s="467">
        <f ca="1">IF(G37=$G$4,$C$42*Proforma!F102,IF(G41="","",0))</f>
        <v>0</v>
      </c>
      <c r="H42" s="467">
        <f ca="1">IF(H37=$G$4,$C$42*Proforma!G102,IF(H41="","",0))</f>
        <v>0</v>
      </c>
      <c r="I42" s="467">
        <f ca="1">IF(I37=$G$4,$C$42*Proforma!H102,IF(I41="","",0))</f>
        <v>0</v>
      </c>
      <c r="J42" s="467">
        <f ca="1">IF(J37=$G$4,$C$42*Proforma!I102,IF(J41="","",0))</f>
        <v>0</v>
      </c>
      <c r="K42" s="467">
        <f ca="1">IF(K37=$G$4,$C$42*Proforma!J102,IF(K41="","",0))</f>
        <v>0</v>
      </c>
      <c r="L42" s="467">
        <f ca="1">IF(L37=$G$4,$C$42*Proforma!K102,IF(L41="","",0))</f>
        <v>0</v>
      </c>
      <c r="M42" s="467">
        <f ca="1">IF(M37=$G$4,$C$42*Proforma!L102,IF(M41="","",0))</f>
        <v>0</v>
      </c>
      <c r="N42" s="467">
        <f ca="1">IF(N37=$G$4,$C$42*Proforma!M102,IF(N41="","",0))</f>
        <v>0</v>
      </c>
      <c r="O42" s="467">
        <f ca="1">IF(O37=$G$4,$C$42*Proforma!N102,IF(O41="","",0))</f>
        <v>0</v>
      </c>
      <c r="P42" s="467">
        <f ca="1">IF(P37=$G$4,$C$42*Proforma!O102,IF(P41="","",0))</f>
        <v>132128.39766859359</v>
      </c>
      <c r="Q42" s="467" t="str">
        <f>IF(Q37=$G$4,$C$42*Proforma!P102,IF(Q41="","",0))</f>
        <v/>
      </c>
      <c r="R42" s="467" t="str">
        <f>IF(R37=$G$4,$C$42*Proforma!Q102,IF(R41="","",0))</f>
        <v/>
      </c>
      <c r="S42" s="467" t="str">
        <f>IF(S37=$G$4,$C$42*Proforma!R102,IF(S41="","",0))</f>
        <v/>
      </c>
      <c r="T42" s="467" t="str">
        <f>IF(T37=$G$4,$C$42*Proforma!S102,IF(T41="","",0))</f>
        <v/>
      </c>
      <c r="U42" s="467" t="str">
        <f>IF(U37=$G$4,$C$42*Proforma!T102,IF(U41="","",0))</f>
        <v/>
      </c>
    </row>
    <row r="43" spans="2:25" ht="15" x14ac:dyDescent="0.2">
      <c r="B43" s="450" t="s">
        <v>739</v>
      </c>
      <c r="C43" s="470">
        <v>25</v>
      </c>
      <c r="D43" s="397" t="s">
        <v>740</v>
      </c>
      <c r="E43" s="433"/>
      <c r="F43" s="467"/>
      <c r="G43" s="467">
        <f ca="1">IF(G42="","",$C43*200)</f>
        <v>5000</v>
      </c>
      <c r="H43" s="467">
        <f t="shared" ref="H43:U43" ca="1" si="15">IF(H42="","",$C43*200)</f>
        <v>5000</v>
      </c>
      <c r="I43" s="467">
        <f t="shared" ca="1" si="15"/>
        <v>5000</v>
      </c>
      <c r="J43" s="467">
        <f t="shared" ca="1" si="15"/>
        <v>5000</v>
      </c>
      <c r="K43" s="467">
        <f t="shared" ca="1" si="15"/>
        <v>5000</v>
      </c>
      <c r="L43" s="467">
        <f t="shared" ca="1" si="15"/>
        <v>5000</v>
      </c>
      <c r="M43" s="467">
        <f t="shared" ca="1" si="15"/>
        <v>5000</v>
      </c>
      <c r="N43" s="467">
        <f t="shared" ca="1" si="15"/>
        <v>5000</v>
      </c>
      <c r="O43" s="467">
        <f t="shared" ca="1" si="15"/>
        <v>5000</v>
      </c>
      <c r="P43" s="467">
        <f t="shared" ca="1" si="15"/>
        <v>5000</v>
      </c>
      <c r="Q43" s="467" t="str">
        <f t="shared" si="15"/>
        <v/>
      </c>
      <c r="R43" s="467" t="str">
        <f t="shared" si="15"/>
        <v/>
      </c>
      <c r="S43" s="467" t="str">
        <f t="shared" si="15"/>
        <v/>
      </c>
      <c r="T43" s="467" t="str">
        <f t="shared" si="15"/>
        <v/>
      </c>
      <c r="U43" s="467" t="str">
        <f t="shared" si="15"/>
        <v/>
      </c>
    </row>
    <row r="44" spans="2:25" ht="15" x14ac:dyDescent="0.2">
      <c r="B44" s="450" t="s">
        <v>741</v>
      </c>
      <c r="C44" s="466">
        <f>C43</f>
        <v>25</v>
      </c>
      <c r="D44" s="471" t="str">
        <f>IF(C44&lt;25,"Need to calculate manually when less than 25","")</f>
        <v/>
      </c>
      <c r="E44" s="433"/>
      <c r="F44" s="467">
        <f>MAX(C44-25,0)*1200+24000+22000</f>
        <v>46000</v>
      </c>
      <c r="G44" s="467"/>
      <c r="H44" s="467"/>
      <c r="I44" s="467"/>
      <c r="J44" s="467"/>
      <c r="K44" s="467"/>
      <c r="L44" s="467"/>
      <c r="M44" s="467"/>
      <c r="N44" s="467"/>
      <c r="O44" s="467"/>
      <c r="P44" s="467"/>
      <c r="Q44" s="467"/>
      <c r="R44" s="467"/>
      <c r="S44" s="467"/>
      <c r="T44" s="467"/>
      <c r="U44" s="467"/>
    </row>
    <row r="45" spans="2:25" ht="15" x14ac:dyDescent="0.2">
      <c r="B45" s="450" t="s">
        <v>742</v>
      </c>
      <c r="C45" s="469">
        <v>0.03</v>
      </c>
      <c r="D45" s="397"/>
      <c r="E45" s="433"/>
      <c r="F45" s="467">
        <v>0</v>
      </c>
      <c r="G45" s="467">
        <f ca="1">IF(G$37=$G$4,$C$45*Proforma!F$102,IF(G42="","",0))</f>
        <v>0</v>
      </c>
      <c r="H45" s="467">
        <f ca="1">IF(H$37=$G$4,$C$45*Proforma!G$102,IF(H42="","",0))</f>
        <v>0</v>
      </c>
      <c r="I45" s="467">
        <f ca="1">IF(I$37=$G$4,$C$45*Proforma!H$102,IF(I42="","",0))</f>
        <v>0</v>
      </c>
      <c r="J45" s="467">
        <f ca="1">IF(J$37=$G$4,$C$45*Proforma!I$102,IF(J42="","",0))</f>
        <v>0</v>
      </c>
      <c r="K45" s="467">
        <f ca="1">IF(K$37=$G$4,$C$45*Proforma!J$102,IF(K42="","",0))</f>
        <v>0</v>
      </c>
      <c r="L45" s="467">
        <f ca="1">IF(L$37=$G$4,$C$45*Proforma!K$102,IF(L42="","",0))</f>
        <v>0</v>
      </c>
      <c r="M45" s="467">
        <f ca="1">IF(M$37=$G$4,$C$45*Proforma!L$102,IF(M42="","",0))</f>
        <v>0</v>
      </c>
      <c r="N45" s="467">
        <f ca="1">IF(N$37=$G$4,$C$45*Proforma!M$102,IF(N42="","",0))</f>
        <v>0</v>
      </c>
      <c r="O45" s="467">
        <f ca="1">IF(O$37=$G$4,$C$45*Proforma!N$102,IF(O42="","",0))</f>
        <v>0</v>
      </c>
      <c r="P45" s="467">
        <f ca="1">IF(P$37=$G$4,$C$45*Proforma!O$102,IF(P42="","",0))</f>
        <v>396385.19300578081</v>
      </c>
      <c r="Q45" s="467" t="str">
        <f>IF(Q$37=$G$4,$C$45*Proforma!P$102,IF(Q42="","",0))</f>
        <v/>
      </c>
      <c r="R45" s="467" t="str">
        <f>IF(R$37=$G$4,$C$45*Proforma!Q$102,IF(R42="","",0))</f>
        <v/>
      </c>
      <c r="S45" s="467" t="str">
        <f>IF(S$37=$G$4,$C$45*Proforma!R$102,IF(S42="","",0))</f>
        <v/>
      </c>
      <c r="T45" s="467" t="str">
        <f>IF(T$37=$G$4,$C$45*Proforma!S$102,IF(T42="","",0))</f>
        <v/>
      </c>
      <c r="U45" s="467" t="str">
        <f>IF(U$37=$G$4,$C$45*Proforma!T$102,IF(U42="","",0))</f>
        <v/>
      </c>
    </row>
    <row r="46" spans="2:25" ht="15" x14ac:dyDescent="0.2">
      <c r="B46" s="450" t="s">
        <v>743</v>
      </c>
      <c r="C46" s="469">
        <v>5.0000000000000001E-3</v>
      </c>
      <c r="D46" s="397"/>
      <c r="E46" s="433"/>
      <c r="F46" s="467">
        <v>0</v>
      </c>
      <c r="G46" s="467">
        <f ca="1">IF(G$37=$G$4,$C$46*Proforma!F$102,IF(G45="","",0))</f>
        <v>0</v>
      </c>
      <c r="H46" s="467">
        <f ca="1">IF(H$37=$G$4,$C$46*Proforma!G$102,IF(H45="","",0))</f>
        <v>0</v>
      </c>
      <c r="I46" s="467">
        <f ca="1">IF(I$37=$G$4,$C$46*Proforma!H$102,IF(I45="","",0))</f>
        <v>0</v>
      </c>
      <c r="J46" s="467">
        <f ca="1">IF(J$37=$G$4,$C$46*Proforma!I$102,IF(J45="","",0))</f>
        <v>0</v>
      </c>
      <c r="K46" s="467">
        <f ca="1">IF(K$37=$G$4,$C$46*Proforma!J$102,IF(K45="","",0))</f>
        <v>0</v>
      </c>
      <c r="L46" s="467">
        <f ca="1">IF(L$37=$G$4,$C$46*Proforma!K$102,IF(L45="","",0))</f>
        <v>0</v>
      </c>
      <c r="M46" s="467">
        <f ca="1">IF(M$37=$G$4,$C$46*Proforma!L$102,IF(M45="","",0))</f>
        <v>0</v>
      </c>
      <c r="N46" s="467">
        <f ca="1">IF(N$37=$G$4,$C$46*Proforma!M$102,IF(N45="","",0))</f>
        <v>0</v>
      </c>
      <c r="O46" s="467">
        <f ca="1">IF(O$37=$G$4,$C$46*Proforma!N$102,IF(O45="","",0))</f>
        <v>0</v>
      </c>
      <c r="P46" s="467">
        <f ca="1">IF(P$37=$G$4,$C$46*Proforma!O$102,IF(P45="","",0))</f>
        <v>66064.198834296796</v>
      </c>
      <c r="Q46" s="467" t="str">
        <f>IF(Q$37=$G$4,$C$46*Proforma!P$102,IF(Q45="","",0))</f>
        <v/>
      </c>
      <c r="R46" s="467" t="str">
        <f>IF(R$37=$G$4,$C$46*Proforma!Q$102,IF(R45="","",0))</f>
        <v/>
      </c>
      <c r="S46" s="467" t="str">
        <f>IF(S$37=$G$4,$C$46*Proforma!R$102,IF(S45="","",0))</f>
        <v/>
      </c>
      <c r="T46" s="467" t="str">
        <f>IF(T$37=$G$4,$C$46*Proforma!S$102,IF(T45="","",0))</f>
        <v/>
      </c>
      <c r="U46" s="467" t="str">
        <f>IF(U$37=$G$4,$C$46*Proforma!T$102,IF(U45="","",0))</f>
        <v/>
      </c>
    </row>
    <row r="47" spans="2:25" ht="15" x14ac:dyDescent="0.2">
      <c r="B47" s="397" t="s">
        <v>744</v>
      </c>
      <c r="C47" s="397"/>
      <c r="D47" s="397"/>
      <c r="E47" s="433"/>
      <c r="F47" s="467">
        <f>IF(F37="","",F39-SUM(F40:F46))</f>
        <v>-3206000</v>
      </c>
      <c r="G47" s="467">
        <f t="shared" ref="G47:U47" ca="1" si="16">IF(G37="","",G39-SUM(G40:G46))</f>
        <v>10279.916599999997</v>
      </c>
      <c r="H47" s="467">
        <f t="shared" ca="1" si="16"/>
        <v>107362.10145377007</v>
      </c>
      <c r="I47" s="467">
        <f t="shared" ca="1" si="16"/>
        <v>381075.05733093224</v>
      </c>
      <c r="J47" s="467">
        <f t="shared" ca="1" si="16"/>
        <v>209275.85578658892</v>
      </c>
      <c r="K47" s="467">
        <f t="shared" ca="1" si="16"/>
        <v>3154962.5354782711</v>
      </c>
      <c r="L47" s="467">
        <f t="shared" ca="1" si="16"/>
        <v>60842.582533426699</v>
      </c>
      <c r="M47" s="467">
        <f t="shared" ca="1" si="16"/>
        <v>87177.653218013118</v>
      </c>
      <c r="N47" s="467">
        <f t="shared" ca="1" si="16"/>
        <v>114654.21925187693</v>
      </c>
      <c r="O47" s="467">
        <f t="shared" ca="1" si="16"/>
        <v>143319.70229942701</v>
      </c>
      <c r="P47" s="467">
        <f t="shared" ca="1" si="16"/>
        <v>-213532.33620663738</v>
      </c>
      <c r="Q47" s="467" t="str">
        <f t="shared" si="16"/>
        <v/>
      </c>
      <c r="R47" s="467" t="str">
        <f t="shared" si="16"/>
        <v/>
      </c>
      <c r="S47" s="467" t="str">
        <f t="shared" si="16"/>
        <v/>
      </c>
      <c r="T47" s="467" t="str">
        <f t="shared" si="16"/>
        <v/>
      </c>
      <c r="U47" s="467" t="str">
        <f t="shared" si="16"/>
        <v/>
      </c>
    </row>
    <row r="48" spans="2:25" ht="15" x14ac:dyDescent="0.2">
      <c r="B48" s="397" t="s">
        <v>745</v>
      </c>
      <c r="C48" s="397"/>
      <c r="D48" s="397"/>
      <c r="E48" s="397"/>
      <c r="F48" s="449">
        <f ca="1">IRR(F47:U47)</f>
        <v>5.1451857531718215E-2</v>
      </c>
      <c r="G48" s="398"/>
      <c r="H48" s="398"/>
      <c r="I48" s="398"/>
      <c r="J48" s="398"/>
      <c r="K48" s="398"/>
      <c r="L48" s="398"/>
      <c r="M48" s="398"/>
      <c r="N48" s="398"/>
      <c r="O48" s="398"/>
      <c r="P48" s="398"/>
      <c r="Q48" s="398"/>
      <c r="R48" s="398"/>
      <c r="S48" s="398"/>
      <c r="T48" s="398"/>
      <c r="U48" s="398"/>
    </row>
    <row r="49" spans="2:21" ht="15" x14ac:dyDescent="0.2">
      <c r="B49" s="397" t="s">
        <v>711</v>
      </c>
      <c r="C49" s="397"/>
      <c r="D49" s="397"/>
      <c r="E49" s="397"/>
      <c r="F49" s="472">
        <f ca="1">SUMIF(F47:U47,"&gt;0")/-SUMIF(F47:U47,"&lt;0")</f>
        <v>1.2484015953736953</v>
      </c>
      <c r="G49" s="398"/>
      <c r="H49" s="398"/>
      <c r="I49" s="398"/>
      <c r="J49" s="398"/>
      <c r="K49" s="398"/>
      <c r="L49" s="398"/>
      <c r="M49" s="398"/>
      <c r="N49" s="398"/>
      <c r="O49" s="398"/>
      <c r="P49" s="398"/>
      <c r="Q49" s="398"/>
      <c r="R49" s="398"/>
      <c r="S49" s="398"/>
      <c r="T49" s="398"/>
      <c r="U49" s="398"/>
    </row>
    <row r="50" spans="2:21" ht="5" customHeight="1" x14ac:dyDescent="0.2">
      <c r="B50" s="397"/>
      <c r="C50" s="397"/>
      <c r="D50" s="397"/>
      <c r="E50" s="398"/>
      <c r="F50" s="473"/>
      <c r="G50" s="398"/>
      <c r="H50" s="398"/>
      <c r="I50" s="398"/>
      <c r="J50" s="398"/>
      <c r="K50" s="398"/>
      <c r="L50" s="398"/>
      <c r="M50" s="398"/>
      <c r="N50" s="398"/>
      <c r="O50" s="398"/>
      <c r="P50" s="473"/>
      <c r="Q50" s="398"/>
      <c r="R50" s="398"/>
      <c r="S50" s="398"/>
      <c r="T50" s="398"/>
      <c r="U50" s="398"/>
    </row>
    <row r="51" spans="2:21" ht="16" x14ac:dyDescent="0.2">
      <c r="B51" s="400" t="s">
        <v>746</v>
      </c>
      <c r="C51" s="397"/>
      <c r="D51" s="397"/>
      <c r="E51" s="397"/>
      <c r="F51" s="398"/>
      <c r="G51" s="398"/>
      <c r="H51" s="398"/>
      <c r="I51" s="398"/>
      <c r="J51" s="398"/>
      <c r="K51" s="398"/>
      <c r="L51" s="398"/>
      <c r="M51" s="398"/>
      <c r="N51" s="398"/>
      <c r="O51" s="398"/>
      <c r="P51" s="398"/>
      <c r="Q51" s="398"/>
      <c r="R51" s="398"/>
      <c r="S51" s="398"/>
      <c r="T51" s="398"/>
      <c r="U51" s="398"/>
    </row>
    <row r="52" spans="2:21" ht="15" x14ac:dyDescent="0.2">
      <c r="B52" s="474" t="s">
        <v>747</v>
      </c>
      <c r="C52" s="475">
        <f>E14</f>
        <v>7.0000000000000007E-2</v>
      </c>
      <c r="D52" s="421"/>
      <c r="E52" s="421"/>
      <c r="F52" s="422"/>
      <c r="G52" s="422"/>
      <c r="H52" s="422"/>
      <c r="I52" s="422"/>
      <c r="J52" s="422"/>
      <c r="K52" s="422"/>
      <c r="L52" s="422"/>
      <c r="M52" s="422"/>
      <c r="N52" s="422"/>
      <c r="O52" s="422"/>
      <c r="P52" s="422"/>
      <c r="Q52" s="422"/>
      <c r="R52" s="422"/>
      <c r="S52" s="422"/>
      <c r="T52" s="422"/>
      <c r="U52" s="422"/>
    </row>
    <row r="53" spans="2:21" ht="15" x14ac:dyDescent="0.2">
      <c r="B53" s="397" t="s">
        <v>748</v>
      </c>
      <c r="C53" s="397"/>
      <c r="D53" s="397"/>
      <c r="E53" s="397"/>
      <c r="F53" s="476">
        <f t="shared" ref="F53:U53" si="17">IF(F37="","",E58)</f>
        <v>0</v>
      </c>
      <c r="G53" s="476">
        <f t="shared" si="17"/>
        <v>3045700</v>
      </c>
      <c r="H53" s="476">
        <f t="shared" ca="1" si="17"/>
        <v>3249133.0792299998</v>
      </c>
      <c r="I53" s="476">
        <f t="shared" ca="1" si="17"/>
        <v>3374578.3983950182</v>
      </c>
      <c r="J53" s="476">
        <f t="shared" ca="1" si="17"/>
        <v>3248777.5818182835</v>
      </c>
      <c r="K53" s="476">
        <f t="shared" ca="1" si="17"/>
        <v>3277379.9495483036</v>
      </c>
      <c r="L53" s="476">
        <f t="shared" ca="1" si="17"/>
        <v>509582.13731232751</v>
      </c>
      <c r="M53" s="476">
        <f t="shared" ca="1" si="17"/>
        <v>487452.4335174351</v>
      </c>
      <c r="N53" s="476">
        <f t="shared" ca="1" si="17"/>
        <v>438755.33330654312</v>
      </c>
      <c r="O53" s="476">
        <f t="shared" ca="1" si="17"/>
        <v>360546.69834871806</v>
      </c>
      <c r="P53" s="476">
        <f t="shared" ca="1" si="17"/>
        <v>249631.25004867266</v>
      </c>
      <c r="Q53" s="476" t="str">
        <f t="shared" si="17"/>
        <v/>
      </c>
      <c r="R53" s="476" t="str">
        <f t="shared" si="17"/>
        <v/>
      </c>
      <c r="S53" s="476" t="str">
        <f t="shared" si="17"/>
        <v/>
      </c>
      <c r="T53" s="476" t="str">
        <f t="shared" si="17"/>
        <v/>
      </c>
      <c r="U53" s="476" t="str">
        <f t="shared" si="17"/>
        <v/>
      </c>
    </row>
    <row r="54" spans="2:21" ht="15" x14ac:dyDescent="0.2">
      <c r="B54" s="397" t="s">
        <v>749</v>
      </c>
      <c r="C54" s="397"/>
      <c r="D54" s="397"/>
      <c r="E54" s="397"/>
      <c r="F54" s="477" t="str">
        <f ca="1">IF(ROUND(SUM(G54:U54),0)=ROUND(SUM(F56:U56),0),"All Capital Returned","Capital Not Returned")</f>
        <v>Capital Not Returned</v>
      </c>
      <c r="G54" s="476">
        <f ca="1">IF(G37="","",G60-G55)</f>
        <v>-203433.07923000003</v>
      </c>
      <c r="H54" s="476">
        <f t="shared" ref="H54:U54" ca="1" si="18">IF(H37="","",H60-H55)</f>
        <v>-125445.31916501845</v>
      </c>
      <c r="I54" s="476">
        <f t="shared" ca="1" si="18"/>
        <v>125800.81657673433</v>
      </c>
      <c r="J54" s="476">
        <f t="shared" ca="1" si="18"/>
        <v>-28602.3677300204</v>
      </c>
      <c r="K54" s="476">
        <f t="shared" ca="1" si="18"/>
        <v>2767797.8122359761</v>
      </c>
      <c r="L54" s="476">
        <f t="shared" ca="1" si="18"/>
        <v>22129.703794892434</v>
      </c>
      <c r="M54" s="476">
        <f t="shared" ca="1" si="18"/>
        <v>48697.100210891993</v>
      </c>
      <c r="N54" s="476">
        <f t="shared" ca="1" si="18"/>
        <v>78208.634957825067</v>
      </c>
      <c r="O54" s="476">
        <f t="shared" ca="1" si="18"/>
        <v>110915.44830004539</v>
      </c>
      <c r="P54" s="476">
        <f t="shared" ca="1" si="18"/>
        <v>-17474.187503407087</v>
      </c>
      <c r="Q54" s="476" t="str">
        <f t="shared" si="18"/>
        <v/>
      </c>
      <c r="R54" s="476" t="str">
        <f t="shared" si="18"/>
        <v/>
      </c>
      <c r="S54" s="476" t="str">
        <f t="shared" si="18"/>
        <v/>
      </c>
      <c r="T54" s="476" t="str">
        <f t="shared" si="18"/>
        <v/>
      </c>
      <c r="U54" s="476" t="str">
        <f t="shared" si="18"/>
        <v/>
      </c>
    </row>
    <row r="55" spans="2:21" ht="15" x14ac:dyDescent="0.2">
      <c r="B55" s="397" t="s">
        <v>750</v>
      </c>
      <c r="C55" s="397"/>
      <c r="D55" s="397"/>
      <c r="E55" s="397"/>
      <c r="F55" s="476">
        <f>IF(F53="","",IF($D$4="Equity Multiple",E56*$C52-E56,F53*Preferred_Return))</f>
        <v>0</v>
      </c>
      <c r="G55" s="476">
        <f t="shared" ref="G55:U55" si="19">IF(G53="","",IF($D$4="Equity Multiple",F56*$C52-F56,G53*Preferred_Return))</f>
        <v>213199.00000000003</v>
      </c>
      <c r="H55" s="476">
        <f t="shared" ca="1" si="19"/>
        <v>227439.3155461</v>
      </c>
      <c r="I55" s="476">
        <f t="shared" ca="1" si="19"/>
        <v>236220.48788765128</v>
      </c>
      <c r="J55" s="476">
        <f t="shared" ca="1" si="19"/>
        <v>227414.43072727986</v>
      </c>
      <c r="K55" s="476">
        <f t="shared" ca="1" si="19"/>
        <v>229416.59646838126</v>
      </c>
      <c r="L55" s="476">
        <f t="shared" ca="1" si="19"/>
        <v>35670.749611862928</v>
      </c>
      <c r="M55" s="476">
        <f t="shared" ca="1" si="19"/>
        <v>34121.67034622046</v>
      </c>
      <c r="N55" s="476">
        <f t="shared" ca="1" si="19"/>
        <v>30712.87333145802</v>
      </c>
      <c r="O55" s="476">
        <f t="shared" ca="1" si="19"/>
        <v>25238.268884410267</v>
      </c>
      <c r="P55" s="476">
        <f t="shared" ca="1" si="19"/>
        <v>17474.187503407087</v>
      </c>
      <c r="Q55" s="476" t="str">
        <f t="shared" si="19"/>
        <v/>
      </c>
      <c r="R55" s="476" t="str">
        <f t="shared" si="19"/>
        <v/>
      </c>
      <c r="S55" s="476" t="str">
        <f t="shared" si="19"/>
        <v/>
      </c>
      <c r="T55" s="476" t="str">
        <f t="shared" si="19"/>
        <v/>
      </c>
      <c r="U55" s="476" t="str">
        <f t="shared" si="19"/>
        <v/>
      </c>
    </row>
    <row r="56" spans="2:21" ht="15" x14ac:dyDescent="0.2">
      <c r="B56" s="397" t="s">
        <v>751</v>
      </c>
      <c r="C56" s="397"/>
      <c r="D56" s="397"/>
      <c r="E56" s="397"/>
      <c r="F56" s="476">
        <f t="shared" ref="F56:U56" si="20">IF(F53="","",-MIN(0,F47*Equity_Share_LP))</f>
        <v>3045700</v>
      </c>
      <c r="G56" s="476">
        <f t="shared" ca="1" si="20"/>
        <v>0</v>
      </c>
      <c r="H56" s="476">
        <f t="shared" ca="1" si="20"/>
        <v>0</v>
      </c>
      <c r="I56" s="476">
        <f t="shared" ca="1" si="20"/>
        <v>0</v>
      </c>
      <c r="J56" s="476">
        <f t="shared" ca="1" si="20"/>
        <v>0</v>
      </c>
      <c r="K56" s="476">
        <f t="shared" ca="1" si="20"/>
        <v>0</v>
      </c>
      <c r="L56" s="476">
        <f t="shared" ca="1" si="20"/>
        <v>0</v>
      </c>
      <c r="M56" s="476">
        <f t="shared" ca="1" si="20"/>
        <v>0</v>
      </c>
      <c r="N56" s="476">
        <f t="shared" ca="1" si="20"/>
        <v>0</v>
      </c>
      <c r="O56" s="476">
        <f t="shared" ca="1" si="20"/>
        <v>0</v>
      </c>
      <c r="P56" s="476">
        <f t="shared" ca="1" si="20"/>
        <v>202855.7193963055</v>
      </c>
      <c r="Q56" s="476" t="str">
        <f t="shared" si="20"/>
        <v/>
      </c>
      <c r="R56" s="476" t="str">
        <f t="shared" si="20"/>
        <v/>
      </c>
      <c r="S56" s="476" t="str">
        <f t="shared" si="20"/>
        <v/>
      </c>
      <c r="T56" s="476" t="str">
        <f t="shared" si="20"/>
        <v/>
      </c>
      <c r="U56" s="476" t="str">
        <f t="shared" si="20"/>
        <v/>
      </c>
    </row>
    <row r="57" spans="2:21" ht="15" x14ac:dyDescent="0.2">
      <c r="B57" s="397" t="s">
        <v>752</v>
      </c>
      <c r="C57" s="397"/>
      <c r="D57" s="397"/>
      <c r="E57" s="397"/>
      <c r="F57" s="476">
        <f>MAX(F47,F55)</f>
        <v>0</v>
      </c>
      <c r="G57" s="404">
        <f t="shared" ref="G57:U57" ca="1" si="21">IF(G53="","",MIN(G53+G55,MAX(G47,0)*$I$14))</f>
        <v>9765.920769999997</v>
      </c>
      <c r="H57" s="404">
        <f t="shared" ca="1" si="21"/>
        <v>101993.99638108155</v>
      </c>
      <c r="I57" s="404">
        <f t="shared" ca="1" si="21"/>
        <v>362021.30446438561</v>
      </c>
      <c r="J57" s="404">
        <f t="shared" ca="1" si="21"/>
        <v>198812.06299725946</v>
      </c>
      <c r="K57" s="404">
        <f t="shared" ca="1" si="21"/>
        <v>2997214.4087043572</v>
      </c>
      <c r="L57" s="404">
        <f t="shared" ca="1" si="21"/>
        <v>57800.453406755361</v>
      </c>
      <c r="M57" s="404">
        <f t="shared" ca="1" si="21"/>
        <v>82818.770557112453</v>
      </c>
      <c r="N57" s="404">
        <f t="shared" ca="1" si="21"/>
        <v>108921.50828928308</v>
      </c>
      <c r="O57" s="404">
        <f t="shared" ca="1" si="21"/>
        <v>136153.71718445566</v>
      </c>
      <c r="P57" s="404">
        <f t="shared" ca="1" si="21"/>
        <v>0</v>
      </c>
      <c r="Q57" s="404" t="str">
        <f t="shared" si="21"/>
        <v/>
      </c>
      <c r="R57" s="404" t="str">
        <f t="shared" si="21"/>
        <v/>
      </c>
      <c r="S57" s="404" t="str">
        <f t="shared" si="21"/>
        <v/>
      </c>
      <c r="T57" s="404" t="str">
        <f t="shared" si="21"/>
        <v/>
      </c>
      <c r="U57" s="404" t="str">
        <f t="shared" si="21"/>
        <v/>
      </c>
    </row>
    <row r="58" spans="2:21" ht="15" x14ac:dyDescent="0.2">
      <c r="B58" s="397" t="s">
        <v>753</v>
      </c>
      <c r="C58" s="397"/>
      <c r="D58" s="397"/>
      <c r="E58" s="397"/>
      <c r="F58" s="476">
        <f>F53+F56-F57</f>
        <v>3045700</v>
      </c>
      <c r="G58" s="476">
        <f ca="1">IF(G53="","",G53+G55+G56-G57)</f>
        <v>3249133.0792299998</v>
      </c>
      <c r="H58" s="476">
        <f t="shared" ref="H58:U58" ca="1" si="22">IF(H53="","",H53+H55+H56-H57)</f>
        <v>3374578.3983950182</v>
      </c>
      <c r="I58" s="476">
        <f t="shared" ca="1" si="22"/>
        <v>3248777.5818182835</v>
      </c>
      <c r="J58" s="476">
        <f t="shared" ca="1" si="22"/>
        <v>3277379.9495483036</v>
      </c>
      <c r="K58" s="476">
        <f t="shared" ca="1" si="22"/>
        <v>509582.13731232751</v>
      </c>
      <c r="L58" s="476">
        <f t="shared" ca="1" si="22"/>
        <v>487452.4335174351</v>
      </c>
      <c r="M58" s="476">
        <f t="shared" ca="1" si="22"/>
        <v>438755.33330654312</v>
      </c>
      <c r="N58" s="476">
        <f t="shared" ca="1" si="22"/>
        <v>360546.69834871806</v>
      </c>
      <c r="O58" s="476">
        <f t="shared" ca="1" si="22"/>
        <v>249631.25004867266</v>
      </c>
      <c r="P58" s="476">
        <f t="shared" ca="1" si="22"/>
        <v>469961.15694838524</v>
      </c>
      <c r="Q58" s="476" t="str">
        <f t="shared" si="22"/>
        <v/>
      </c>
      <c r="R58" s="476" t="str">
        <f t="shared" si="22"/>
        <v/>
      </c>
      <c r="S58" s="476" t="str">
        <f t="shared" si="22"/>
        <v/>
      </c>
      <c r="T58" s="476" t="str">
        <f t="shared" si="22"/>
        <v/>
      </c>
      <c r="U58" s="476" t="str">
        <f t="shared" si="22"/>
        <v/>
      </c>
    </row>
    <row r="59" spans="2:21" ht="15" x14ac:dyDescent="0.2">
      <c r="B59" s="478" t="str">
        <f>IF(D4="Equity Multiple", "LP EMx Check","LP IRR Check")</f>
        <v>LP IRR Check</v>
      </c>
      <c r="C59" s="397"/>
      <c r="D59" s="397"/>
      <c r="E59" s="479">
        <f ca="1">IF($D$4="IRR",IRR(F59:U59),SUMIF(F59:U59,"&gt;0")/-SUMIF(F59:U59,"&lt;0"))</f>
        <v>5.1451857531718437E-2</v>
      </c>
      <c r="F59" s="476">
        <f t="shared" ref="F59:U59" si="23">IF(F53="","",-F56+F57)</f>
        <v>-3045700</v>
      </c>
      <c r="G59" s="476">
        <f t="shared" ca="1" si="23"/>
        <v>9765.920769999997</v>
      </c>
      <c r="H59" s="476">
        <f t="shared" ca="1" si="23"/>
        <v>101993.99638108155</v>
      </c>
      <c r="I59" s="476">
        <f t="shared" ca="1" si="23"/>
        <v>362021.30446438561</v>
      </c>
      <c r="J59" s="476">
        <f t="shared" ca="1" si="23"/>
        <v>198812.06299725946</v>
      </c>
      <c r="K59" s="476">
        <f t="shared" ca="1" si="23"/>
        <v>2997214.4087043572</v>
      </c>
      <c r="L59" s="476">
        <f t="shared" ca="1" si="23"/>
        <v>57800.453406755361</v>
      </c>
      <c r="M59" s="476">
        <f t="shared" ca="1" si="23"/>
        <v>82818.770557112453</v>
      </c>
      <c r="N59" s="476">
        <f t="shared" ca="1" si="23"/>
        <v>108921.50828928308</v>
      </c>
      <c r="O59" s="476">
        <f t="shared" ca="1" si="23"/>
        <v>136153.71718445566</v>
      </c>
      <c r="P59" s="476">
        <f t="shared" ca="1" si="23"/>
        <v>-202855.7193963055</v>
      </c>
      <c r="Q59" s="476" t="str">
        <f t="shared" si="23"/>
        <v/>
      </c>
      <c r="R59" s="476" t="str">
        <f t="shared" si="23"/>
        <v/>
      </c>
      <c r="S59" s="476" t="str">
        <f t="shared" si="23"/>
        <v/>
      </c>
      <c r="T59" s="476" t="str">
        <f t="shared" si="23"/>
        <v/>
      </c>
      <c r="U59" s="476" t="str">
        <f t="shared" si="23"/>
        <v/>
      </c>
    </row>
    <row r="60" spans="2:21" ht="15" x14ac:dyDescent="0.2">
      <c r="B60" s="397" t="s">
        <v>754</v>
      </c>
      <c r="C60" s="397"/>
      <c r="D60" s="397"/>
      <c r="E60" s="397"/>
      <c r="F60" s="476">
        <f>MAX(F47,F55)</f>
        <v>0</v>
      </c>
      <c r="G60" s="476">
        <f ca="1">IF(G53="","",MIN(G53+G55,MAX(G47,0)*$I$14))</f>
        <v>9765.920769999997</v>
      </c>
      <c r="H60" s="476">
        <f t="shared" ref="H60:U60" ca="1" si="24">H57</f>
        <v>101993.99638108155</v>
      </c>
      <c r="I60" s="476">
        <f t="shared" ca="1" si="24"/>
        <v>362021.30446438561</v>
      </c>
      <c r="J60" s="476">
        <f t="shared" ca="1" si="24"/>
        <v>198812.06299725946</v>
      </c>
      <c r="K60" s="476">
        <f t="shared" ca="1" si="24"/>
        <v>2997214.4087043572</v>
      </c>
      <c r="L60" s="476">
        <f t="shared" ca="1" si="24"/>
        <v>57800.453406755361</v>
      </c>
      <c r="M60" s="476">
        <f t="shared" ca="1" si="24"/>
        <v>82818.770557112453</v>
      </c>
      <c r="N60" s="476">
        <f t="shared" ca="1" si="24"/>
        <v>108921.50828928308</v>
      </c>
      <c r="O60" s="476">
        <f t="shared" ca="1" si="24"/>
        <v>136153.71718445566</v>
      </c>
      <c r="P60" s="476">
        <f t="shared" ca="1" si="24"/>
        <v>0</v>
      </c>
      <c r="Q60" s="476" t="str">
        <f t="shared" si="24"/>
        <v/>
      </c>
      <c r="R60" s="476" t="str">
        <f t="shared" si="24"/>
        <v/>
      </c>
      <c r="S60" s="476" t="str">
        <f t="shared" si="24"/>
        <v/>
      </c>
      <c r="T60" s="476" t="str">
        <f t="shared" si="24"/>
        <v/>
      </c>
      <c r="U60" s="476" t="str">
        <f t="shared" si="24"/>
        <v/>
      </c>
    </row>
    <row r="61" spans="2:21" ht="5" customHeight="1" x14ac:dyDescent="0.2">
      <c r="B61" s="397"/>
      <c r="C61" s="397"/>
      <c r="D61" s="397"/>
      <c r="E61" s="397"/>
      <c r="F61" s="476"/>
      <c r="G61" s="476"/>
      <c r="H61" s="476"/>
      <c r="I61" s="476"/>
      <c r="J61" s="476"/>
      <c r="K61" s="476"/>
      <c r="L61" s="476"/>
      <c r="M61" s="476"/>
      <c r="N61" s="476"/>
      <c r="O61" s="476"/>
      <c r="P61" s="476"/>
      <c r="Q61" s="476"/>
      <c r="R61" s="476"/>
      <c r="S61" s="476"/>
      <c r="T61" s="476"/>
      <c r="U61" s="476"/>
    </row>
    <row r="62" spans="2:21" ht="15" x14ac:dyDescent="0.2">
      <c r="B62" s="397" t="s">
        <v>755</v>
      </c>
      <c r="C62" s="397"/>
      <c r="D62" s="397"/>
      <c r="E62" s="397"/>
      <c r="F62" s="476">
        <f>IF(F37="","",E66)</f>
        <v>0</v>
      </c>
      <c r="G62" s="476">
        <f t="shared" ref="G62:U62" si="25">IF(G37="","",F66)</f>
        <v>160300</v>
      </c>
      <c r="H62" s="476">
        <f t="shared" ca="1" si="25"/>
        <v>171007.00417</v>
      </c>
      <c r="I62" s="476">
        <f t="shared" ca="1" si="25"/>
        <v>177609.38938921149</v>
      </c>
      <c r="J62" s="476">
        <f t="shared" ca="1" si="25"/>
        <v>170988.29377990967</v>
      </c>
      <c r="K62" s="476">
        <f t="shared" ca="1" si="25"/>
        <v>172493.68155517388</v>
      </c>
      <c r="L62" s="476">
        <f t="shared" ca="1" si="25"/>
        <v>26820.112490122498</v>
      </c>
      <c r="M62" s="476">
        <f t="shared" ca="1" si="25"/>
        <v>25655.391237759737</v>
      </c>
      <c r="N62" s="476">
        <f t="shared" ca="1" si="25"/>
        <v>23092.38596350226</v>
      </c>
      <c r="O62" s="476">
        <f t="shared" ca="1" si="25"/>
        <v>18976.14201835357</v>
      </c>
      <c r="P62" s="476">
        <f t="shared" ca="1" si="25"/>
        <v>13138.486844666972</v>
      </c>
      <c r="Q62" s="476" t="str">
        <f t="shared" si="25"/>
        <v/>
      </c>
      <c r="R62" s="476" t="str">
        <f t="shared" si="25"/>
        <v/>
      </c>
      <c r="S62" s="476" t="str">
        <f t="shared" si="25"/>
        <v/>
      </c>
      <c r="T62" s="476" t="str">
        <f t="shared" si="25"/>
        <v/>
      </c>
      <c r="U62" s="476" t="str">
        <f t="shared" si="25"/>
        <v/>
      </c>
    </row>
    <row r="63" spans="2:21" ht="15" x14ac:dyDescent="0.2">
      <c r="B63" s="397" t="s">
        <v>756</v>
      </c>
      <c r="C63" s="397"/>
      <c r="D63" s="397"/>
      <c r="E63" s="397"/>
      <c r="F63" s="476">
        <f t="shared" ref="F63:U63" si="26">IF(F62="","",IF($D$4="Equity Multiple",E64*$C52-E64,F62*Preferred_Return))</f>
        <v>0</v>
      </c>
      <c r="G63" s="476">
        <f t="shared" si="26"/>
        <v>11221.000000000002</v>
      </c>
      <c r="H63" s="476">
        <f t="shared" ca="1" si="26"/>
        <v>11970.490291900001</v>
      </c>
      <c r="I63" s="476">
        <f t="shared" ca="1" si="26"/>
        <v>12432.657257244806</v>
      </c>
      <c r="J63" s="476">
        <f t="shared" ca="1" si="26"/>
        <v>11969.180564593678</v>
      </c>
      <c r="K63" s="476">
        <f t="shared" ca="1" si="26"/>
        <v>12074.557708862172</v>
      </c>
      <c r="L63" s="476">
        <f t="shared" ca="1" si="26"/>
        <v>1877.4078743085749</v>
      </c>
      <c r="M63" s="476">
        <f t="shared" ca="1" si="26"/>
        <v>1795.8773866431818</v>
      </c>
      <c r="N63" s="476">
        <f t="shared" ca="1" si="26"/>
        <v>1616.4670174451583</v>
      </c>
      <c r="O63" s="476">
        <f t="shared" ca="1" si="26"/>
        <v>1328.32994128475</v>
      </c>
      <c r="P63" s="476">
        <f t="shared" ca="1" si="26"/>
        <v>919.69407912668805</v>
      </c>
      <c r="Q63" s="476" t="str">
        <f t="shared" si="26"/>
        <v/>
      </c>
      <c r="R63" s="476" t="str">
        <f t="shared" si="26"/>
        <v/>
      </c>
      <c r="S63" s="476" t="str">
        <f t="shared" si="26"/>
        <v/>
      </c>
      <c r="T63" s="476" t="str">
        <f t="shared" si="26"/>
        <v/>
      </c>
      <c r="U63" s="476" t="str">
        <f t="shared" si="26"/>
        <v/>
      </c>
    </row>
    <row r="64" spans="2:21" ht="15" x14ac:dyDescent="0.2">
      <c r="B64" s="397" t="s">
        <v>757</v>
      </c>
      <c r="C64" s="397"/>
      <c r="D64" s="397"/>
      <c r="E64" s="397"/>
      <c r="F64" s="476">
        <f t="shared" ref="F64:U64" si="27">IF(F37="","",-MIN(0,F47*Equity_Share_Sponsor))</f>
        <v>160300</v>
      </c>
      <c r="G64" s="476">
        <f t="shared" ca="1" si="27"/>
        <v>0</v>
      </c>
      <c r="H64" s="476">
        <f t="shared" ca="1" si="27"/>
        <v>0</v>
      </c>
      <c r="I64" s="476">
        <f t="shared" ca="1" si="27"/>
        <v>0</v>
      </c>
      <c r="J64" s="476">
        <f t="shared" ca="1" si="27"/>
        <v>0</v>
      </c>
      <c r="K64" s="476">
        <f t="shared" ca="1" si="27"/>
        <v>0</v>
      </c>
      <c r="L64" s="476">
        <f t="shared" ca="1" si="27"/>
        <v>0</v>
      </c>
      <c r="M64" s="476">
        <f t="shared" ca="1" si="27"/>
        <v>0</v>
      </c>
      <c r="N64" s="476">
        <f t="shared" ca="1" si="27"/>
        <v>0</v>
      </c>
      <c r="O64" s="476">
        <f t="shared" ca="1" si="27"/>
        <v>0</v>
      </c>
      <c r="P64" s="476">
        <f t="shared" ca="1" si="27"/>
        <v>10676.616810331871</v>
      </c>
      <c r="Q64" s="476" t="str">
        <f t="shared" si="27"/>
        <v/>
      </c>
      <c r="R64" s="476" t="str">
        <f t="shared" si="27"/>
        <v/>
      </c>
      <c r="S64" s="476" t="str">
        <f t="shared" si="27"/>
        <v/>
      </c>
      <c r="T64" s="476" t="str">
        <f t="shared" si="27"/>
        <v/>
      </c>
      <c r="U64" s="476" t="str">
        <f t="shared" si="27"/>
        <v/>
      </c>
    </row>
    <row r="65" spans="2:21" ht="15" x14ac:dyDescent="0.2">
      <c r="B65" s="397" t="s">
        <v>758</v>
      </c>
      <c r="C65" s="397"/>
      <c r="D65" s="397"/>
      <c r="E65" s="397"/>
      <c r="F65" s="476">
        <f t="shared" ref="F65:U65" si="28">IF(F37="","",IF(CU?,MAX(MIN(F47-F60,F62+F63+F64),0),F57/$I$14*$H$14))</f>
        <v>0</v>
      </c>
      <c r="G65" s="404">
        <f t="shared" ca="1" si="28"/>
        <v>513.99582999999984</v>
      </c>
      <c r="H65" s="404">
        <f t="shared" ca="1" si="28"/>
        <v>5368.1050726885042</v>
      </c>
      <c r="I65" s="404">
        <f t="shared" ca="1" si="28"/>
        <v>19053.752866546612</v>
      </c>
      <c r="J65" s="404">
        <f t="shared" ca="1" si="28"/>
        <v>10463.792789329447</v>
      </c>
      <c r="K65" s="404">
        <f t="shared" ca="1" si="28"/>
        <v>157748.12677391357</v>
      </c>
      <c r="L65" s="404">
        <f t="shared" ca="1" si="28"/>
        <v>3042.1291266713351</v>
      </c>
      <c r="M65" s="404">
        <f t="shared" ca="1" si="28"/>
        <v>4358.8826609006564</v>
      </c>
      <c r="N65" s="404">
        <f t="shared" ca="1" si="28"/>
        <v>5732.7109625938465</v>
      </c>
      <c r="O65" s="404">
        <f t="shared" ca="1" si="28"/>
        <v>7165.9851149713504</v>
      </c>
      <c r="P65" s="404">
        <f t="shared" ca="1" si="28"/>
        <v>0</v>
      </c>
      <c r="Q65" s="404" t="str">
        <f t="shared" si="28"/>
        <v/>
      </c>
      <c r="R65" s="404" t="str">
        <f t="shared" si="28"/>
        <v/>
      </c>
      <c r="S65" s="404" t="str">
        <f t="shared" si="28"/>
        <v/>
      </c>
      <c r="T65" s="404" t="str">
        <f t="shared" si="28"/>
        <v/>
      </c>
      <c r="U65" s="404" t="str">
        <f t="shared" si="28"/>
        <v/>
      </c>
    </row>
    <row r="66" spans="2:21" ht="15" x14ac:dyDescent="0.2">
      <c r="B66" s="397" t="s">
        <v>759</v>
      </c>
      <c r="C66" s="397"/>
      <c r="D66" s="397"/>
      <c r="E66" s="397"/>
      <c r="F66" s="476">
        <f>IF(F37="","",F62+F63+F64-F65)</f>
        <v>160300</v>
      </c>
      <c r="G66" s="404">
        <f t="shared" ref="G66:U66" ca="1" si="29">IF(G37="","",G62+G63+G64-G65)</f>
        <v>171007.00417</v>
      </c>
      <c r="H66" s="404">
        <f t="shared" ca="1" si="29"/>
        <v>177609.38938921149</v>
      </c>
      <c r="I66" s="404">
        <f t="shared" ca="1" si="29"/>
        <v>170988.29377990967</v>
      </c>
      <c r="J66" s="404">
        <f t="shared" ca="1" si="29"/>
        <v>172493.68155517388</v>
      </c>
      <c r="K66" s="404">
        <f t="shared" ca="1" si="29"/>
        <v>26820.112490122498</v>
      </c>
      <c r="L66" s="404">
        <f t="shared" ca="1" si="29"/>
        <v>25655.391237759737</v>
      </c>
      <c r="M66" s="404">
        <f t="shared" ca="1" si="29"/>
        <v>23092.38596350226</v>
      </c>
      <c r="N66" s="404">
        <f t="shared" ca="1" si="29"/>
        <v>18976.14201835357</v>
      </c>
      <c r="O66" s="404">
        <f t="shared" ca="1" si="29"/>
        <v>13138.486844666972</v>
      </c>
      <c r="P66" s="404">
        <f t="shared" ca="1" si="29"/>
        <v>24734.797734125532</v>
      </c>
      <c r="Q66" s="404" t="str">
        <f t="shared" si="29"/>
        <v/>
      </c>
      <c r="R66" s="404" t="str">
        <f t="shared" si="29"/>
        <v/>
      </c>
      <c r="S66" s="404" t="str">
        <f t="shared" si="29"/>
        <v/>
      </c>
      <c r="T66" s="404" t="str">
        <f t="shared" si="29"/>
        <v/>
      </c>
      <c r="U66" s="404" t="str">
        <f t="shared" si="29"/>
        <v/>
      </c>
    </row>
    <row r="67" spans="2:21" ht="15" x14ac:dyDescent="0.2">
      <c r="B67" s="478" t="str">
        <f>IF(D4="Equity Multiple", "GP EMx Check","GP IRR Check")</f>
        <v>GP IRR Check</v>
      </c>
      <c r="C67" s="397"/>
      <c r="D67" s="397"/>
      <c r="E67" s="479">
        <f ca="1">IF($D$4="IRR",IFERROR(IRR(F67:U67),"NA"),SUMIF(F67:U67,"&gt;0")/-SUMIF(F67:U67,"&lt;0"))</f>
        <v>5.1451857531729317E-2</v>
      </c>
      <c r="F67" s="476">
        <f>IF(F37="","",-F64+F65)</f>
        <v>-160300</v>
      </c>
      <c r="G67" s="404">
        <f t="shared" ref="G67:U67" ca="1" si="30">IF(G37="","",-G64+G65)</f>
        <v>513.99582999999984</v>
      </c>
      <c r="H67" s="404">
        <f t="shared" ca="1" si="30"/>
        <v>5368.1050726885042</v>
      </c>
      <c r="I67" s="404">
        <f t="shared" ca="1" si="30"/>
        <v>19053.752866546612</v>
      </c>
      <c r="J67" s="404">
        <f t="shared" ca="1" si="30"/>
        <v>10463.792789329447</v>
      </c>
      <c r="K67" s="404">
        <f t="shared" ca="1" si="30"/>
        <v>157748.12677391357</v>
      </c>
      <c r="L67" s="404">
        <f t="shared" ca="1" si="30"/>
        <v>3042.1291266713351</v>
      </c>
      <c r="M67" s="404">
        <f t="shared" ca="1" si="30"/>
        <v>4358.8826609006564</v>
      </c>
      <c r="N67" s="404">
        <f t="shared" ca="1" si="30"/>
        <v>5732.7109625938465</v>
      </c>
      <c r="O67" s="404">
        <f t="shared" ca="1" si="30"/>
        <v>7165.9851149713504</v>
      </c>
      <c r="P67" s="404">
        <f t="shared" ca="1" si="30"/>
        <v>-10676.616810331871</v>
      </c>
      <c r="Q67" s="404" t="str">
        <f t="shared" si="30"/>
        <v/>
      </c>
      <c r="R67" s="404" t="str">
        <f t="shared" si="30"/>
        <v/>
      </c>
      <c r="S67" s="404" t="str">
        <f t="shared" si="30"/>
        <v/>
      </c>
      <c r="T67" s="404" t="str">
        <f t="shared" si="30"/>
        <v/>
      </c>
      <c r="U67" s="404" t="str">
        <f t="shared" si="30"/>
        <v/>
      </c>
    </row>
    <row r="68" spans="2:21" ht="5" customHeight="1" x14ac:dyDescent="0.2">
      <c r="B68" s="397"/>
      <c r="C68" s="397"/>
      <c r="D68" s="397"/>
      <c r="E68" s="397"/>
      <c r="F68" s="476"/>
      <c r="G68" s="404"/>
      <c r="H68" s="404"/>
      <c r="I68" s="404"/>
      <c r="J68" s="404"/>
      <c r="K68" s="404"/>
      <c r="L68" s="404"/>
      <c r="M68" s="404"/>
      <c r="N68" s="404"/>
      <c r="O68" s="404"/>
      <c r="P68" s="404"/>
      <c r="Q68" s="404"/>
      <c r="R68" s="404"/>
      <c r="S68" s="404"/>
      <c r="T68" s="404"/>
      <c r="U68" s="404"/>
    </row>
    <row r="69" spans="2:21" ht="15" x14ac:dyDescent="0.2">
      <c r="B69" s="397" t="str">
        <f>"Total Distributions ("&amp;B51&amp;")"</f>
        <v>Total Distributions (Return of Capital &amp; Hurdle 1 (Preferred Return))</v>
      </c>
      <c r="C69" s="397"/>
      <c r="D69" s="397"/>
      <c r="E69" s="397"/>
      <c r="F69" s="476">
        <f t="shared" ref="F69:U69" si="31">IF(F53="","",F65+F60)</f>
        <v>0</v>
      </c>
      <c r="G69" s="476">
        <f t="shared" ca="1" si="31"/>
        <v>10279.916599999997</v>
      </c>
      <c r="H69" s="476">
        <f t="shared" ca="1" si="31"/>
        <v>107362.10145377005</v>
      </c>
      <c r="I69" s="476">
        <f t="shared" ca="1" si="31"/>
        <v>381075.05733093224</v>
      </c>
      <c r="J69" s="476">
        <f t="shared" ca="1" si="31"/>
        <v>209275.85578658892</v>
      </c>
      <c r="K69" s="476">
        <f t="shared" ca="1" si="31"/>
        <v>3154962.5354782706</v>
      </c>
      <c r="L69" s="476">
        <f t="shared" ca="1" si="31"/>
        <v>60842.582533426699</v>
      </c>
      <c r="M69" s="476">
        <f t="shared" ca="1" si="31"/>
        <v>87177.653218013103</v>
      </c>
      <c r="N69" s="476">
        <f t="shared" ca="1" si="31"/>
        <v>114654.21925187693</v>
      </c>
      <c r="O69" s="476">
        <f t="shared" ca="1" si="31"/>
        <v>143319.70229942701</v>
      </c>
      <c r="P69" s="476">
        <f t="shared" ca="1" si="31"/>
        <v>0</v>
      </c>
      <c r="Q69" s="476" t="str">
        <f t="shared" si="31"/>
        <v/>
      </c>
      <c r="R69" s="476" t="str">
        <f t="shared" si="31"/>
        <v/>
      </c>
      <c r="S69" s="476" t="str">
        <f t="shared" si="31"/>
        <v/>
      </c>
      <c r="T69" s="476" t="str">
        <f t="shared" si="31"/>
        <v/>
      </c>
      <c r="U69" s="476" t="str">
        <f t="shared" si="31"/>
        <v/>
      </c>
    </row>
    <row r="70" spans="2:21" ht="15" x14ac:dyDescent="0.2">
      <c r="B70" s="397" t="s">
        <v>760</v>
      </c>
      <c r="C70" s="397"/>
      <c r="D70" s="397"/>
      <c r="E70" s="397"/>
      <c r="F70" s="476">
        <f t="shared" ref="F70:U70" si="32">IF(F53="","",MAX(F47-F69,0))</f>
        <v>0</v>
      </c>
      <c r="G70" s="476">
        <f t="shared" ca="1" si="32"/>
        <v>0</v>
      </c>
      <c r="H70" s="476">
        <f t="shared" ca="1" si="32"/>
        <v>1.4551915228366852E-11</v>
      </c>
      <c r="I70" s="476">
        <f t="shared" ca="1" si="32"/>
        <v>0</v>
      </c>
      <c r="J70" s="476">
        <f t="shared" ca="1" si="32"/>
        <v>0</v>
      </c>
      <c r="K70" s="476">
        <f t="shared" ca="1" si="32"/>
        <v>4.6566128730773926E-10</v>
      </c>
      <c r="L70" s="476">
        <f t="shared" ca="1" si="32"/>
        <v>0</v>
      </c>
      <c r="M70" s="476">
        <f t="shared" ca="1" si="32"/>
        <v>1.4551915228366852E-11</v>
      </c>
      <c r="N70" s="476">
        <f t="shared" ca="1" si="32"/>
        <v>0</v>
      </c>
      <c r="O70" s="476">
        <f t="shared" ca="1" si="32"/>
        <v>0</v>
      </c>
      <c r="P70" s="476">
        <f t="shared" ca="1" si="32"/>
        <v>0</v>
      </c>
      <c r="Q70" s="476" t="str">
        <f t="shared" si="32"/>
        <v/>
      </c>
      <c r="R70" s="476" t="str">
        <f t="shared" si="32"/>
        <v/>
      </c>
      <c r="S70" s="476" t="str">
        <f t="shared" si="32"/>
        <v/>
      </c>
      <c r="T70" s="476" t="str">
        <f t="shared" si="32"/>
        <v/>
      </c>
      <c r="U70" s="476" t="str">
        <f t="shared" si="32"/>
        <v/>
      </c>
    </row>
    <row r="71" spans="2:21" ht="5" customHeight="1" x14ac:dyDescent="0.2">
      <c r="B71" s="397"/>
      <c r="C71" s="397"/>
      <c r="D71" s="397"/>
      <c r="E71" s="397"/>
      <c r="F71" s="398"/>
      <c r="G71" s="398"/>
      <c r="H71" s="398"/>
      <c r="I71" s="398"/>
      <c r="J71" s="398"/>
      <c r="K71" s="398"/>
      <c r="L71" s="398"/>
      <c r="M71" s="398"/>
      <c r="N71" s="398"/>
      <c r="O71" s="398"/>
      <c r="P71" s="398"/>
      <c r="Q71" s="398"/>
      <c r="R71" s="398"/>
      <c r="S71" s="398"/>
      <c r="T71" s="398"/>
      <c r="U71" s="398"/>
    </row>
    <row r="72" spans="2:21" ht="16" x14ac:dyDescent="0.2">
      <c r="B72" s="400" t="s">
        <v>714</v>
      </c>
      <c r="C72" s="397"/>
      <c r="D72" s="397"/>
      <c r="E72" s="397"/>
      <c r="F72" s="398"/>
      <c r="G72" s="398"/>
      <c r="H72" s="398"/>
      <c r="I72" s="398"/>
      <c r="J72" s="398"/>
      <c r="K72" s="398"/>
      <c r="L72" s="398"/>
      <c r="M72" s="398"/>
      <c r="N72" s="398"/>
      <c r="O72" s="398"/>
      <c r="P72" s="398"/>
      <c r="Q72" s="398"/>
      <c r="R72" s="398"/>
      <c r="S72" s="398"/>
      <c r="T72" s="398"/>
      <c r="U72" s="398"/>
    </row>
    <row r="73" spans="2:21" ht="15" x14ac:dyDescent="0.2">
      <c r="B73" s="474" t="s">
        <v>747</v>
      </c>
      <c r="C73" s="475">
        <f>E15</f>
        <v>0.15</v>
      </c>
      <c r="D73" s="421"/>
      <c r="E73" s="421"/>
      <c r="F73" s="422"/>
      <c r="G73" s="422"/>
      <c r="H73" s="422"/>
      <c r="I73" s="422"/>
      <c r="J73" s="422"/>
      <c r="K73" s="422"/>
      <c r="L73" s="422"/>
      <c r="M73" s="422"/>
      <c r="N73" s="422"/>
      <c r="O73" s="422"/>
      <c r="P73" s="422"/>
      <c r="Q73" s="422"/>
      <c r="R73" s="422"/>
      <c r="S73" s="422"/>
      <c r="T73" s="422"/>
      <c r="U73" s="422"/>
    </row>
    <row r="74" spans="2:21" ht="15" x14ac:dyDescent="0.2">
      <c r="B74" s="397" t="s">
        <v>748</v>
      </c>
      <c r="C74" s="397"/>
      <c r="D74" s="397"/>
      <c r="E74" s="397"/>
      <c r="F74" s="476">
        <f t="shared" ref="F74:U74" si="33">IF(F37="","",E79)</f>
        <v>0</v>
      </c>
      <c r="G74" s="476">
        <f t="shared" si="33"/>
        <v>3045700</v>
      </c>
      <c r="H74" s="476">
        <f t="shared" ca="1" si="33"/>
        <v>3492789.0792299998</v>
      </c>
      <c r="I74" s="476">
        <f t="shared" ca="1" si="33"/>
        <v>3914713.4447334181</v>
      </c>
      <c r="J74" s="476">
        <f t="shared" ca="1" si="33"/>
        <v>4139899.1569790449</v>
      </c>
      <c r="K74" s="476">
        <f t="shared" ca="1" si="33"/>
        <v>4562071.9675286422</v>
      </c>
      <c r="L74" s="476">
        <f t="shared" ca="1" si="33"/>
        <v>2249168.3539535808</v>
      </c>
      <c r="M74" s="476">
        <f t="shared" ca="1" si="33"/>
        <v>2528743.1536398628</v>
      </c>
      <c r="N74" s="476">
        <f t="shared" ca="1" si="33"/>
        <v>2825235.8561287294</v>
      </c>
      <c r="O74" s="476">
        <f t="shared" ca="1" si="33"/>
        <v>3140099.7262587557</v>
      </c>
      <c r="P74" s="476">
        <f t="shared" ca="1" si="33"/>
        <v>3474960.9680131134</v>
      </c>
      <c r="Q74" s="476" t="str">
        <f t="shared" si="33"/>
        <v/>
      </c>
      <c r="R74" s="476" t="str">
        <f t="shared" si="33"/>
        <v/>
      </c>
      <c r="S74" s="476" t="str">
        <f t="shared" si="33"/>
        <v/>
      </c>
      <c r="T74" s="476" t="str">
        <f t="shared" si="33"/>
        <v/>
      </c>
      <c r="U74" s="476" t="str">
        <f t="shared" si="33"/>
        <v/>
      </c>
    </row>
    <row r="75" spans="2:21" ht="15" x14ac:dyDescent="0.2">
      <c r="B75" s="397" t="s">
        <v>761</v>
      </c>
      <c r="C75" s="397"/>
      <c r="D75" s="397"/>
      <c r="E75" s="397"/>
      <c r="F75" s="476">
        <f>IF(F74="","",IF($D$4="Equity Multiple",E76*$C73-E76,F74*$C73))</f>
        <v>0</v>
      </c>
      <c r="G75" s="476">
        <f t="shared" ref="G75:U75" si="34">IF(G74="","",IF($D$4="Equity Multiple",F76*$C73-F76,G74*$C73))</f>
        <v>456855</v>
      </c>
      <c r="H75" s="476">
        <f t="shared" ca="1" si="34"/>
        <v>523918.36188449996</v>
      </c>
      <c r="I75" s="476">
        <f t="shared" ca="1" si="34"/>
        <v>587207.01671001269</v>
      </c>
      <c r="J75" s="476">
        <f t="shared" ca="1" si="34"/>
        <v>620984.87354685669</v>
      </c>
      <c r="K75" s="476">
        <f t="shared" ca="1" si="34"/>
        <v>684310.79512929625</v>
      </c>
      <c r="L75" s="476">
        <f t="shared" ca="1" si="34"/>
        <v>337375.25309303711</v>
      </c>
      <c r="M75" s="476">
        <f t="shared" ca="1" si="34"/>
        <v>379311.47304597939</v>
      </c>
      <c r="N75" s="476">
        <f t="shared" ca="1" si="34"/>
        <v>423785.37841930939</v>
      </c>
      <c r="O75" s="476">
        <f t="shared" ca="1" si="34"/>
        <v>471014.95893881336</v>
      </c>
      <c r="P75" s="476">
        <f t="shared" ca="1" si="34"/>
        <v>521244.14520196698</v>
      </c>
      <c r="Q75" s="476" t="str">
        <f t="shared" si="34"/>
        <v/>
      </c>
      <c r="R75" s="476" t="str">
        <f t="shared" si="34"/>
        <v/>
      </c>
      <c r="S75" s="476" t="str">
        <f t="shared" si="34"/>
        <v/>
      </c>
      <c r="T75" s="476" t="str">
        <f t="shared" si="34"/>
        <v/>
      </c>
      <c r="U75" s="476" t="str">
        <f t="shared" si="34"/>
        <v/>
      </c>
    </row>
    <row r="76" spans="2:21" ht="15" x14ac:dyDescent="0.2">
      <c r="B76" s="397" t="s">
        <v>751</v>
      </c>
      <c r="C76" s="397"/>
      <c r="D76" s="397"/>
      <c r="E76" s="397"/>
      <c r="F76" s="476">
        <f t="shared" ref="F76:U76" si="35">IF(F74="","",-MIN(0,F$47*Equity_Share_LP))</f>
        <v>3045700</v>
      </c>
      <c r="G76" s="476">
        <f t="shared" ca="1" si="35"/>
        <v>0</v>
      </c>
      <c r="H76" s="476">
        <f t="shared" ca="1" si="35"/>
        <v>0</v>
      </c>
      <c r="I76" s="476">
        <f t="shared" ca="1" si="35"/>
        <v>0</v>
      </c>
      <c r="J76" s="476">
        <f t="shared" ca="1" si="35"/>
        <v>0</v>
      </c>
      <c r="K76" s="476">
        <f t="shared" ca="1" si="35"/>
        <v>0</v>
      </c>
      <c r="L76" s="476">
        <f t="shared" ca="1" si="35"/>
        <v>0</v>
      </c>
      <c r="M76" s="476">
        <f t="shared" ca="1" si="35"/>
        <v>0</v>
      </c>
      <c r="N76" s="476">
        <f t="shared" ca="1" si="35"/>
        <v>0</v>
      </c>
      <c r="O76" s="476">
        <f t="shared" ca="1" si="35"/>
        <v>0</v>
      </c>
      <c r="P76" s="476">
        <f t="shared" ca="1" si="35"/>
        <v>202855.7193963055</v>
      </c>
      <c r="Q76" s="476" t="str">
        <f t="shared" si="35"/>
        <v/>
      </c>
      <c r="R76" s="476" t="str">
        <f t="shared" si="35"/>
        <v/>
      </c>
      <c r="S76" s="476" t="str">
        <f t="shared" si="35"/>
        <v/>
      </c>
      <c r="T76" s="476" t="str">
        <f t="shared" si="35"/>
        <v/>
      </c>
      <c r="U76" s="476" t="str">
        <f t="shared" si="35"/>
        <v/>
      </c>
    </row>
    <row r="77" spans="2:21" ht="15" x14ac:dyDescent="0.2">
      <c r="B77" s="397" t="s">
        <v>762</v>
      </c>
      <c r="C77" s="397"/>
      <c r="D77" s="397"/>
      <c r="E77" s="397"/>
      <c r="F77" s="476">
        <f t="shared" ref="F77:U77" si="36">F60</f>
        <v>0</v>
      </c>
      <c r="G77" s="476">
        <f t="shared" ca="1" si="36"/>
        <v>9765.920769999997</v>
      </c>
      <c r="H77" s="476">
        <f t="shared" ca="1" si="36"/>
        <v>101993.99638108155</v>
      </c>
      <c r="I77" s="476">
        <f t="shared" ca="1" si="36"/>
        <v>362021.30446438561</v>
      </c>
      <c r="J77" s="476">
        <f t="shared" ca="1" si="36"/>
        <v>198812.06299725946</v>
      </c>
      <c r="K77" s="476">
        <f t="shared" ca="1" si="36"/>
        <v>2997214.4087043572</v>
      </c>
      <c r="L77" s="476">
        <f t="shared" ca="1" si="36"/>
        <v>57800.453406755361</v>
      </c>
      <c r="M77" s="476">
        <f t="shared" ca="1" si="36"/>
        <v>82818.770557112453</v>
      </c>
      <c r="N77" s="476">
        <f t="shared" ca="1" si="36"/>
        <v>108921.50828928308</v>
      </c>
      <c r="O77" s="476">
        <f t="shared" ca="1" si="36"/>
        <v>136153.71718445566</v>
      </c>
      <c r="P77" s="476">
        <f t="shared" ca="1" si="36"/>
        <v>0</v>
      </c>
      <c r="Q77" s="476" t="str">
        <f t="shared" si="36"/>
        <v/>
      </c>
      <c r="R77" s="476" t="str">
        <f t="shared" si="36"/>
        <v/>
      </c>
      <c r="S77" s="476" t="str">
        <f t="shared" si="36"/>
        <v/>
      </c>
      <c r="T77" s="476" t="str">
        <f t="shared" si="36"/>
        <v/>
      </c>
      <c r="U77" s="476" t="str">
        <f t="shared" si="36"/>
        <v/>
      </c>
    </row>
    <row r="78" spans="2:21" ht="15" x14ac:dyDescent="0.2">
      <c r="B78" s="397" t="str">
        <f>"Distributions to LP "&amp;B72</f>
        <v>Distributions to LP Hurdle 2</v>
      </c>
      <c r="C78" s="397"/>
      <c r="D78" s="397"/>
      <c r="E78" s="397"/>
      <c r="F78" s="476">
        <f t="shared" ref="F78:U78" si="37">IF(F74="","",MIN(F74+F75-F77,F70*$I$15))</f>
        <v>0</v>
      </c>
      <c r="G78" s="476">
        <f t="shared" ca="1" si="37"/>
        <v>0</v>
      </c>
      <c r="H78" s="476">
        <f t="shared" ca="1" si="37"/>
        <v>8.2945916801691048E-12</v>
      </c>
      <c r="I78" s="476">
        <f t="shared" ca="1" si="37"/>
        <v>0</v>
      </c>
      <c r="J78" s="476">
        <f t="shared" ca="1" si="37"/>
        <v>0</v>
      </c>
      <c r="K78" s="476">
        <f t="shared" ca="1" si="37"/>
        <v>2.6542693376541135E-10</v>
      </c>
      <c r="L78" s="476">
        <f t="shared" ca="1" si="37"/>
        <v>0</v>
      </c>
      <c r="M78" s="476">
        <f t="shared" ca="1" si="37"/>
        <v>8.2945916801691048E-12</v>
      </c>
      <c r="N78" s="476">
        <f t="shared" ca="1" si="37"/>
        <v>0</v>
      </c>
      <c r="O78" s="476">
        <f t="shared" ca="1" si="37"/>
        <v>0</v>
      </c>
      <c r="P78" s="476">
        <f t="shared" ca="1" si="37"/>
        <v>0</v>
      </c>
      <c r="Q78" s="476" t="str">
        <f t="shared" si="37"/>
        <v/>
      </c>
      <c r="R78" s="476" t="str">
        <f t="shared" si="37"/>
        <v/>
      </c>
      <c r="S78" s="476" t="str">
        <f t="shared" si="37"/>
        <v/>
      </c>
      <c r="T78" s="476" t="str">
        <f t="shared" si="37"/>
        <v/>
      </c>
      <c r="U78" s="476" t="str">
        <f t="shared" si="37"/>
        <v/>
      </c>
    </row>
    <row r="79" spans="2:21" ht="15" x14ac:dyDescent="0.2">
      <c r="B79" s="397" t="s">
        <v>753</v>
      </c>
      <c r="C79" s="397"/>
      <c r="D79" s="397"/>
      <c r="E79" s="397"/>
      <c r="F79" s="476">
        <f>F74+F76-F78</f>
        <v>3045700</v>
      </c>
      <c r="G79" s="476">
        <f t="shared" ref="G79:U79" ca="1" si="38">IF(G74="","",G74+G75+G76-G77-G78)</f>
        <v>3492789.0792299998</v>
      </c>
      <c r="H79" s="476">
        <f t="shared" ca="1" si="38"/>
        <v>3914713.4447334181</v>
      </c>
      <c r="I79" s="476">
        <f t="shared" ca="1" si="38"/>
        <v>4139899.1569790449</v>
      </c>
      <c r="J79" s="476">
        <f t="shared" ca="1" si="38"/>
        <v>4562071.9675286422</v>
      </c>
      <c r="K79" s="476">
        <f t="shared" ca="1" si="38"/>
        <v>2249168.3539535808</v>
      </c>
      <c r="L79" s="476">
        <f t="shared" ca="1" si="38"/>
        <v>2528743.1536398628</v>
      </c>
      <c r="M79" s="476">
        <f t="shared" ca="1" si="38"/>
        <v>2825235.8561287294</v>
      </c>
      <c r="N79" s="476">
        <f t="shared" ca="1" si="38"/>
        <v>3140099.7262587557</v>
      </c>
      <c r="O79" s="476">
        <f t="shared" ca="1" si="38"/>
        <v>3474960.9680131134</v>
      </c>
      <c r="P79" s="476">
        <f t="shared" ca="1" si="38"/>
        <v>4199060.8326113857</v>
      </c>
      <c r="Q79" s="476" t="str">
        <f t="shared" si="38"/>
        <v/>
      </c>
      <c r="R79" s="476" t="str">
        <f t="shared" si="38"/>
        <v/>
      </c>
      <c r="S79" s="476" t="str">
        <f t="shared" si="38"/>
        <v/>
      </c>
      <c r="T79" s="476" t="str">
        <f t="shared" si="38"/>
        <v/>
      </c>
      <c r="U79" s="476" t="str">
        <f t="shared" si="38"/>
        <v/>
      </c>
    </row>
    <row r="80" spans="2:21" ht="15" x14ac:dyDescent="0.2">
      <c r="B80" s="480">
        <f>C73</f>
        <v>0.15</v>
      </c>
      <c r="C80" s="397"/>
      <c r="D80" s="397"/>
      <c r="E80" s="479">
        <f ca="1">IF($D$4="IRR",IRR(F80:U80),SUMIF(F80:U80,"&gt;0")/-SUMIF(F80:U80,"&lt;0"))</f>
        <v>5.1451857531718215E-2</v>
      </c>
      <c r="F80" s="476">
        <f>IF(F74="","",-F76+F78)</f>
        <v>-3045700</v>
      </c>
      <c r="G80" s="476">
        <f t="shared" ref="G80:U80" ca="1" si="39">IF(G74="","",-G76+G77+G78)</f>
        <v>9765.920769999997</v>
      </c>
      <c r="H80" s="476">
        <f t="shared" ca="1" si="39"/>
        <v>101993.99638108157</v>
      </c>
      <c r="I80" s="476">
        <f t="shared" ca="1" si="39"/>
        <v>362021.30446438561</v>
      </c>
      <c r="J80" s="476">
        <f t="shared" ca="1" si="39"/>
        <v>198812.06299725946</v>
      </c>
      <c r="K80" s="476">
        <f t="shared" ca="1" si="39"/>
        <v>2997214.4087043577</v>
      </c>
      <c r="L80" s="476">
        <f t="shared" ca="1" si="39"/>
        <v>57800.453406755361</v>
      </c>
      <c r="M80" s="476">
        <f t="shared" ca="1" si="39"/>
        <v>82818.770557112468</v>
      </c>
      <c r="N80" s="476">
        <f t="shared" ca="1" si="39"/>
        <v>108921.50828928308</v>
      </c>
      <c r="O80" s="476">
        <f t="shared" ca="1" si="39"/>
        <v>136153.71718445566</v>
      </c>
      <c r="P80" s="476">
        <f t="shared" ca="1" si="39"/>
        <v>-202855.7193963055</v>
      </c>
      <c r="Q80" s="476" t="str">
        <f t="shared" si="39"/>
        <v/>
      </c>
      <c r="R80" s="476" t="str">
        <f t="shared" si="39"/>
        <v/>
      </c>
      <c r="S80" s="476" t="str">
        <f t="shared" si="39"/>
        <v/>
      </c>
      <c r="T80" s="476" t="str">
        <f t="shared" si="39"/>
        <v/>
      </c>
      <c r="U80" s="476" t="str">
        <f t="shared" si="39"/>
        <v/>
      </c>
    </row>
    <row r="81" spans="2:21" ht="5" customHeight="1" x14ac:dyDescent="0.2">
      <c r="B81" s="385" t="s">
        <v>763</v>
      </c>
      <c r="C81" s="385" t="s">
        <v>763</v>
      </c>
      <c r="D81" s="385" t="s">
        <v>763</v>
      </c>
      <c r="E81" s="385" t="s">
        <v>763</v>
      </c>
      <c r="F81" s="481" t="str">
        <f t="shared" ref="F81:U81" si="40">IF(F74="","",".")</f>
        <v>.</v>
      </c>
      <c r="G81" s="481" t="str">
        <f t="shared" si="40"/>
        <v>.</v>
      </c>
      <c r="H81" s="481" t="str">
        <f t="shared" ca="1" si="40"/>
        <v>.</v>
      </c>
      <c r="I81" s="481" t="str">
        <f t="shared" ca="1" si="40"/>
        <v>.</v>
      </c>
      <c r="J81" s="481" t="str">
        <f t="shared" ca="1" si="40"/>
        <v>.</v>
      </c>
      <c r="K81" s="481" t="str">
        <f t="shared" ca="1" si="40"/>
        <v>.</v>
      </c>
      <c r="L81" s="481" t="str">
        <f t="shared" ca="1" si="40"/>
        <v>.</v>
      </c>
      <c r="M81" s="481" t="str">
        <f t="shared" ca="1" si="40"/>
        <v>.</v>
      </c>
      <c r="N81" s="481" t="str">
        <f t="shared" ca="1" si="40"/>
        <v>.</v>
      </c>
      <c r="O81" s="481" t="str">
        <f t="shared" ca="1" si="40"/>
        <v>.</v>
      </c>
      <c r="P81" s="481" t="str">
        <f t="shared" ca="1" si="40"/>
        <v>.</v>
      </c>
      <c r="Q81" s="481" t="str">
        <f t="shared" si="40"/>
        <v/>
      </c>
      <c r="R81" s="481" t="str">
        <f t="shared" si="40"/>
        <v/>
      </c>
      <c r="S81" s="481" t="str">
        <f t="shared" si="40"/>
        <v/>
      </c>
      <c r="T81" s="481" t="str">
        <f t="shared" si="40"/>
        <v/>
      </c>
      <c r="U81" s="481" t="str">
        <f t="shared" si="40"/>
        <v/>
      </c>
    </row>
    <row r="82" spans="2:21" ht="15" x14ac:dyDescent="0.2">
      <c r="B82" s="397" t="s">
        <v>754</v>
      </c>
      <c r="C82" s="397"/>
      <c r="D82" s="397"/>
      <c r="E82" s="397"/>
      <c r="F82" s="476">
        <f t="shared" ref="F82:U82" si="41">IF(F74="","",F78)</f>
        <v>0</v>
      </c>
      <c r="G82" s="476">
        <f t="shared" ca="1" si="41"/>
        <v>0</v>
      </c>
      <c r="H82" s="476">
        <f t="shared" ca="1" si="41"/>
        <v>8.2945916801691048E-12</v>
      </c>
      <c r="I82" s="476">
        <f t="shared" ca="1" si="41"/>
        <v>0</v>
      </c>
      <c r="J82" s="476">
        <f t="shared" ca="1" si="41"/>
        <v>0</v>
      </c>
      <c r="K82" s="476">
        <f t="shared" ca="1" si="41"/>
        <v>2.6542693376541135E-10</v>
      </c>
      <c r="L82" s="476">
        <f t="shared" ca="1" si="41"/>
        <v>0</v>
      </c>
      <c r="M82" s="476">
        <f t="shared" ca="1" si="41"/>
        <v>8.2945916801691048E-12</v>
      </c>
      <c r="N82" s="476">
        <f t="shared" ca="1" si="41"/>
        <v>0</v>
      </c>
      <c r="O82" s="476">
        <f t="shared" ca="1" si="41"/>
        <v>0</v>
      </c>
      <c r="P82" s="476">
        <f t="shared" ca="1" si="41"/>
        <v>0</v>
      </c>
      <c r="Q82" s="476" t="str">
        <f t="shared" si="41"/>
        <v/>
      </c>
      <c r="R82" s="476" t="str">
        <f t="shared" si="41"/>
        <v/>
      </c>
      <c r="S82" s="476" t="str">
        <f t="shared" si="41"/>
        <v/>
      </c>
      <c r="T82" s="476" t="str">
        <f t="shared" si="41"/>
        <v/>
      </c>
      <c r="U82" s="476" t="str">
        <f t="shared" si="41"/>
        <v/>
      </c>
    </row>
    <row r="83" spans="2:21" ht="15" x14ac:dyDescent="0.2">
      <c r="B83" s="397" t="s">
        <v>758</v>
      </c>
      <c r="C83" s="397"/>
      <c r="D83" s="397"/>
      <c r="E83" s="397"/>
      <c r="F83" s="476">
        <f>IF(F74="","",F82/$I$15*$H$15)</f>
        <v>0</v>
      </c>
      <c r="G83" s="476">
        <f t="shared" ref="G83:U83" ca="1" si="42">IF(G74="","",G82/$I$15*$H$15)</f>
        <v>0</v>
      </c>
      <c r="H83" s="476">
        <f t="shared" ca="1" si="42"/>
        <v>6.257323548197747E-12</v>
      </c>
      <c r="I83" s="476">
        <f t="shared" ca="1" si="42"/>
        <v>0</v>
      </c>
      <c r="J83" s="476">
        <f t="shared" ca="1" si="42"/>
        <v>0</v>
      </c>
      <c r="K83" s="476">
        <f t="shared" ca="1" si="42"/>
        <v>2.002343535423279E-10</v>
      </c>
      <c r="L83" s="476">
        <f t="shared" ca="1" si="42"/>
        <v>0</v>
      </c>
      <c r="M83" s="476">
        <f t="shared" ca="1" si="42"/>
        <v>6.257323548197747E-12</v>
      </c>
      <c r="N83" s="476">
        <f t="shared" ca="1" si="42"/>
        <v>0</v>
      </c>
      <c r="O83" s="476">
        <f t="shared" ca="1" si="42"/>
        <v>0</v>
      </c>
      <c r="P83" s="476">
        <f t="shared" ca="1" si="42"/>
        <v>0</v>
      </c>
      <c r="Q83" s="476" t="str">
        <f t="shared" si="42"/>
        <v/>
      </c>
      <c r="R83" s="476" t="str">
        <f t="shared" si="42"/>
        <v/>
      </c>
      <c r="S83" s="476" t="str">
        <f t="shared" si="42"/>
        <v/>
      </c>
      <c r="T83" s="476" t="str">
        <f t="shared" si="42"/>
        <v/>
      </c>
      <c r="U83" s="476" t="str">
        <f t="shared" si="42"/>
        <v/>
      </c>
    </row>
    <row r="84" spans="2:21" ht="15" x14ac:dyDescent="0.2">
      <c r="B84" s="397" t="str">
        <f>"Total Distributions ("&amp;B72&amp;")"</f>
        <v>Total Distributions (Hurdle 2)</v>
      </c>
      <c r="C84" s="397"/>
      <c r="D84" s="397"/>
      <c r="E84" s="397"/>
      <c r="F84" s="476">
        <f t="shared" ref="F84:U84" si="43">IF(F74="","",F82+F83)</f>
        <v>0</v>
      </c>
      <c r="G84" s="476">
        <f t="shared" ca="1" si="43"/>
        <v>0</v>
      </c>
      <c r="H84" s="476">
        <f t="shared" ca="1" si="43"/>
        <v>1.4551915228366852E-11</v>
      </c>
      <c r="I84" s="476">
        <f t="shared" ca="1" si="43"/>
        <v>0</v>
      </c>
      <c r="J84" s="476">
        <f t="shared" ca="1" si="43"/>
        <v>0</v>
      </c>
      <c r="K84" s="476">
        <f t="shared" ca="1" si="43"/>
        <v>4.6566128730773926E-10</v>
      </c>
      <c r="L84" s="476">
        <f t="shared" ca="1" si="43"/>
        <v>0</v>
      </c>
      <c r="M84" s="476">
        <f t="shared" ca="1" si="43"/>
        <v>1.4551915228366852E-11</v>
      </c>
      <c r="N84" s="476">
        <f t="shared" ca="1" si="43"/>
        <v>0</v>
      </c>
      <c r="O84" s="476">
        <f t="shared" ca="1" si="43"/>
        <v>0</v>
      </c>
      <c r="P84" s="476">
        <f t="shared" ca="1" si="43"/>
        <v>0</v>
      </c>
      <c r="Q84" s="476" t="str">
        <f t="shared" si="43"/>
        <v/>
      </c>
      <c r="R84" s="476" t="str">
        <f t="shared" si="43"/>
        <v/>
      </c>
      <c r="S84" s="476" t="str">
        <f t="shared" si="43"/>
        <v/>
      </c>
      <c r="T84" s="476" t="str">
        <f t="shared" si="43"/>
        <v/>
      </c>
      <c r="U84" s="476" t="str">
        <f t="shared" si="43"/>
        <v/>
      </c>
    </row>
    <row r="85" spans="2:21" ht="15" x14ac:dyDescent="0.2">
      <c r="B85" s="397" t="s">
        <v>760</v>
      </c>
      <c r="C85" s="397"/>
      <c r="D85" s="397"/>
      <c r="E85" s="397"/>
      <c r="F85" s="476">
        <f t="shared" ref="F85:U85" si="44">IF(F74="","",MAX(F$47-F69-F84,0))</f>
        <v>0</v>
      </c>
      <c r="G85" s="476">
        <f t="shared" ca="1" si="44"/>
        <v>0</v>
      </c>
      <c r="H85" s="476">
        <f t="shared" ca="1" si="44"/>
        <v>0</v>
      </c>
      <c r="I85" s="476">
        <f t="shared" ca="1" si="44"/>
        <v>0</v>
      </c>
      <c r="J85" s="476">
        <f t="shared" ca="1" si="44"/>
        <v>0</v>
      </c>
      <c r="K85" s="476">
        <f t="shared" ca="1" si="44"/>
        <v>0</v>
      </c>
      <c r="L85" s="476">
        <f t="shared" ca="1" si="44"/>
        <v>0</v>
      </c>
      <c r="M85" s="476">
        <f t="shared" ca="1" si="44"/>
        <v>0</v>
      </c>
      <c r="N85" s="476">
        <f t="shared" ca="1" si="44"/>
        <v>0</v>
      </c>
      <c r="O85" s="476">
        <f t="shared" ca="1" si="44"/>
        <v>0</v>
      </c>
      <c r="P85" s="476">
        <f t="shared" ca="1" si="44"/>
        <v>0</v>
      </c>
      <c r="Q85" s="476" t="str">
        <f t="shared" si="44"/>
        <v/>
      </c>
      <c r="R85" s="476" t="str">
        <f t="shared" si="44"/>
        <v/>
      </c>
      <c r="S85" s="476" t="str">
        <f t="shared" si="44"/>
        <v/>
      </c>
      <c r="T85" s="476" t="str">
        <f t="shared" si="44"/>
        <v/>
      </c>
      <c r="U85" s="476" t="str">
        <f t="shared" si="44"/>
        <v/>
      </c>
    </row>
    <row r="86" spans="2:21" ht="5" customHeight="1" x14ac:dyDescent="0.2">
      <c r="B86" s="397"/>
      <c r="C86" s="397"/>
      <c r="D86" s="397"/>
      <c r="E86" s="397"/>
      <c r="F86" s="398"/>
      <c r="G86" s="398"/>
      <c r="H86" s="398"/>
      <c r="I86" s="398"/>
      <c r="J86" s="398"/>
      <c r="K86" s="398"/>
      <c r="L86" s="398"/>
      <c r="M86" s="398"/>
      <c r="N86" s="398"/>
      <c r="O86" s="398"/>
      <c r="P86" s="398"/>
      <c r="Q86" s="398"/>
      <c r="R86" s="398"/>
      <c r="S86" s="398"/>
      <c r="T86" s="398"/>
      <c r="U86" s="398"/>
    </row>
    <row r="87" spans="2:21" ht="16" x14ac:dyDescent="0.2">
      <c r="B87" s="400" t="s">
        <v>715</v>
      </c>
      <c r="C87" s="397"/>
      <c r="D87" s="397"/>
      <c r="E87" s="397"/>
      <c r="F87" s="398"/>
      <c r="G87" s="398"/>
      <c r="H87" s="398"/>
      <c r="I87" s="398"/>
      <c r="J87" s="398"/>
      <c r="K87" s="398"/>
      <c r="L87" s="398"/>
      <c r="M87" s="398"/>
      <c r="N87" s="398"/>
      <c r="O87" s="398"/>
      <c r="P87" s="398"/>
      <c r="Q87" s="398"/>
      <c r="R87" s="398"/>
      <c r="S87" s="398"/>
      <c r="T87" s="398"/>
      <c r="U87" s="398"/>
    </row>
    <row r="88" spans="2:21" ht="15" x14ac:dyDescent="0.2">
      <c r="B88" s="474" t="s">
        <v>747</v>
      </c>
      <c r="C88" s="475">
        <f>E16</f>
        <v>0.99</v>
      </c>
      <c r="D88" s="421"/>
      <c r="E88" s="421"/>
      <c r="F88" s="422"/>
      <c r="G88" s="422"/>
      <c r="H88" s="422"/>
      <c r="I88" s="422"/>
      <c r="J88" s="422"/>
      <c r="K88" s="422"/>
      <c r="L88" s="422"/>
      <c r="M88" s="422"/>
      <c r="N88" s="422"/>
      <c r="O88" s="422"/>
      <c r="P88" s="422"/>
      <c r="Q88" s="422"/>
      <c r="R88" s="422"/>
      <c r="S88" s="422"/>
      <c r="T88" s="422"/>
      <c r="U88" s="422"/>
    </row>
    <row r="89" spans="2:21" ht="15" x14ac:dyDescent="0.2">
      <c r="B89" s="397" t="s">
        <v>748</v>
      </c>
      <c r="C89" s="397"/>
      <c r="D89" s="397"/>
      <c r="E89" s="397"/>
      <c r="F89" s="476">
        <f t="shared" ref="F89:U89" si="45">IF(F65="","",E94)</f>
        <v>0</v>
      </c>
      <c r="G89" s="476">
        <f t="shared" ca="1" si="45"/>
        <v>3045700</v>
      </c>
      <c r="H89" s="476">
        <f t="shared" ca="1" si="45"/>
        <v>6051177.0792300003</v>
      </c>
      <c r="I89" s="476">
        <f t="shared" ca="1" si="45"/>
        <v>11939848.391286619</v>
      </c>
      <c r="J89" s="476">
        <f t="shared" ca="1" si="45"/>
        <v>23398276.994195987</v>
      </c>
      <c r="K89" s="476">
        <f t="shared" ca="1" si="45"/>
        <v>46363759.155452751</v>
      </c>
      <c r="L89" s="476">
        <f t="shared" ca="1" si="45"/>
        <v>89266666.310646608</v>
      </c>
      <c r="M89" s="476">
        <f t="shared" ca="1" si="45"/>
        <v>177582865.50477999</v>
      </c>
      <c r="N89" s="476">
        <f t="shared" ca="1" si="45"/>
        <v>353307083.58395511</v>
      </c>
      <c r="O89" s="476">
        <f t="shared" ca="1" si="45"/>
        <v>702972174.82378125</v>
      </c>
      <c r="P89" s="476">
        <f t="shared" ca="1" si="45"/>
        <v>1398778474.1821401</v>
      </c>
      <c r="Q89" s="476" t="str">
        <f t="shared" si="45"/>
        <v/>
      </c>
      <c r="R89" s="476" t="str">
        <f t="shared" si="45"/>
        <v/>
      </c>
      <c r="S89" s="476" t="str">
        <f t="shared" si="45"/>
        <v/>
      </c>
      <c r="T89" s="476" t="str">
        <f t="shared" si="45"/>
        <v/>
      </c>
      <c r="U89" s="476" t="str">
        <f t="shared" si="45"/>
        <v/>
      </c>
    </row>
    <row r="90" spans="2:21" ht="15" x14ac:dyDescent="0.2">
      <c r="B90" s="397" t="s">
        <v>764</v>
      </c>
      <c r="C90" s="397"/>
      <c r="D90" s="397"/>
      <c r="E90" s="397"/>
      <c r="F90" s="476">
        <f>IF(F89="","",IF($D$4="Equity Multiple",E91*$C88-E91,F89*$C88))</f>
        <v>0</v>
      </c>
      <c r="G90" s="476">
        <f t="shared" ref="G90:U90" ca="1" si="46">IF(G89="","",IF($D$4="Equity Multiple",F91*$C88-F91,G89*$C88))</f>
        <v>3015243</v>
      </c>
      <c r="H90" s="476">
        <f t="shared" ca="1" si="46"/>
        <v>5990665.3084377004</v>
      </c>
      <c r="I90" s="476">
        <f t="shared" ca="1" si="46"/>
        <v>11820449.907373752</v>
      </c>
      <c r="J90" s="476">
        <f t="shared" ca="1" si="46"/>
        <v>23164294.224254027</v>
      </c>
      <c r="K90" s="476">
        <f t="shared" ca="1" si="46"/>
        <v>45900121.563898221</v>
      </c>
      <c r="L90" s="476">
        <f t="shared" ca="1" si="46"/>
        <v>88373999.647540137</v>
      </c>
      <c r="M90" s="476">
        <f t="shared" ca="1" si="46"/>
        <v>175807036.84973219</v>
      </c>
      <c r="N90" s="476">
        <f t="shared" ca="1" si="46"/>
        <v>349774012.74811554</v>
      </c>
      <c r="O90" s="476">
        <f t="shared" ca="1" si="46"/>
        <v>695942453.0755434</v>
      </c>
      <c r="P90" s="476">
        <f t="shared" ca="1" si="46"/>
        <v>1384790689.4403186</v>
      </c>
      <c r="Q90" s="476" t="str">
        <f t="shared" si="46"/>
        <v/>
      </c>
      <c r="R90" s="476" t="str">
        <f t="shared" si="46"/>
        <v/>
      </c>
      <c r="S90" s="476" t="str">
        <f t="shared" si="46"/>
        <v/>
      </c>
      <c r="T90" s="476" t="str">
        <f t="shared" si="46"/>
        <v/>
      </c>
      <c r="U90" s="476" t="str">
        <f t="shared" si="46"/>
        <v/>
      </c>
    </row>
    <row r="91" spans="2:21" ht="15" x14ac:dyDescent="0.2">
      <c r="B91" s="397" t="s">
        <v>751</v>
      </c>
      <c r="C91" s="397"/>
      <c r="D91" s="397"/>
      <c r="E91" s="397"/>
      <c r="F91" s="476">
        <f t="shared" ref="F91:U91" si="47">IF(F89="","",-MIN(0,F$47*Equity_Share_LP))</f>
        <v>3045700</v>
      </c>
      <c r="G91" s="476">
        <f t="shared" ca="1" si="47"/>
        <v>0</v>
      </c>
      <c r="H91" s="476">
        <f t="shared" ca="1" si="47"/>
        <v>0</v>
      </c>
      <c r="I91" s="476">
        <f t="shared" ca="1" si="47"/>
        <v>0</v>
      </c>
      <c r="J91" s="476">
        <f t="shared" ca="1" si="47"/>
        <v>0</v>
      </c>
      <c r="K91" s="476">
        <f t="shared" ca="1" si="47"/>
        <v>0</v>
      </c>
      <c r="L91" s="476">
        <f t="shared" ca="1" si="47"/>
        <v>0</v>
      </c>
      <c r="M91" s="476">
        <f t="shared" ca="1" si="47"/>
        <v>0</v>
      </c>
      <c r="N91" s="476">
        <f t="shared" ca="1" si="47"/>
        <v>0</v>
      </c>
      <c r="O91" s="476">
        <f t="shared" ca="1" si="47"/>
        <v>0</v>
      </c>
      <c r="P91" s="476">
        <f t="shared" ca="1" si="47"/>
        <v>202855.7193963055</v>
      </c>
      <c r="Q91" s="476" t="str">
        <f t="shared" si="47"/>
        <v/>
      </c>
      <c r="R91" s="476" t="str">
        <f t="shared" si="47"/>
        <v/>
      </c>
      <c r="S91" s="476" t="str">
        <f t="shared" si="47"/>
        <v/>
      </c>
      <c r="T91" s="476" t="str">
        <f t="shared" si="47"/>
        <v/>
      </c>
      <c r="U91" s="476" t="str">
        <f t="shared" si="47"/>
        <v/>
      </c>
    </row>
    <row r="92" spans="2:21" ht="15" x14ac:dyDescent="0.2">
      <c r="B92" s="397" t="s">
        <v>762</v>
      </c>
      <c r="C92" s="397"/>
      <c r="D92" s="397"/>
      <c r="E92" s="397"/>
      <c r="F92" s="476">
        <f t="shared" ref="F92:U92" si="48">IF(F89="","",F82+F60)</f>
        <v>0</v>
      </c>
      <c r="G92" s="476">
        <f t="shared" ca="1" si="48"/>
        <v>9765.920769999997</v>
      </c>
      <c r="H92" s="476">
        <f t="shared" ca="1" si="48"/>
        <v>101993.99638108157</v>
      </c>
      <c r="I92" s="476">
        <f t="shared" ca="1" si="48"/>
        <v>362021.30446438561</v>
      </c>
      <c r="J92" s="476">
        <f t="shared" ca="1" si="48"/>
        <v>198812.06299725946</v>
      </c>
      <c r="K92" s="476">
        <f t="shared" ca="1" si="48"/>
        <v>2997214.4087043577</v>
      </c>
      <c r="L92" s="476">
        <f t="shared" ca="1" si="48"/>
        <v>57800.453406755361</v>
      </c>
      <c r="M92" s="476">
        <f t="shared" ca="1" si="48"/>
        <v>82818.770557112468</v>
      </c>
      <c r="N92" s="476">
        <f t="shared" ca="1" si="48"/>
        <v>108921.50828928308</v>
      </c>
      <c r="O92" s="476">
        <f t="shared" ca="1" si="48"/>
        <v>136153.71718445566</v>
      </c>
      <c r="P92" s="476">
        <f t="shared" ca="1" si="48"/>
        <v>0</v>
      </c>
      <c r="Q92" s="476" t="str">
        <f t="shared" si="48"/>
        <v/>
      </c>
      <c r="R92" s="476" t="str">
        <f t="shared" si="48"/>
        <v/>
      </c>
      <c r="S92" s="476" t="str">
        <f t="shared" si="48"/>
        <v/>
      </c>
      <c r="T92" s="476" t="str">
        <f t="shared" si="48"/>
        <v/>
      </c>
      <c r="U92" s="476" t="str">
        <f t="shared" si="48"/>
        <v/>
      </c>
    </row>
    <row r="93" spans="2:21" ht="15" x14ac:dyDescent="0.2">
      <c r="B93" s="397" t="str">
        <f>"Distributions to LP "&amp;B87</f>
        <v>Distributions to LP Hurdle 3</v>
      </c>
      <c r="C93" s="397"/>
      <c r="D93" s="397"/>
      <c r="E93" s="397"/>
      <c r="F93" s="476">
        <f t="shared" ref="F93:U93" si="49">IF(F89="","",MIN(F89+F90-F92,F85*$I$16))</f>
        <v>0</v>
      </c>
      <c r="G93" s="476">
        <f t="shared" ca="1" si="49"/>
        <v>0</v>
      </c>
      <c r="H93" s="476">
        <f t="shared" ca="1" si="49"/>
        <v>0</v>
      </c>
      <c r="I93" s="476">
        <f t="shared" ca="1" si="49"/>
        <v>0</v>
      </c>
      <c r="J93" s="476">
        <f t="shared" ca="1" si="49"/>
        <v>0</v>
      </c>
      <c r="K93" s="476">
        <f t="shared" ca="1" si="49"/>
        <v>0</v>
      </c>
      <c r="L93" s="476">
        <f t="shared" ca="1" si="49"/>
        <v>0</v>
      </c>
      <c r="M93" s="476">
        <f t="shared" ca="1" si="49"/>
        <v>0</v>
      </c>
      <c r="N93" s="476">
        <f t="shared" ca="1" si="49"/>
        <v>0</v>
      </c>
      <c r="O93" s="476">
        <f t="shared" ca="1" si="49"/>
        <v>0</v>
      </c>
      <c r="P93" s="476">
        <f t="shared" ca="1" si="49"/>
        <v>0</v>
      </c>
      <c r="Q93" s="476" t="str">
        <f t="shared" si="49"/>
        <v/>
      </c>
      <c r="R93" s="476" t="str">
        <f t="shared" si="49"/>
        <v/>
      </c>
      <c r="S93" s="476" t="str">
        <f t="shared" si="49"/>
        <v/>
      </c>
      <c r="T93" s="476" t="str">
        <f t="shared" si="49"/>
        <v/>
      </c>
      <c r="U93" s="476" t="str">
        <f t="shared" si="49"/>
        <v/>
      </c>
    </row>
    <row r="94" spans="2:21" ht="15" x14ac:dyDescent="0.2">
      <c r="B94" s="397" t="s">
        <v>753</v>
      </c>
      <c r="C94" s="397"/>
      <c r="D94" s="397"/>
      <c r="E94" s="397"/>
      <c r="F94" s="476">
        <f>F89+F91-F93</f>
        <v>3045700</v>
      </c>
      <c r="G94" s="476">
        <f t="shared" ref="G94:U94" ca="1" si="50">IF(G89="","",G89+G90+G91-G92-G93)</f>
        <v>6051177.0792300003</v>
      </c>
      <c r="H94" s="476">
        <f t="shared" ca="1" si="50"/>
        <v>11939848.391286619</v>
      </c>
      <c r="I94" s="476">
        <f t="shared" ca="1" si="50"/>
        <v>23398276.994195987</v>
      </c>
      <c r="J94" s="476">
        <f t="shared" ca="1" si="50"/>
        <v>46363759.155452751</v>
      </c>
      <c r="K94" s="476">
        <f t="shared" ca="1" si="50"/>
        <v>89266666.310646608</v>
      </c>
      <c r="L94" s="476">
        <f t="shared" ca="1" si="50"/>
        <v>177582865.50477999</v>
      </c>
      <c r="M94" s="476">
        <f t="shared" ca="1" si="50"/>
        <v>353307083.58395511</v>
      </c>
      <c r="N94" s="476">
        <f t="shared" ca="1" si="50"/>
        <v>702972174.82378125</v>
      </c>
      <c r="O94" s="476">
        <f t="shared" ca="1" si="50"/>
        <v>1398778474.1821401</v>
      </c>
      <c r="P94" s="476">
        <f t="shared" ca="1" si="50"/>
        <v>2783772019.3418546</v>
      </c>
      <c r="Q94" s="476" t="str">
        <f t="shared" si="50"/>
        <v/>
      </c>
      <c r="R94" s="476" t="str">
        <f t="shared" si="50"/>
        <v/>
      </c>
      <c r="S94" s="476" t="str">
        <f t="shared" si="50"/>
        <v/>
      </c>
      <c r="T94" s="476" t="str">
        <f t="shared" si="50"/>
        <v/>
      </c>
      <c r="U94" s="476" t="str">
        <f t="shared" si="50"/>
        <v/>
      </c>
    </row>
    <row r="95" spans="2:21" ht="15" x14ac:dyDescent="0.2">
      <c r="B95" s="480">
        <f>C88</f>
        <v>0.99</v>
      </c>
      <c r="C95" s="397"/>
      <c r="D95" s="397"/>
      <c r="E95" s="479">
        <f ca="1">IF($D$4="IRR",IRR(F95:U95),SUMIF(F95:U95,"&gt;0")/-SUMIF(F95:U95,"&lt;0"))</f>
        <v>5.1451857531718215E-2</v>
      </c>
      <c r="F95" s="476">
        <f>IF(F89="","",-F91+F93)</f>
        <v>-3045700</v>
      </c>
      <c r="G95" s="476">
        <f t="shared" ref="G95:U95" ca="1" si="51">IF(G89="","",-G91+G92+G93)</f>
        <v>9765.920769999997</v>
      </c>
      <c r="H95" s="476">
        <f t="shared" ca="1" si="51"/>
        <v>101993.99638108157</v>
      </c>
      <c r="I95" s="476">
        <f t="shared" ca="1" si="51"/>
        <v>362021.30446438561</v>
      </c>
      <c r="J95" s="476">
        <f t="shared" ca="1" si="51"/>
        <v>198812.06299725946</v>
      </c>
      <c r="K95" s="476">
        <f t="shared" ca="1" si="51"/>
        <v>2997214.4087043577</v>
      </c>
      <c r="L95" s="476">
        <f t="shared" ca="1" si="51"/>
        <v>57800.453406755361</v>
      </c>
      <c r="M95" s="476">
        <f t="shared" ca="1" si="51"/>
        <v>82818.770557112468</v>
      </c>
      <c r="N95" s="476">
        <f t="shared" ca="1" si="51"/>
        <v>108921.50828928308</v>
      </c>
      <c r="O95" s="476">
        <f t="shared" ca="1" si="51"/>
        <v>136153.71718445566</v>
      </c>
      <c r="P95" s="476">
        <f t="shared" ca="1" si="51"/>
        <v>-202855.7193963055</v>
      </c>
      <c r="Q95" s="476" t="str">
        <f t="shared" si="51"/>
        <v/>
      </c>
      <c r="R95" s="476" t="str">
        <f t="shared" si="51"/>
        <v/>
      </c>
      <c r="S95" s="476" t="str">
        <f t="shared" si="51"/>
        <v/>
      </c>
      <c r="T95" s="476" t="str">
        <f t="shared" si="51"/>
        <v/>
      </c>
      <c r="U95" s="476" t="str">
        <f t="shared" si="51"/>
        <v/>
      </c>
    </row>
    <row r="96" spans="2:21" ht="5" customHeight="1" x14ac:dyDescent="0.2">
      <c r="B96" s="385" t="s">
        <v>763</v>
      </c>
      <c r="C96" s="385" t="s">
        <v>763</v>
      </c>
      <c r="D96" s="385" t="s">
        <v>763</v>
      </c>
      <c r="E96" s="385" t="s">
        <v>763</v>
      </c>
      <c r="F96" s="481" t="str">
        <f t="shared" ref="F96:U96" si="52">IF(F89="","",".")</f>
        <v>.</v>
      </c>
      <c r="G96" s="481" t="str">
        <f t="shared" ca="1" si="52"/>
        <v>.</v>
      </c>
      <c r="H96" s="481" t="str">
        <f t="shared" ca="1" si="52"/>
        <v>.</v>
      </c>
      <c r="I96" s="481" t="str">
        <f t="shared" ca="1" si="52"/>
        <v>.</v>
      </c>
      <c r="J96" s="481" t="str">
        <f t="shared" ca="1" si="52"/>
        <v>.</v>
      </c>
      <c r="K96" s="481" t="str">
        <f t="shared" ca="1" si="52"/>
        <v>.</v>
      </c>
      <c r="L96" s="481" t="str">
        <f t="shared" ca="1" si="52"/>
        <v>.</v>
      </c>
      <c r="M96" s="481" t="str">
        <f t="shared" ca="1" si="52"/>
        <v>.</v>
      </c>
      <c r="N96" s="481" t="str">
        <f t="shared" ca="1" si="52"/>
        <v>.</v>
      </c>
      <c r="O96" s="481" t="str">
        <f t="shared" ca="1" si="52"/>
        <v>.</v>
      </c>
      <c r="P96" s="481" t="str">
        <f t="shared" ca="1" si="52"/>
        <v>.</v>
      </c>
      <c r="Q96" s="481" t="str">
        <f t="shared" si="52"/>
        <v/>
      </c>
      <c r="R96" s="481" t="str">
        <f t="shared" si="52"/>
        <v/>
      </c>
      <c r="S96" s="481" t="str">
        <f t="shared" si="52"/>
        <v/>
      </c>
      <c r="T96" s="481" t="str">
        <f t="shared" si="52"/>
        <v/>
      </c>
      <c r="U96" s="481" t="str">
        <f t="shared" si="52"/>
        <v/>
      </c>
    </row>
    <row r="97" spans="2:21" ht="15" x14ac:dyDescent="0.2">
      <c r="B97" s="397" t="s">
        <v>754</v>
      </c>
      <c r="C97" s="397"/>
      <c r="D97" s="397"/>
      <c r="E97" s="397"/>
      <c r="F97" s="476">
        <f t="shared" ref="F97:U97" si="53">IF(F89="","",F93)</f>
        <v>0</v>
      </c>
      <c r="G97" s="476">
        <f t="shared" ca="1" si="53"/>
        <v>0</v>
      </c>
      <c r="H97" s="476">
        <f t="shared" ca="1" si="53"/>
        <v>0</v>
      </c>
      <c r="I97" s="476">
        <f t="shared" ca="1" si="53"/>
        <v>0</v>
      </c>
      <c r="J97" s="476">
        <f t="shared" ca="1" si="53"/>
        <v>0</v>
      </c>
      <c r="K97" s="476">
        <f t="shared" ca="1" si="53"/>
        <v>0</v>
      </c>
      <c r="L97" s="476">
        <f t="shared" ca="1" si="53"/>
        <v>0</v>
      </c>
      <c r="M97" s="476">
        <f t="shared" ca="1" si="53"/>
        <v>0</v>
      </c>
      <c r="N97" s="476">
        <f t="shared" ca="1" si="53"/>
        <v>0</v>
      </c>
      <c r="O97" s="476">
        <f t="shared" ca="1" si="53"/>
        <v>0</v>
      </c>
      <c r="P97" s="476">
        <f t="shared" ca="1" si="53"/>
        <v>0</v>
      </c>
      <c r="Q97" s="476" t="str">
        <f t="shared" si="53"/>
        <v/>
      </c>
      <c r="R97" s="476" t="str">
        <f t="shared" si="53"/>
        <v/>
      </c>
      <c r="S97" s="476" t="str">
        <f t="shared" si="53"/>
        <v/>
      </c>
      <c r="T97" s="476" t="str">
        <f t="shared" si="53"/>
        <v/>
      </c>
      <c r="U97" s="476" t="str">
        <f t="shared" si="53"/>
        <v/>
      </c>
    </row>
    <row r="98" spans="2:21" ht="15" x14ac:dyDescent="0.2">
      <c r="B98" s="397" t="s">
        <v>758</v>
      </c>
      <c r="C98" s="397"/>
      <c r="D98" s="397"/>
      <c r="E98" s="397"/>
      <c r="F98" s="476">
        <f>IF(F89="","",F97/$I$16*$H$16)</f>
        <v>0</v>
      </c>
      <c r="G98" s="476">
        <f t="shared" ref="G98:U98" ca="1" si="54">IF(G89="","",G97/$I$16*$H$16)</f>
        <v>0</v>
      </c>
      <c r="H98" s="476">
        <f t="shared" ca="1" si="54"/>
        <v>0</v>
      </c>
      <c r="I98" s="476">
        <f t="shared" ca="1" si="54"/>
        <v>0</v>
      </c>
      <c r="J98" s="476">
        <f t="shared" ca="1" si="54"/>
        <v>0</v>
      </c>
      <c r="K98" s="476">
        <f t="shared" ca="1" si="54"/>
        <v>0</v>
      </c>
      <c r="L98" s="476">
        <f t="shared" ca="1" si="54"/>
        <v>0</v>
      </c>
      <c r="M98" s="476">
        <f t="shared" ca="1" si="54"/>
        <v>0</v>
      </c>
      <c r="N98" s="476">
        <f t="shared" ca="1" si="54"/>
        <v>0</v>
      </c>
      <c r="O98" s="476">
        <f t="shared" ca="1" si="54"/>
        <v>0</v>
      </c>
      <c r="P98" s="476">
        <f t="shared" ca="1" si="54"/>
        <v>0</v>
      </c>
      <c r="Q98" s="476" t="str">
        <f t="shared" si="54"/>
        <v/>
      </c>
      <c r="R98" s="476" t="str">
        <f t="shared" si="54"/>
        <v/>
      </c>
      <c r="S98" s="476" t="str">
        <f t="shared" si="54"/>
        <v/>
      </c>
      <c r="T98" s="476" t="str">
        <f t="shared" si="54"/>
        <v/>
      </c>
      <c r="U98" s="476" t="str">
        <f t="shared" si="54"/>
        <v/>
      </c>
    </row>
    <row r="99" spans="2:21" ht="15" x14ac:dyDescent="0.2">
      <c r="B99" s="397" t="str">
        <f>"Total Distributions ("&amp;B87&amp;")"</f>
        <v>Total Distributions (Hurdle 3)</v>
      </c>
      <c r="C99" s="397"/>
      <c r="D99" s="397"/>
      <c r="E99" s="397"/>
      <c r="F99" s="476">
        <f t="shared" ref="F99:U99" si="55">IF(F89="","",F97+F98)</f>
        <v>0</v>
      </c>
      <c r="G99" s="476">
        <f t="shared" ca="1" si="55"/>
        <v>0</v>
      </c>
      <c r="H99" s="476">
        <f t="shared" ca="1" si="55"/>
        <v>0</v>
      </c>
      <c r="I99" s="476">
        <f t="shared" ca="1" si="55"/>
        <v>0</v>
      </c>
      <c r="J99" s="476">
        <f t="shared" ca="1" si="55"/>
        <v>0</v>
      </c>
      <c r="K99" s="476">
        <f t="shared" ca="1" si="55"/>
        <v>0</v>
      </c>
      <c r="L99" s="476">
        <f t="shared" ca="1" si="55"/>
        <v>0</v>
      </c>
      <c r="M99" s="476">
        <f t="shared" ca="1" si="55"/>
        <v>0</v>
      </c>
      <c r="N99" s="476">
        <f t="shared" ca="1" si="55"/>
        <v>0</v>
      </c>
      <c r="O99" s="476">
        <f t="shared" ca="1" si="55"/>
        <v>0</v>
      </c>
      <c r="P99" s="476">
        <f t="shared" ca="1" si="55"/>
        <v>0</v>
      </c>
      <c r="Q99" s="476" t="str">
        <f t="shared" si="55"/>
        <v/>
      </c>
      <c r="R99" s="476" t="str">
        <f t="shared" si="55"/>
        <v/>
      </c>
      <c r="S99" s="476" t="str">
        <f t="shared" si="55"/>
        <v/>
      </c>
      <c r="T99" s="476" t="str">
        <f t="shared" si="55"/>
        <v/>
      </c>
      <c r="U99" s="476" t="str">
        <f t="shared" si="55"/>
        <v/>
      </c>
    </row>
    <row r="100" spans="2:21" ht="15" x14ac:dyDescent="0.2">
      <c r="B100" s="397" t="s">
        <v>760</v>
      </c>
      <c r="C100" s="397"/>
      <c r="D100" s="397"/>
      <c r="E100" s="397"/>
      <c r="F100" s="476">
        <f t="shared" ref="F100:U100" si="56">IF(F89="","",MAX(F$47-F69-F84-F99,0))</f>
        <v>0</v>
      </c>
      <c r="G100" s="476">
        <f t="shared" ca="1" si="56"/>
        <v>0</v>
      </c>
      <c r="H100" s="476">
        <f t="shared" ca="1" si="56"/>
        <v>0</v>
      </c>
      <c r="I100" s="476">
        <f t="shared" ca="1" si="56"/>
        <v>0</v>
      </c>
      <c r="J100" s="476">
        <f t="shared" ca="1" si="56"/>
        <v>0</v>
      </c>
      <c r="K100" s="476">
        <f t="shared" ca="1" si="56"/>
        <v>0</v>
      </c>
      <c r="L100" s="476">
        <f t="shared" ca="1" si="56"/>
        <v>0</v>
      </c>
      <c r="M100" s="476">
        <f t="shared" ca="1" si="56"/>
        <v>0</v>
      </c>
      <c r="N100" s="476">
        <f t="shared" ca="1" si="56"/>
        <v>0</v>
      </c>
      <c r="O100" s="476">
        <f t="shared" ca="1" si="56"/>
        <v>0</v>
      </c>
      <c r="P100" s="476">
        <f t="shared" ca="1" si="56"/>
        <v>0</v>
      </c>
      <c r="Q100" s="476" t="str">
        <f t="shared" si="56"/>
        <v/>
      </c>
      <c r="R100" s="476" t="str">
        <f t="shared" si="56"/>
        <v/>
      </c>
      <c r="S100" s="476" t="str">
        <f t="shared" si="56"/>
        <v/>
      </c>
      <c r="T100" s="476" t="str">
        <f t="shared" si="56"/>
        <v/>
      </c>
      <c r="U100" s="476" t="str">
        <f t="shared" si="56"/>
        <v/>
      </c>
    </row>
    <row r="101" spans="2:21" ht="5" customHeight="1" x14ac:dyDescent="0.2">
      <c r="B101" s="397"/>
      <c r="C101" s="397"/>
      <c r="D101" s="397"/>
      <c r="E101" s="397"/>
      <c r="F101" s="398"/>
      <c r="G101" s="398"/>
      <c r="H101" s="398"/>
      <c r="I101" s="398"/>
      <c r="J101" s="398"/>
      <c r="K101" s="398"/>
      <c r="L101" s="398"/>
      <c r="M101" s="398"/>
      <c r="N101" s="398"/>
      <c r="O101" s="398"/>
      <c r="P101" s="398"/>
      <c r="Q101" s="398"/>
      <c r="R101" s="398"/>
      <c r="S101" s="398"/>
      <c r="T101" s="398"/>
      <c r="U101" s="398"/>
    </row>
    <row r="102" spans="2:21" ht="16" x14ac:dyDescent="0.2">
      <c r="B102" s="400" t="s">
        <v>716</v>
      </c>
      <c r="C102" s="397"/>
      <c r="D102" s="397"/>
      <c r="E102" s="397"/>
      <c r="F102" s="398"/>
      <c r="G102" s="398"/>
      <c r="H102" s="398"/>
      <c r="I102" s="398"/>
      <c r="J102" s="398"/>
      <c r="K102" s="398"/>
      <c r="L102" s="398"/>
      <c r="M102" s="398"/>
      <c r="N102" s="398"/>
      <c r="O102" s="398"/>
      <c r="P102" s="398"/>
      <c r="Q102" s="398"/>
      <c r="R102" s="398"/>
      <c r="S102" s="398"/>
      <c r="T102" s="398"/>
      <c r="U102" s="398"/>
    </row>
    <row r="103" spans="2:21" ht="15" x14ac:dyDescent="0.2">
      <c r="B103" s="474" t="s">
        <v>765</v>
      </c>
      <c r="C103" s="475">
        <f>C88</f>
        <v>0.99</v>
      </c>
      <c r="D103" s="421"/>
      <c r="E103" s="421"/>
      <c r="F103" s="422"/>
      <c r="G103" s="422"/>
      <c r="H103" s="422"/>
      <c r="I103" s="422"/>
      <c r="J103" s="422"/>
      <c r="K103" s="422"/>
      <c r="L103" s="422"/>
      <c r="M103" s="422"/>
      <c r="N103" s="422"/>
      <c r="O103" s="422"/>
      <c r="P103" s="422"/>
      <c r="Q103" s="422"/>
      <c r="R103" s="422"/>
      <c r="S103" s="422"/>
      <c r="T103" s="422"/>
      <c r="U103" s="422"/>
    </row>
    <row r="104" spans="2:21" ht="15" x14ac:dyDescent="0.2">
      <c r="B104" s="397" t="s">
        <v>754</v>
      </c>
      <c r="C104" s="397"/>
      <c r="D104" s="397"/>
      <c r="E104" s="397"/>
      <c r="F104" s="476">
        <f t="shared" ref="F104:U104" si="57">IF(F89="","",F100*$I$17)</f>
        <v>0</v>
      </c>
      <c r="G104" s="476">
        <f t="shared" ca="1" si="57"/>
        <v>0</v>
      </c>
      <c r="H104" s="476">
        <f t="shared" ca="1" si="57"/>
        <v>0</v>
      </c>
      <c r="I104" s="476">
        <f t="shared" ca="1" si="57"/>
        <v>0</v>
      </c>
      <c r="J104" s="476">
        <f t="shared" ca="1" si="57"/>
        <v>0</v>
      </c>
      <c r="K104" s="476">
        <f t="shared" ca="1" si="57"/>
        <v>0</v>
      </c>
      <c r="L104" s="476">
        <f t="shared" ca="1" si="57"/>
        <v>0</v>
      </c>
      <c r="M104" s="476">
        <f t="shared" ca="1" si="57"/>
        <v>0</v>
      </c>
      <c r="N104" s="476">
        <f t="shared" ca="1" si="57"/>
        <v>0</v>
      </c>
      <c r="O104" s="476">
        <f t="shared" ca="1" si="57"/>
        <v>0</v>
      </c>
      <c r="P104" s="476">
        <f t="shared" ca="1" si="57"/>
        <v>0</v>
      </c>
      <c r="Q104" s="476" t="str">
        <f t="shared" si="57"/>
        <v/>
      </c>
      <c r="R104" s="476" t="str">
        <f t="shared" si="57"/>
        <v/>
      </c>
      <c r="S104" s="476" t="str">
        <f t="shared" si="57"/>
        <v/>
      </c>
      <c r="T104" s="476" t="str">
        <f t="shared" si="57"/>
        <v/>
      </c>
      <c r="U104" s="476" t="str">
        <f t="shared" si="57"/>
        <v/>
      </c>
    </row>
    <row r="105" spans="2:21" ht="15" x14ac:dyDescent="0.2">
      <c r="B105" s="397" t="s">
        <v>758</v>
      </c>
      <c r="C105" s="397"/>
      <c r="D105" s="397"/>
      <c r="E105" s="397"/>
      <c r="F105" s="476">
        <f t="shared" ref="F105:U105" si="58">IF(F104="","",F100-F104)</f>
        <v>0</v>
      </c>
      <c r="G105" s="476">
        <f t="shared" ca="1" si="58"/>
        <v>0</v>
      </c>
      <c r="H105" s="476">
        <f t="shared" ca="1" si="58"/>
        <v>0</v>
      </c>
      <c r="I105" s="476">
        <f t="shared" ca="1" si="58"/>
        <v>0</v>
      </c>
      <c r="J105" s="476">
        <f t="shared" ca="1" si="58"/>
        <v>0</v>
      </c>
      <c r="K105" s="476">
        <f t="shared" ca="1" si="58"/>
        <v>0</v>
      </c>
      <c r="L105" s="476">
        <f t="shared" ca="1" si="58"/>
        <v>0</v>
      </c>
      <c r="M105" s="476">
        <f t="shared" ca="1" si="58"/>
        <v>0</v>
      </c>
      <c r="N105" s="476">
        <f t="shared" ca="1" si="58"/>
        <v>0</v>
      </c>
      <c r="O105" s="476">
        <f t="shared" ca="1" si="58"/>
        <v>0</v>
      </c>
      <c r="P105" s="476">
        <f t="shared" ca="1" si="58"/>
        <v>0</v>
      </c>
      <c r="Q105" s="476" t="str">
        <f t="shared" si="58"/>
        <v/>
      </c>
      <c r="R105" s="476" t="str">
        <f t="shared" si="58"/>
        <v/>
      </c>
      <c r="S105" s="476" t="str">
        <f t="shared" si="58"/>
        <v/>
      </c>
      <c r="T105" s="476" t="str">
        <f t="shared" si="58"/>
        <v/>
      </c>
      <c r="U105" s="476" t="str">
        <f t="shared" si="58"/>
        <v/>
      </c>
    </row>
    <row r="106" spans="2:21" ht="15" x14ac:dyDescent="0.2">
      <c r="B106" s="397" t="str">
        <f>"Total Distributions ("&amp;B102&amp;")"</f>
        <v>Total Distributions (Hurdle 4)</v>
      </c>
      <c r="C106" s="397"/>
      <c r="D106" s="397"/>
      <c r="E106" s="397"/>
      <c r="F106" s="476">
        <f t="shared" ref="F106:U106" si="59">IF(F104="","",F104+F105)</f>
        <v>0</v>
      </c>
      <c r="G106" s="476">
        <f t="shared" ca="1" si="59"/>
        <v>0</v>
      </c>
      <c r="H106" s="476">
        <f t="shared" ca="1" si="59"/>
        <v>0</v>
      </c>
      <c r="I106" s="476">
        <f t="shared" ca="1" si="59"/>
        <v>0</v>
      </c>
      <c r="J106" s="476">
        <f t="shared" ca="1" si="59"/>
        <v>0</v>
      </c>
      <c r="K106" s="476">
        <f t="shared" ca="1" si="59"/>
        <v>0</v>
      </c>
      <c r="L106" s="476">
        <f t="shared" ca="1" si="59"/>
        <v>0</v>
      </c>
      <c r="M106" s="476">
        <f t="shared" ca="1" si="59"/>
        <v>0</v>
      </c>
      <c r="N106" s="476">
        <f t="shared" ca="1" si="59"/>
        <v>0</v>
      </c>
      <c r="O106" s="476">
        <f t="shared" ca="1" si="59"/>
        <v>0</v>
      </c>
      <c r="P106" s="476">
        <f t="shared" ca="1" si="59"/>
        <v>0</v>
      </c>
      <c r="Q106" s="476" t="str">
        <f t="shared" si="59"/>
        <v/>
      </c>
      <c r="R106" s="476" t="str">
        <f t="shared" si="59"/>
        <v/>
      </c>
      <c r="S106" s="476" t="str">
        <f t="shared" si="59"/>
        <v/>
      </c>
      <c r="T106" s="476" t="str">
        <f t="shared" si="59"/>
        <v/>
      </c>
      <c r="U106" s="476" t="str">
        <f t="shared" si="59"/>
        <v/>
      </c>
    </row>
    <row r="107" spans="2:21" ht="15" x14ac:dyDescent="0.2">
      <c r="B107" s="397" t="s">
        <v>760</v>
      </c>
      <c r="C107" s="397"/>
      <c r="D107" s="397"/>
      <c r="E107" s="397"/>
      <c r="F107" s="476">
        <f t="shared" ref="F107:U107" si="60">IF(F104="","",F100-F106)</f>
        <v>0</v>
      </c>
      <c r="G107" s="476">
        <f t="shared" ca="1" si="60"/>
        <v>0</v>
      </c>
      <c r="H107" s="476">
        <f t="shared" ca="1" si="60"/>
        <v>0</v>
      </c>
      <c r="I107" s="476">
        <f t="shared" ca="1" si="60"/>
        <v>0</v>
      </c>
      <c r="J107" s="476">
        <f t="shared" ca="1" si="60"/>
        <v>0</v>
      </c>
      <c r="K107" s="476">
        <f t="shared" ca="1" si="60"/>
        <v>0</v>
      </c>
      <c r="L107" s="476">
        <f t="shared" ca="1" si="60"/>
        <v>0</v>
      </c>
      <c r="M107" s="476">
        <f t="shared" ca="1" si="60"/>
        <v>0</v>
      </c>
      <c r="N107" s="476">
        <f t="shared" ca="1" si="60"/>
        <v>0</v>
      </c>
      <c r="O107" s="476">
        <f t="shared" ca="1" si="60"/>
        <v>0</v>
      </c>
      <c r="P107" s="476">
        <f t="shared" ca="1" si="60"/>
        <v>0</v>
      </c>
      <c r="Q107" s="476" t="str">
        <f t="shared" si="60"/>
        <v/>
      </c>
      <c r="R107" s="476" t="str">
        <f t="shared" si="60"/>
        <v/>
      </c>
      <c r="S107" s="476" t="str">
        <f t="shared" si="60"/>
        <v/>
      </c>
      <c r="T107" s="476" t="str">
        <f t="shared" si="60"/>
        <v/>
      </c>
      <c r="U107" s="476" t="str">
        <f t="shared" si="60"/>
        <v/>
      </c>
    </row>
    <row r="108" spans="2:21" ht="10" customHeight="1" x14ac:dyDescent="0.2"/>
    <row r="109" spans="2:21" ht="15" hidden="1" x14ac:dyDescent="0.2"/>
    <row r="110" spans="2:21" ht="15" hidden="1" x14ac:dyDescent="0.2"/>
    <row r="111" spans="2:21" ht="15" hidden="1" x14ac:dyDescent="0.2"/>
    <row r="112" spans="2:21" ht="15" hidden="1" x14ac:dyDescent="0.2"/>
  </sheetData>
  <sheetProtection algorithmName="SHA-512" hashValue="w4dKKtMCmGRsHlw7O/ibAdFINTHTNXI7WJNa89VkJDFock1GhPKQ0ktPXEPXOf4pYx2JRuiH3umHaL/xuMg3yw==" saltValue="pCXIHeY4X3zRHRRMUMGasA==" spinCount="100000" sheet="1" objects="1" scenarios="1"/>
  <mergeCells count="8">
    <mergeCell ref="J16:N16"/>
    <mergeCell ref="J17:N17"/>
    <mergeCell ref="O4:S4"/>
    <mergeCell ref="O5:S5"/>
    <mergeCell ref="F12:G13"/>
    <mergeCell ref="H12:I12"/>
    <mergeCell ref="J14:N14"/>
    <mergeCell ref="J15:N15"/>
  </mergeCells>
  <conditionalFormatting sqref="L8">
    <cfRule type="expression" dxfId="19" priority="19">
      <formula>$L$8="OK"</formula>
    </cfRule>
  </conditionalFormatting>
  <conditionalFormatting sqref="D14:D17">
    <cfRule type="expression" dxfId="18" priority="18">
      <formula>$D$4="Equity Multiple"</formula>
    </cfRule>
  </conditionalFormatting>
  <conditionalFormatting sqref="E14:E16">
    <cfRule type="expression" dxfId="17" priority="17">
      <formula>$D$4="Equity Multiple"</formula>
    </cfRule>
  </conditionalFormatting>
  <conditionalFormatting sqref="C14:C17">
    <cfRule type="expression" dxfId="16" priority="16">
      <formula>$D$4&lt;&gt;"Equity Multiple"</formula>
    </cfRule>
  </conditionalFormatting>
  <conditionalFormatting sqref="B59">
    <cfRule type="expression" dxfId="15" priority="15">
      <formula>$C$4="Equity Multiple"</formula>
    </cfRule>
  </conditionalFormatting>
  <conditionalFormatting sqref="E59">
    <cfRule type="expression" dxfId="14" priority="14">
      <formula>$C$4="Equity Multiple"</formula>
    </cfRule>
  </conditionalFormatting>
  <conditionalFormatting sqref="B80">
    <cfRule type="expression" dxfId="13" priority="13">
      <formula>$C$4="Equity Multiple"</formula>
    </cfRule>
  </conditionalFormatting>
  <conditionalFormatting sqref="B95">
    <cfRule type="expression" dxfId="12" priority="12">
      <formula>$C$4="Equity Multiple"</formula>
    </cfRule>
  </conditionalFormatting>
  <conditionalFormatting sqref="C52">
    <cfRule type="expression" dxfId="11" priority="11">
      <formula>$C$4="Equity Multiple"</formula>
    </cfRule>
  </conditionalFormatting>
  <conditionalFormatting sqref="C73">
    <cfRule type="expression" dxfId="10" priority="10">
      <formula>$C$4="Equity Multiple"</formula>
    </cfRule>
  </conditionalFormatting>
  <conditionalFormatting sqref="C88">
    <cfRule type="expression" dxfId="9" priority="9">
      <formula>$C$4="Equity Multiple"</formula>
    </cfRule>
  </conditionalFormatting>
  <conditionalFormatting sqref="C103">
    <cfRule type="expression" dxfId="8" priority="8">
      <formula>$C$4="Equity Multiple"</formula>
    </cfRule>
  </conditionalFormatting>
  <conditionalFormatting sqref="E80">
    <cfRule type="expression" dxfId="7" priority="7">
      <formula>$C$4="Equity Multiple"</formula>
    </cfRule>
  </conditionalFormatting>
  <conditionalFormatting sqref="E95">
    <cfRule type="expression" dxfId="6" priority="6">
      <formula>$C$4="Equity Multiple"</formula>
    </cfRule>
  </conditionalFormatting>
  <conditionalFormatting sqref="B67">
    <cfRule type="expression" dxfId="5" priority="5">
      <formula>$C$4="Equity Multiple"</formula>
    </cfRule>
  </conditionalFormatting>
  <conditionalFormatting sqref="E67">
    <cfRule type="expression" dxfId="4" priority="4">
      <formula>$C$4="Equity Multiple"</formula>
    </cfRule>
  </conditionalFormatting>
  <conditionalFormatting sqref="E59 E67 E80 E95">
    <cfRule type="expression" dxfId="3" priority="3">
      <formula>$D$4="Equity Multiple"</formula>
    </cfRule>
  </conditionalFormatting>
  <conditionalFormatting sqref="E5">
    <cfRule type="expression" dxfId="2" priority="2">
      <formula>$H$14&gt;=$C$8</formula>
    </cfRule>
  </conditionalFormatting>
  <conditionalFormatting sqref="F7 G5">
    <cfRule type="cellIs" dxfId="1" priority="20" operator="equal">
      <formula>$G$4</formula>
    </cfRule>
  </conditionalFormatting>
  <conditionalFormatting sqref="F5">
    <cfRule type="cellIs" dxfId="0" priority="1" operator="lessThanOrEqual">
      <formula>$G$4</formula>
    </cfRule>
  </conditionalFormatting>
  <dataValidations count="3">
    <dataValidation type="list" allowBlank="1" showInputMessage="1" showErrorMessage="1" sqref="D4" xr:uid="{97B2987B-36D6-45DF-8008-DBCEEF3CD357}">
      <formula1>"IRR, Equity Multiple"</formula1>
    </dataValidation>
    <dataValidation type="list" allowBlank="1" showInputMessage="1" showErrorMessage="1" sqref="D5" xr:uid="{4B74B5B6-CD7F-453F-A982-93E01FCA88D1}">
      <formula1>"Pari Passu"</formula1>
    </dataValidation>
    <dataValidation type="list" allowBlank="1" showInputMessage="1" showErrorMessage="1" sqref="E5" xr:uid="{00927A2A-E9D2-4ABA-876A-9FB9D3E88A1B}">
      <formula1>"Yes, No"</formula1>
    </dataValidation>
  </dataValidations>
  <pageMargins left="0.7" right="0.7" top="0.75" bottom="0.75" header="0.3" footer="0.3"/>
  <pageSetup scale="31" orientation="portrait" horizontalDpi="4294967294"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002060"/>
  </sheetPr>
  <dimension ref="A1:J27"/>
  <sheetViews>
    <sheetView workbookViewId="0"/>
  </sheetViews>
  <sheetFormatPr baseColWidth="10" defaultColWidth="9.1640625" defaultRowHeight="13" x14ac:dyDescent="0.15"/>
  <cols>
    <col min="1" max="1" width="25" style="3" customWidth="1"/>
    <col min="2" max="2" width="18.5" style="3" customWidth="1"/>
    <col min="3" max="3" width="10.1640625" style="3" customWidth="1"/>
    <col min="4" max="4" width="35.5" style="3" bestFit="1" customWidth="1"/>
    <col min="5" max="10" width="12.33203125" style="3" bestFit="1" customWidth="1"/>
    <col min="11" max="16384" width="9.1640625" style="3"/>
  </cols>
  <sheetData>
    <row r="1" spans="1:10" ht="8.5" customHeight="1" x14ac:dyDescent="0.15">
      <c r="A1" s="709"/>
      <c r="B1" s="709"/>
      <c r="C1" s="709"/>
      <c r="D1" s="709"/>
      <c r="E1" s="709"/>
      <c r="F1" s="709"/>
      <c r="G1" s="709"/>
      <c r="H1" s="709"/>
      <c r="I1" s="709"/>
      <c r="J1" s="709"/>
    </row>
    <row r="2" spans="1:10" x14ac:dyDescent="0.15">
      <c r="A2" s="4" t="str">
        <f>Proforma!C1</f>
        <v xml:space="preserve">Echo Hills Estates - 1700 S State Street, Hemet, CA </v>
      </c>
      <c r="B2" s="709"/>
      <c r="C2" s="709"/>
      <c r="D2" s="709"/>
      <c r="E2" s="709"/>
      <c r="F2" s="709"/>
      <c r="G2" s="709"/>
      <c r="H2" s="709"/>
      <c r="I2" s="709"/>
      <c r="J2" s="709"/>
    </row>
    <row r="3" spans="1:10" x14ac:dyDescent="0.15">
      <c r="A3" s="38" t="s">
        <v>43</v>
      </c>
      <c r="B3" s="38"/>
      <c r="C3" s="624"/>
      <c r="D3" s="38" t="s">
        <v>44</v>
      </c>
      <c r="E3" s="39" t="s">
        <v>28</v>
      </c>
      <c r="F3" s="39" t="s">
        <v>29</v>
      </c>
      <c r="G3" s="39" t="s">
        <v>30</v>
      </c>
      <c r="H3" s="39" t="s">
        <v>31</v>
      </c>
      <c r="I3" s="39" t="s">
        <v>45</v>
      </c>
      <c r="J3" s="39" t="s">
        <v>46</v>
      </c>
    </row>
    <row r="4" spans="1:10" x14ac:dyDescent="0.15">
      <c r="A4" s="41" t="s">
        <v>47</v>
      </c>
      <c r="B4" s="42" t="s">
        <v>48</v>
      </c>
      <c r="C4" s="624"/>
      <c r="D4" s="25" t="s">
        <v>49</v>
      </c>
      <c r="E4" s="710">
        <f>Proforma!F53*12</f>
        <v>484886.80000000005</v>
      </c>
      <c r="F4" s="710">
        <f ca="1">Proforma!G53*12</f>
        <v>666656.34549660003</v>
      </c>
      <c r="G4" s="710">
        <f ca="1">Proforma!H53*12</f>
        <v>793928.41640653205</v>
      </c>
      <c r="H4" s="710">
        <f ca="1">Proforma!I53*12</f>
        <v>829745.12873466255</v>
      </c>
      <c r="I4" s="710">
        <f ca="1">Proforma!J53*12</f>
        <v>865919.57690935582</v>
      </c>
      <c r="J4" s="710">
        <f ca="1">Proforma!K53*12</f>
        <v>902465.36531154311</v>
      </c>
    </row>
    <row r="5" spans="1:10" x14ac:dyDescent="0.15">
      <c r="A5" s="25" t="s">
        <v>43</v>
      </c>
      <c r="B5" s="43">
        <f>Proforma!D4</f>
        <v>5750000</v>
      </c>
      <c r="C5" s="44"/>
      <c r="D5" s="25" t="s">
        <v>50</v>
      </c>
      <c r="E5" s="711">
        <f ca="1">Proforma!F80*12</f>
        <v>304188.50840000005</v>
      </c>
      <c r="F5" s="711">
        <f ca="1">Proforma!G80*12</f>
        <v>318875.86904282996</v>
      </c>
      <c r="G5" s="711">
        <f ca="1">Proforma!H80*12</f>
        <v>330950.33362368663</v>
      </c>
      <c r="H5" s="711">
        <f ca="1">Proforma!I80*12</f>
        <v>338566.24749616039</v>
      </c>
      <c r="I5" s="711">
        <f ca="1">Proforma!J80*12</f>
        <v>346316.54972608364</v>
      </c>
      <c r="J5" s="711">
        <f ca="1">Proforma!K80*12</f>
        <v>354204.25056380517</v>
      </c>
    </row>
    <row r="6" spans="1:10" ht="14" thickBot="1" x14ac:dyDescent="0.2">
      <c r="A6" s="712" t="s">
        <v>51</v>
      </c>
      <c r="B6" s="625">
        <f>Proforma!D5</f>
        <v>660000</v>
      </c>
      <c r="C6" s="626"/>
      <c r="D6" s="632" t="s">
        <v>52</v>
      </c>
      <c r="E6" s="633">
        <f t="shared" ref="E6:J6" ca="1" si="0">E4-E5</f>
        <v>180698.2916</v>
      </c>
      <c r="F6" s="633">
        <f t="shared" ca="1" si="0"/>
        <v>347780.47645377007</v>
      </c>
      <c r="G6" s="633">
        <f t="shared" ca="1" si="0"/>
        <v>462978.08278284542</v>
      </c>
      <c r="H6" s="633">
        <f t="shared" ca="1" si="0"/>
        <v>491178.88123850216</v>
      </c>
      <c r="I6" s="633">
        <f t="shared" ca="1" si="0"/>
        <v>519603.02718327218</v>
      </c>
      <c r="J6" s="633">
        <f t="shared" ca="1" si="0"/>
        <v>548261.114747738</v>
      </c>
    </row>
    <row r="7" spans="1:10" ht="14" thickTop="1" x14ac:dyDescent="0.15">
      <c r="A7" s="45" t="s">
        <v>53</v>
      </c>
      <c r="B7" s="807">
        <f>SUM(B5:B6)</f>
        <v>6410000</v>
      </c>
      <c r="C7" s="627"/>
      <c r="D7" s="1" t="s">
        <v>54</v>
      </c>
      <c r="E7" s="34">
        <f t="shared" ref="E7:J7" ca="1" si="1">E6/E4</f>
        <v>0.37266077690710486</v>
      </c>
      <c r="F7" s="34">
        <f t="shared" ca="1" si="1"/>
        <v>0.521678791183941</v>
      </c>
      <c r="G7" s="34">
        <f t="shared" ca="1" si="1"/>
        <v>0.58314839627276538</v>
      </c>
      <c r="H7" s="34">
        <f t="shared" ca="1" si="1"/>
        <v>0.591963561132966</v>
      </c>
      <c r="I7" s="34">
        <f t="shared" ca="1" si="1"/>
        <v>0.60005922147856006</v>
      </c>
      <c r="J7" s="34">
        <f t="shared" ca="1" si="1"/>
        <v>0.60751485411129424</v>
      </c>
    </row>
    <row r="8" spans="1:10" x14ac:dyDescent="0.15">
      <c r="A8" s="48" t="s">
        <v>55</v>
      </c>
      <c r="B8" s="49">
        <f ca="1">Proforma!D8</f>
        <v>2.8190061092043681E-2</v>
      </c>
      <c r="C8" s="709"/>
      <c r="D8" s="709"/>
      <c r="E8" s="709"/>
      <c r="F8" s="709"/>
      <c r="G8" s="709"/>
      <c r="H8" s="709"/>
      <c r="I8" s="709"/>
      <c r="J8" s="709"/>
    </row>
    <row r="9" spans="1:10" x14ac:dyDescent="0.15">
      <c r="A9" s="709"/>
      <c r="B9" s="709"/>
      <c r="C9" s="709"/>
      <c r="D9" s="50" t="s">
        <v>56</v>
      </c>
      <c r="E9" s="15">
        <f>-Proforma!F94</f>
        <v>-205818.375</v>
      </c>
      <c r="F9" s="15">
        <f>-Proforma!G94</f>
        <v>-205818.375</v>
      </c>
      <c r="G9" s="15">
        <f>-Proforma!H94</f>
        <v>-247303.02545191324</v>
      </c>
      <c r="H9" s="15">
        <f>-Proforma!I94</f>
        <v>-247303.02545191324</v>
      </c>
      <c r="I9" s="15">
        <f>-Proforma!J94</f>
        <v>-247303.02545191324</v>
      </c>
      <c r="J9" s="15">
        <f ca="1">-Proforma!K94</f>
        <v>-452818.5322143113</v>
      </c>
    </row>
    <row r="10" spans="1:10" x14ac:dyDescent="0.15">
      <c r="A10" s="25" t="s">
        <v>57</v>
      </c>
      <c r="B10" s="710">
        <f>B5-B11</f>
        <v>2300000</v>
      </c>
      <c r="C10" s="51">
        <f>B11/B12</f>
        <v>0.6</v>
      </c>
      <c r="D10" s="709"/>
      <c r="E10" s="709"/>
      <c r="F10" s="709"/>
      <c r="G10" s="709"/>
      <c r="H10" s="709"/>
      <c r="I10" s="709"/>
      <c r="J10" s="709"/>
    </row>
    <row r="11" spans="1:10" x14ac:dyDescent="0.15">
      <c r="A11" s="25" t="s">
        <v>58</v>
      </c>
      <c r="B11" s="43">
        <f>Proforma!F92</f>
        <v>3450000</v>
      </c>
      <c r="C11" s="709"/>
      <c r="D11" s="712" t="s">
        <v>59</v>
      </c>
      <c r="E11" s="710">
        <f t="shared" ref="E11:J11" ca="1" si="2">E6+E9</f>
        <v>-25120.083400000003</v>
      </c>
      <c r="F11" s="710">
        <f t="shared" ca="1" si="2"/>
        <v>141962.10145377007</v>
      </c>
      <c r="G11" s="710">
        <f t="shared" ca="1" si="2"/>
        <v>215675.05733093218</v>
      </c>
      <c r="H11" s="710">
        <f t="shared" ca="1" si="2"/>
        <v>243875.85578658892</v>
      </c>
      <c r="I11" s="710">
        <f t="shared" ca="1" si="2"/>
        <v>272300.00173135893</v>
      </c>
      <c r="J11" s="710">
        <f t="shared" ca="1" si="2"/>
        <v>95442.582533426699</v>
      </c>
    </row>
    <row r="12" spans="1:10" ht="14" thickBot="1" x14ac:dyDescent="0.2">
      <c r="A12" s="45" t="s">
        <v>48</v>
      </c>
      <c r="B12" s="634">
        <f>SUM(B10:B11)</f>
        <v>5750000</v>
      </c>
      <c r="C12" s="627"/>
      <c r="D12" s="712" t="s">
        <v>60</v>
      </c>
      <c r="E12" s="8">
        <f>Proforma!F105</f>
        <v>70000</v>
      </c>
      <c r="F12" s="8">
        <f>Proforma!G105</f>
        <v>0</v>
      </c>
      <c r="G12" s="8">
        <f>Proforma!H105</f>
        <v>0</v>
      </c>
      <c r="H12" s="8">
        <f>Proforma!I105</f>
        <v>0</v>
      </c>
      <c r="I12" s="8">
        <f>Proforma!J105</f>
        <v>0</v>
      </c>
      <c r="J12" s="8">
        <f>Proforma!K105</f>
        <v>0</v>
      </c>
    </row>
    <row r="13" spans="1:10" ht="14" thickTop="1" x14ac:dyDescent="0.15">
      <c r="A13" s="709"/>
      <c r="B13" s="709"/>
      <c r="C13" s="627"/>
      <c r="D13" s="712" t="s">
        <v>61</v>
      </c>
      <c r="E13" s="8">
        <f>Proforma!F113</f>
        <v>0</v>
      </c>
      <c r="F13" s="8">
        <f>Proforma!G113</f>
        <v>0</v>
      </c>
      <c r="G13" s="8">
        <f>Proforma!H113</f>
        <v>0</v>
      </c>
      <c r="H13" s="8">
        <f>Proforma!I113</f>
        <v>0</v>
      </c>
      <c r="I13" s="8">
        <f ca="1">Proforma!J113</f>
        <v>2917262.5337469121</v>
      </c>
      <c r="J13" s="8">
        <f>Proforma!K113</f>
        <v>0</v>
      </c>
    </row>
    <row r="14" spans="1:10" ht="14" thickBot="1" x14ac:dyDescent="0.2">
      <c r="A14" s="712" t="s">
        <v>51</v>
      </c>
      <c r="B14" s="625">
        <f>B6</f>
        <v>660000</v>
      </c>
      <c r="C14" s="627"/>
      <c r="D14" s="635" t="s">
        <v>62</v>
      </c>
      <c r="E14" s="713">
        <f ca="1">SUM(E11:E13)</f>
        <v>44879.916599999997</v>
      </c>
      <c r="F14" s="713">
        <f t="shared" ref="F14:I14" ca="1" si="3">SUM(F11:F13)</f>
        <v>141962.10145377007</v>
      </c>
      <c r="G14" s="713">
        <f t="shared" ca="1" si="3"/>
        <v>215675.05733093218</v>
      </c>
      <c r="H14" s="713">
        <f t="shared" ca="1" si="3"/>
        <v>243875.85578658892</v>
      </c>
      <c r="I14" s="713">
        <f t="shared" ca="1" si="3"/>
        <v>3189562.5354782711</v>
      </c>
      <c r="J14" s="713">
        <f t="shared" ref="J14" ca="1" si="4">SUM(J11:J13)</f>
        <v>95442.582533426699</v>
      </c>
    </row>
    <row r="15" spans="1:10" ht="15" thickTop="1" thickBot="1" x14ac:dyDescent="0.2">
      <c r="A15" s="45" t="s">
        <v>63</v>
      </c>
      <c r="B15" s="634">
        <f>B10+B14</f>
        <v>2960000</v>
      </c>
      <c r="C15" s="627"/>
      <c r="D15" s="709"/>
      <c r="E15" s="709"/>
      <c r="F15" s="709"/>
      <c r="G15" s="709"/>
      <c r="H15" s="709"/>
      <c r="I15" s="709"/>
      <c r="J15" s="709"/>
    </row>
    <row r="16" spans="1:10" ht="14" thickTop="1" x14ac:dyDescent="0.15">
      <c r="A16" s="40"/>
      <c r="B16" s="40"/>
      <c r="C16" s="627"/>
      <c r="D16" s="18" t="s">
        <v>64</v>
      </c>
      <c r="E16" s="54">
        <f ca="1">Proforma!F130</f>
        <v>44879.916599999997</v>
      </c>
      <c r="F16" s="54">
        <f ca="1">Proforma!G130</f>
        <v>141962.10145377007</v>
      </c>
      <c r="G16" s="54">
        <f ca="1">Proforma!H130</f>
        <v>415675.05733093224</v>
      </c>
      <c r="H16" s="54">
        <f ca="1">Proforma!I130</f>
        <v>243875.85578658892</v>
      </c>
      <c r="I16" s="54">
        <f ca="1">Proforma!J130</f>
        <v>3017056.9321864005</v>
      </c>
      <c r="J16" s="54">
        <f ca="1">Proforma!K130</f>
        <v>47721.29126671335</v>
      </c>
    </row>
    <row r="17" spans="1:10" x14ac:dyDescent="0.15">
      <c r="A17" s="709" t="s">
        <v>65</v>
      </c>
      <c r="B17" s="711">
        <f>Proforma!D15</f>
        <v>101</v>
      </c>
      <c r="C17" s="627"/>
      <c r="D17" s="52" t="s">
        <v>66</v>
      </c>
      <c r="E17" s="53">
        <f ca="1">E16/$B$15</f>
        <v>1.5162133986486486E-2</v>
      </c>
      <c r="F17" s="53">
        <f t="shared" ref="F17:I17" ca="1" si="5">F16/$B$15</f>
        <v>4.7960169410057457E-2</v>
      </c>
      <c r="G17" s="53">
        <f t="shared" ca="1" si="5"/>
        <v>0.14043076261180143</v>
      </c>
      <c r="H17" s="53">
        <f t="shared" ca="1" si="5"/>
        <v>8.2390491819793549E-2</v>
      </c>
      <c r="I17" s="53">
        <f t="shared" ca="1" si="5"/>
        <v>1.0192759906035136</v>
      </c>
      <c r="J17" s="53">
        <f t="shared" ref="J17" ca="1" si="6">J16/$B$15</f>
        <v>1.612205786037613E-2</v>
      </c>
    </row>
    <row r="18" spans="1:10" x14ac:dyDescent="0.15">
      <c r="A18" s="709" t="s">
        <v>67</v>
      </c>
      <c r="B18" s="714">
        <f>B5/B17</f>
        <v>56930.69306930693</v>
      </c>
      <c r="C18" s="627"/>
      <c r="D18" s="709"/>
      <c r="E18" s="709"/>
      <c r="F18" s="709"/>
      <c r="G18" s="709"/>
      <c r="H18" s="709"/>
      <c r="I18" s="709"/>
      <c r="J18" s="709"/>
    </row>
    <row r="19" spans="1:10" x14ac:dyDescent="0.15">
      <c r="A19" s="709"/>
      <c r="B19" s="709"/>
      <c r="C19" s="627"/>
      <c r="D19" s="709"/>
      <c r="E19" s="709"/>
      <c r="F19" s="709"/>
      <c r="G19" s="709"/>
      <c r="H19" s="709"/>
      <c r="I19" s="709"/>
      <c r="J19" s="709"/>
    </row>
    <row r="20" spans="1:10" x14ac:dyDescent="0.15">
      <c r="A20" s="38" t="s">
        <v>68</v>
      </c>
      <c r="B20" s="38"/>
      <c r="C20" s="627"/>
      <c r="D20" s="709"/>
      <c r="E20" s="709"/>
      <c r="F20" s="709"/>
      <c r="G20" s="709"/>
      <c r="H20" s="709"/>
      <c r="I20" s="709"/>
      <c r="J20" s="709"/>
    </row>
    <row r="21" spans="1:10" x14ac:dyDescent="0.15">
      <c r="A21" s="40" t="s">
        <v>69</v>
      </c>
      <c r="B21" s="46">
        <f ca="1">Proforma!D134</f>
        <v>0.14021667765014034</v>
      </c>
      <c r="C21" s="627"/>
      <c r="D21" s="709"/>
      <c r="E21" s="709"/>
      <c r="F21" s="709"/>
      <c r="G21" s="709"/>
      <c r="H21" s="709"/>
      <c r="I21" s="709"/>
      <c r="J21" s="709"/>
    </row>
    <row r="22" spans="1:10" x14ac:dyDescent="0.15">
      <c r="A22" s="40" t="s">
        <v>70</v>
      </c>
      <c r="B22" s="47">
        <f ca="1">SUM(Proforma!F130:J130)/-Proforma!E130</f>
        <v>1.3052195484316527</v>
      </c>
      <c r="C22" s="627"/>
      <c r="D22" s="709"/>
      <c r="E22" s="709"/>
      <c r="F22" s="709"/>
      <c r="G22" s="709"/>
      <c r="H22" s="709"/>
      <c r="I22" s="709"/>
      <c r="J22" s="709"/>
    </row>
    <row r="23" spans="1:10" x14ac:dyDescent="0.15">
      <c r="A23" s="709" t="s">
        <v>71</v>
      </c>
      <c r="B23" s="710">
        <f ca="1">SUM(E16:I16)</f>
        <v>3863449.863357692</v>
      </c>
      <c r="C23" s="627"/>
      <c r="D23" s="709"/>
      <c r="E23" s="709"/>
      <c r="F23" s="709"/>
      <c r="G23" s="709"/>
      <c r="H23" s="709"/>
      <c r="I23" s="709"/>
      <c r="J23" s="709"/>
    </row>
    <row r="24" spans="1:10" x14ac:dyDescent="0.15">
      <c r="A24" s="709"/>
      <c r="B24" s="709"/>
      <c r="C24" s="624"/>
      <c r="D24" s="709"/>
      <c r="E24" s="709"/>
      <c r="F24" s="709"/>
      <c r="G24" s="709"/>
      <c r="H24" s="709"/>
      <c r="I24" s="709"/>
      <c r="J24" s="709"/>
    </row>
    <row r="25" spans="1:10" x14ac:dyDescent="0.15">
      <c r="A25" s="709"/>
      <c r="B25" s="709"/>
      <c r="C25" s="627"/>
      <c r="D25" s="709"/>
      <c r="E25" s="709"/>
      <c r="F25" s="709"/>
      <c r="G25" s="709"/>
      <c r="H25" s="709"/>
      <c r="I25" s="709"/>
      <c r="J25" s="709"/>
    </row>
    <row r="26" spans="1:10" x14ac:dyDescent="0.15">
      <c r="A26" s="709"/>
      <c r="B26" s="709"/>
      <c r="C26" s="627"/>
      <c r="D26" s="709"/>
      <c r="E26" s="709"/>
      <c r="F26" s="709"/>
      <c r="G26" s="709"/>
      <c r="H26" s="709"/>
      <c r="I26" s="709"/>
      <c r="J26" s="709"/>
    </row>
    <row r="27" spans="1:10" x14ac:dyDescent="0.15">
      <c r="A27" s="709"/>
      <c r="B27" s="709"/>
      <c r="C27" s="627"/>
      <c r="D27" s="709"/>
      <c r="E27" s="709"/>
      <c r="F27" s="709"/>
      <c r="G27" s="709"/>
      <c r="H27" s="709"/>
      <c r="I27" s="709"/>
      <c r="J27" s="709"/>
    </row>
  </sheetData>
  <sheetProtection algorithmName="SHA-512" hashValue="pmE6u+GtSDRJWBeIrYFNizuwF/D9Pn176NYaHQhO3MYjLxJdyy4pdkAG2GIY+Xht1MNtih5BHOX1T+ur4ZmmIg==" saltValue="SjWjf2eM5M2hJ3v2Q86TAQ==" spinCount="100000" sheet="1" objects="1" scenarios="1"/>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002060"/>
  </sheetPr>
  <dimension ref="A1"/>
  <sheetViews>
    <sheetView workbookViewId="0"/>
  </sheetViews>
  <sheetFormatPr baseColWidth="10" defaultColWidth="8.83203125" defaultRowHeight="13" x14ac:dyDescent="0.15"/>
  <cols>
    <col min="1" max="16384" width="8.83203125" style="82"/>
  </cols>
  <sheetData>
    <row r="1" spans="1:1" s="84" customFormat="1" ht="23" customHeight="1" x14ac:dyDescent="0.15">
      <c r="A1" s="83" t="str">
        <f>Proforma!C1</f>
        <v xml:space="preserve">Echo Hills Estates - 1700 S State Street, Hemet, CA </v>
      </c>
    </row>
  </sheetData>
  <sheetProtection algorithmName="SHA-512" hashValue="ctU6ikG7jfDfIRuRm73sNfPgzbktzU3M8T3tpy7XEiSH6kD72UdhryhR03oQzAyFV5Bzc3L80/sQB4yreTXXFw==" saltValue="yj1yg7ZsEylSXr6vHF3DsA==" spinCount="100000" sheet="1" objects="1" scenarios="1"/>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rgb="FF002060"/>
    <pageSetUpPr fitToPage="1"/>
  </sheetPr>
  <dimension ref="A1:BZ387"/>
  <sheetViews>
    <sheetView topLeftCell="C1" zoomScaleNormal="100" workbookViewId="0">
      <selection activeCell="E127" sqref="E127"/>
    </sheetView>
  </sheetViews>
  <sheetFormatPr baseColWidth="10" defaultColWidth="12.33203125" defaultRowHeight="13" x14ac:dyDescent="0.15"/>
  <cols>
    <col min="1" max="1" width="15.83203125" style="6" hidden="1" customWidth="1"/>
    <col min="2" max="2" width="9.33203125" style="483" hidden="1" customWidth="1"/>
    <col min="3" max="3" width="54.33203125" style="6" bestFit="1" customWidth="1"/>
    <col min="4" max="4" width="14.5" style="5" customWidth="1"/>
    <col min="5" max="5" width="16.5" style="6" bestFit="1" customWidth="1"/>
    <col min="6" max="6" width="12.33203125" style="6" customWidth="1"/>
    <col min="7" max="7" width="15.33203125" style="6" customWidth="1"/>
    <col min="8" max="8" width="12.33203125" style="6" customWidth="1"/>
    <col min="9" max="9" width="14" style="6" customWidth="1"/>
    <col min="10" max="10" width="14.83203125" style="6" customWidth="1"/>
    <col min="11" max="12" width="14.5" style="6" customWidth="1"/>
    <col min="13" max="13" width="13.83203125" style="6" customWidth="1"/>
    <col min="14" max="14" width="15.1640625" style="6" customWidth="1"/>
    <col min="15" max="17" width="13.33203125" style="6" customWidth="1"/>
    <col min="18" max="18" width="12.33203125" style="6" customWidth="1"/>
    <col min="19" max="23" width="12.83203125" style="6" customWidth="1"/>
    <col min="24" max="24" width="14" style="6" customWidth="1"/>
    <col min="25" max="35" width="12.83203125" style="6" customWidth="1"/>
    <col min="36" max="36" width="16.1640625" style="6" bestFit="1" customWidth="1"/>
    <col min="37" max="16384" width="12.33203125" style="6"/>
  </cols>
  <sheetData>
    <row r="1" spans="3:25" x14ac:dyDescent="0.15">
      <c r="C1" s="7" t="s">
        <v>72</v>
      </c>
      <c r="D1" s="865" t="str">
        <f>HYPERLINK("http://maps.google.com/maps?q="&amp;T1,"View on Google Map")</f>
        <v>View on Google Map</v>
      </c>
      <c r="E1" s="865"/>
      <c r="F1" s="708"/>
      <c r="G1" s="708"/>
      <c r="H1" s="708"/>
      <c r="I1" s="708"/>
      <c r="J1" s="708"/>
      <c r="K1" s="708"/>
      <c r="L1" s="708"/>
      <c r="M1" s="708"/>
      <c r="N1" s="708"/>
      <c r="O1" s="708"/>
      <c r="P1" s="708"/>
      <c r="Q1" s="708"/>
      <c r="R1" s="708"/>
      <c r="S1" s="708"/>
      <c r="T1" s="362" t="str">
        <f>RIGHT(C1,LEN(C1)-SEARCH("-",C1))</f>
        <v xml:space="preserve"> 1700 S State Street, Hemet, CA </v>
      </c>
      <c r="U1" s="362" t="str">
        <f>LEFT(C1,FIND("-",C1)-1)</f>
        <v xml:space="preserve">Echo Hills Estates </v>
      </c>
      <c r="V1" s="363" t="s">
        <v>73</v>
      </c>
      <c r="W1" s="362"/>
      <c r="X1" s="362"/>
      <c r="Y1" s="708"/>
    </row>
    <row r="2" spans="3:25" x14ac:dyDescent="0.15">
      <c r="C2" s="708"/>
      <c r="D2" s="13"/>
      <c r="E2" s="708"/>
      <c r="F2" s="708"/>
      <c r="G2" s="708"/>
      <c r="H2" s="708"/>
      <c r="I2" s="708"/>
      <c r="J2" s="708"/>
      <c r="K2" s="708"/>
      <c r="L2" s="708"/>
      <c r="M2" s="708"/>
      <c r="N2" s="708"/>
      <c r="O2" s="708"/>
      <c r="P2" s="708"/>
      <c r="Q2" s="708"/>
      <c r="R2" s="708"/>
      <c r="S2" s="708"/>
      <c r="T2" s="362"/>
      <c r="U2" s="362"/>
      <c r="V2" s="362"/>
      <c r="W2" s="362"/>
      <c r="X2" s="362"/>
      <c r="Y2" s="708"/>
    </row>
    <row r="3" spans="3:25" x14ac:dyDescent="0.15">
      <c r="C3" s="2" t="s">
        <v>74</v>
      </c>
      <c r="D3" s="2"/>
      <c r="E3" s="26" t="s">
        <v>75</v>
      </c>
      <c r="F3" s="708"/>
      <c r="G3" s="708"/>
      <c r="H3" s="2" t="s">
        <v>76</v>
      </c>
      <c r="I3" s="2"/>
      <c r="J3" s="2"/>
      <c r="K3" s="2"/>
      <c r="L3" s="2"/>
      <c r="M3" s="2"/>
      <c r="N3" s="2"/>
      <c r="O3" s="221"/>
      <c r="P3" s="7"/>
      <c r="Q3" s="708"/>
      <c r="R3" s="708"/>
      <c r="S3" s="708"/>
      <c r="T3" s="362"/>
      <c r="U3" s="362"/>
      <c r="V3" s="362"/>
      <c r="W3" s="362"/>
      <c r="X3" s="362"/>
      <c r="Y3" s="708"/>
    </row>
    <row r="4" spans="3:25" x14ac:dyDescent="0.15">
      <c r="C4" s="712" t="s">
        <v>43</v>
      </c>
      <c r="D4" s="151">
        <v>5750000</v>
      </c>
      <c r="E4" s="715">
        <f>D4/$D$15</f>
        <v>56930.69306930693</v>
      </c>
      <c r="F4" s="708"/>
      <c r="G4" s="708"/>
      <c r="H4" s="708" t="s">
        <v>77</v>
      </c>
      <c r="I4" s="716"/>
      <c r="J4" s="150">
        <v>0.02</v>
      </c>
      <c r="K4" s="708"/>
      <c r="L4" s="716" t="s">
        <v>78</v>
      </c>
      <c r="M4" s="708"/>
      <c r="N4" s="492">
        <v>2021</v>
      </c>
      <c r="O4" s="221"/>
      <c r="P4" s="708"/>
      <c r="Q4" s="708"/>
      <c r="R4" s="708"/>
      <c r="S4" s="708"/>
      <c r="T4" s="362">
        <v>0</v>
      </c>
      <c r="U4" s="364">
        <v>2017</v>
      </c>
      <c r="V4" s="362">
        <v>0</v>
      </c>
      <c r="W4" s="362">
        <v>1</v>
      </c>
      <c r="X4" s="362">
        <v>2</v>
      </c>
      <c r="Y4" s="708">
        <v>4</v>
      </c>
    </row>
    <row r="5" spans="3:25" x14ac:dyDescent="0.15">
      <c r="C5" s="717" t="s">
        <v>79</v>
      </c>
      <c r="D5" s="14">
        <f>+Notes!C30</f>
        <v>660000</v>
      </c>
      <c r="E5" s="718">
        <f t="shared" ref="E5:E6" si="0">D5/$D$15</f>
        <v>6534.6534653465351</v>
      </c>
      <c r="F5" s="708"/>
      <c r="G5" s="708"/>
      <c r="H5" s="708" t="s">
        <v>80</v>
      </c>
      <c r="I5" s="716"/>
      <c r="J5" s="150">
        <v>0.05</v>
      </c>
      <c r="K5" s="708"/>
      <c r="L5" s="708" t="s">
        <v>81</v>
      </c>
      <c r="M5" s="708"/>
      <c r="N5" s="345" t="s">
        <v>82</v>
      </c>
      <c r="O5" s="708"/>
      <c r="P5" s="708"/>
      <c r="Q5" s="708"/>
      <c r="R5" s="708"/>
      <c r="S5" s="708"/>
      <c r="T5" s="362">
        <v>1</v>
      </c>
      <c r="U5" s="364" t="s">
        <v>83</v>
      </c>
      <c r="V5" s="362"/>
      <c r="W5" s="362"/>
      <c r="X5" s="362"/>
      <c r="Y5" s="708"/>
    </row>
    <row r="6" spans="3:25" ht="14" thickBot="1" x14ac:dyDescent="0.2">
      <c r="C6" s="632" t="s">
        <v>84</v>
      </c>
      <c r="D6" s="636">
        <f>SUM(D4:D5)</f>
        <v>6410000</v>
      </c>
      <c r="E6" s="637">
        <f t="shared" si="0"/>
        <v>63465.346534653465</v>
      </c>
      <c r="F6" s="708"/>
      <c r="G6" s="719"/>
      <c r="H6" s="708" t="s">
        <v>85</v>
      </c>
      <c r="I6" s="716"/>
      <c r="J6" s="152">
        <v>2000</v>
      </c>
      <c r="K6" s="708"/>
      <c r="L6" s="708" t="s">
        <v>86</v>
      </c>
      <c r="M6" s="707"/>
      <c r="N6" s="618">
        <v>0</v>
      </c>
      <c r="O6" s="708"/>
      <c r="P6" s="708"/>
      <c r="Q6" s="708"/>
      <c r="R6" s="708"/>
      <c r="S6" s="708"/>
      <c r="T6" s="362">
        <v>2</v>
      </c>
      <c r="U6" s="364" t="s">
        <v>87</v>
      </c>
      <c r="V6" s="362"/>
      <c r="W6" s="362"/>
      <c r="X6" s="362"/>
      <c r="Y6" s="708"/>
    </row>
    <row r="7" spans="3:25" ht="14" thickTop="1" x14ac:dyDescent="0.15">
      <c r="C7" s="709" t="s">
        <v>88</v>
      </c>
      <c r="D7" s="23">
        <f ca="1">E165</f>
        <v>3.0480731918876746E-2</v>
      </c>
      <c r="E7" s="15"/>
      <c r="F7" s="708"/>
      <c r="G7" s="708"/>
      <c r="H7" s="708" t="s">
        <v>89</v>
      </c>
      <c r="I7" s="708"/>
      <c r="J7" s="233">
        <v>15</v>
      </c>
      <c r="K7" s="708"/>
      <c r="L7" s="708" t="s">
        <v>90</v>
      </c>
      <c r="M7" s="708"/>
      <c r="N7" s="618">
        <v>0</v>
      </c>
      <c r="O7" s="708"/>
      <c r="P7" s="708"/>
      <c r="Q7" s="708"/>
      <c r="R7" s="708"/>
      <c r="S7" s="708"/>
      <c r="T7" s="362">
        <v>4</v>
      </c>
      <c r="U7" s="364" t="s">
        <v>91</v>
      </c>
      <c r="V7" s="362"/>
      <c r="W7" s="362"/>
      <c r="X7" s="362"/>
      <c r="Y7" s="708"/>
    </row>
    <row r="8" spans="3:25" x14ac:dyDescent="0.15">
      <c r="C8" s="708" t="s">
        <v>92</v>
      </c>
      <c r="D8" s="23">
        <f ca="1">F85/(D4+D5)</f>
        <v>2.8190061092043681E-2</v>
      </c>
      <c r="E8" s="708"/>
      <c r="F8" s="708"/>
      <c r="G8" s="708"/>
      <c r="H8" s="708" t="s">
        <v>93</v>
      </c>
      <c r="I8" s="708"/>
      <c r="J8" s="152">
        <v>200</v>
      </c>
      <c r="K8" s="720" t="s">
        <v>94</v>
      </c>
      <c r="L8" s="708" t="s">
        <v>95</v>
      </c>
      <c r="M8" s="708"/>
      <c r="N8" s="618">
        <v>0</v>
      </c>
      <c r="O8" s="708"/>
      <c r="P8" s="708"/>
      <c r="Q8" s="708"/>
      <c r="R8" s="708"/>
      <c r="S8" s="708"/>
      <c r="T8" s="708"/>
      <c r="U8" s="708"/>
      <c r="V8" s="708"/>
      <c r="W8" s="708"/>
      <c r="X8" s="708"/>
      <c r="Y8" s="708"/>
    </row>
    <row r="9" spans="3:25" x14ac:dyDescent="0.15">
      <c r="C9" s="708" t="s">
        <v>96</v>
      </c>
      <c r="D9" s="23">
        <f>E102</f>
        <v>0.05</v>
      </c>
      <c r="E9" s="708"/>
      <c r="F9" s="708"/>
      <c r="G9" s="708"/>
      <c r="H9" s="708"/>
      <c r="I9" s="708"/>
      <c r="J9" s="708"/>
      <c r="K9" s="708"/>
      <c r="L9" s="708" t="s">
        <v>97</v>
      </c>
      <c r="M9" s="708"/>
      <c r="N9" s="618">
        <v>0</v>
      </c>
      <c r="O9" s="708"/>
      <c r="P9" s="708"/>
      <c r="Q9" s="708"/>
      <c r="R9" s="708"/>
      <c r="S9" s="708"/>
      <c r="T9" s="708"/>
      <c r="U9" s="708"/>
      <c r="V9" s="708"/>
      <c r="W9" s="708"/>
      <c r="X9" s="708"/>
      <c r="Y9" s="708"/>
    </row>
    <row r="10" spans="3:25" x14ac:dyDescent="0.15">
      <c r="C10" s="708" t="s">
        <v>98</v>
      </c>
      <c r="D10" s="613">
        <f>+E4/F29/100</f>
        <v>1.0906263040097113</v>
      </c>
      <c r="E10" s="708"/>
      <c r="F10" s="708"/>
      <c r="G10" s="708"/>
      <c r="H10" s="708"/>
      <c r="I10" s="708"/>
      <c r="J10" s="708"/>
      <c r="K10" s="708"/>
      <c r="L10" s="708"/>
      <c r="M10" s="708"/>
      <c r="N10" s="708"/>
      <c r="O10" s="708"/>
      <c r="P10" s="708"/>
      <c r="Q10" s="708"/>
      <c r="R10" s="708"/>
      <c r="S10" s="708"/>
      <c r="T10" s="708"/>
      <c r="U10" s="708"/>
      <c r="V10" s="708"/>
      <c r="W10" s="708"/>
      <c r="X10" s="708"/>
      <c r="Y10" s="708"/>
    </row>
    <row r="11" spans="3:25" x14ac:dyDescent="0.15">
      <c r="C11" s="57" t="s">
        <v>65</v>
      </c>
      <c r="D11" s="58" t="s">
        <v>48</v>
      </c>
      <c r="E11" s="58" t="s">
        <v>99</v>
      </c>
      <c r="F11" s="58" t="s">
        <v>100</v>
      </c>
      <c r="G11" s="58" t="s">
        <v>101</v>
      </c>
      <c r="H11" s="708"/>
      <c r="I11" s="701"/>
      <c r="J11" s="708"/>
      <c r="K11" s="708"/>
      <c r="L11" s="708"/>
      <c r="M11" s="708"/>
      <c r="N11" s="708"/>
      <c r="O11" s="708"/>
      <c r="P11" s="708"/>
      <c r="Q11" s="708"/>
      <c r="R11" s="708"/>
      <c r="S11" s="708"/>
      <c r="T11" s="708"/>
      <c r="U11" s="708"/>
      <c r="V11" s="708"/>
      <c r="W11" s="708"/>
      <c r="X11" s="708"/>
      <c r="Y11" s="708"/>
    </row>
    <row r="12" spans="3:25" x14ac:dyDescent="0.15">
      <c r="C12" s="712" t="s">
        <v>102</v>
      </c>
      <c r="D12" s="345">
        <v>76</v>
      </c>
      <c r="E12" s="345">
        <v>76</v>
      </c>
      <c r="F12" s="721">
        <f>D12-E12</f>
        <v>0</v>
      </c>
      <c r="G12" s="722">
        <f>F12/D12</f>
        <v>0</v>
      </c>
      <c r="H12" s="708"/>
      <c r="I12" s="708"/>
      <c r="J12" s="708"/>
      <c r="K12" s="708"/>
      <c r="L12" s="708"/>
      <c r="M12" s="708"/>
      <c r="N12" s="708"/>
      <c r="O12" s="708"/>
      <c r="P12" s="708"/>
      <c r="Q12" s="708"/>
      <c r="R12" s="708"/>
      <c r="S12" s="708"/>
      <c r="T12" s="708"/>
      <c r="U12" s="708"/>
      <c r="V12" s="708"/>
      <c r="W12" s="708"/>
      <c r="X12" s="708"/>
      <c r="Y12" s="708"/>
    </row>
    <row r="13" spans="3:25" x14ac:dyDescent="0.15">
      <c r="C13" s="712" t="s">
        <v>103</v>
      </c>
      <c r="D13" s="345">
        <v>25</v>
      </c>
      <c r="E13" s="345">
        <v>0</v>
      </c>
      <c r="F13" s="721">
        <f>D13-E13</f>
        <v>25</v>
      </c>
      <c r="G13" s="722">
        <f>IF(ISERROR((F13/D13)),"-",(F13/D13))</f>
        <v>1</v>
      </c>
      <c r="H13" s="708"/>
      <c r="I13" s="708"/>
      <c r="J13" s="708"/>
      <c r="K13" s="708"/>
      <c r="L13" s="708"/>
      <c r="M13" s="708"/>
      <c r="N13" s="708"/>
      <c r="O13" s="708"/>
      <c r="P13" s="708"/>
      <c r="Q13" s="708"/>
      <c r="R13" s="708"/>
      <c r="S13" s="708"/>
      <c r="T13" s="708"/>
      <c r="U13" s="708"/>
      <c r="V13" s="708"/>
      <c r="W13" s="708"/>
      <c r="X13" s="708"/>
      <c r="Y13" s="708"/>
    </row>
    <row r="14" spans="3:25" x14ac:dyDescent="0.15">
      <c r="C14" s="712" t="s">
        <v>104</v>
      </c>
      <c r="D14" s="345">
        <v>0</v>
      </c>
      <c r="E14" s="345">
        <v>0</v>
      </c>
      <c r="F14" s="721">
        <f>D14-E14</f>
        <v>0</v>
      </c>
      <c r="G14" s="722" t="str">
        <f>IF(ISERROR((F14/D14)),"-",(F14/D14))</f>
        <v>-</v>
      </c>
      <c r="H14" s="708"/>
      <c r="I14" s="708"/>
      <c r="J14" s="708"/>
      <c r="K14" s="708"/>
      <c r="L14" s="708"/>
      <c r="M14" s="708"/>
      <c r="N14" s="708"/>
      <c r="O14" s="708"/>
      <c r="P14" s="708"/>
      <c r="Q14" s="708"/>
      <c r="R14" s="708"/>
      <c r="S14" s="708"/>
      <c r="T14" s="708"/>
      <c r="U14" s="708"/>
      <c r="V14" s="708"/>
      <c r="W14" s="708"/>
      <c r="X14" s="708"/>
      <c r="Y14" s="708"/>
    </row>
    <row r="15" spans="3:25" x14ac:dyDescent="0.15">
      <c r="C15" s="57" t="s">
        <v>48</v>
      </c>
      <c r="D15" s="58">
        <f>SUM(D12:D14)</f>
        <v>101</v>
      </c>
      <c r="E15" s="58">
        <f>SUM(E12:E14)</f>
        <v>76</v>
      </c>
      <c r="F15" s="723">
        <f t="shared" ref="F15" si="1">D15-E15</f>
        <v>25</v>
      </c>
      <c r="G15" s="75">
        <f>F15/D15</f>
        <v>0.24752475247524752</v>
      </c>
      <c r="H15" s="708"/>
      <c r="I15" s="708"/>
      <c r="J15" s="708"/>
      <c r="K15" s="708"/>
      <c r="L15" s="708"/>
      <c r="M15" s="708"/>
      <c r="N15" s="708"/>
      <c r="O15" s="708"/>
      <c r="P15" s="708"/>
      <c r="Q15" s="708"/>
      <c r="R15" s="708"/>
      <c r="S15" s="708"/>
      <c r="T15" s="708"/>
      <c r="U15" s="708"/>
      <c r="V15" s="708"/>
      <c r="W15" s="708"/>
      <c r="X15" s="708"/>
      <c r="Y15" s="708"/>
    </row>
    <row r="16" spans="3:25" x14ac:dyDescent="0.15">
      <c r="C16" s="712"/>
      <c r="D16" s="59"/>
      <c r="E16" s="59"/>
      <c r="F16" s="721"/>
      <c r="G16" s="708"/>
      <c r="H16" s="708"/>
      <c r="I16" s="708"/>
      <c r="J16" s="708"/>
      <c r="K16" s="708"/>
      <c r="L16" s="708"/>
      <c r="M16" s="708"/>
      <c r="N16" s="708"/>
      <c r="O16" s="708"/>
      <c r="P16" s="708"/>
      <c r="Q16" s="708"/>
      <c r="R16" s="708"/>
      <c r="S16" s="708"/>
      <c r="T16" s="708"/>
      <c r="U16" s="708"/>
      <c r="V16" s="708"/>
      <c r="W16" s="708"/>
      <c r="X16" s="708"/>
      <c r="Y16" s="708"/>
    </row>
    <row r="17" spans="1:36" x14ac:dyDescent="0.15">
      <c r="A17" s="708"/>
      <c r="C17" s="712" t="s">
        <v>105</v>
      </c>
      <c r="D17" s="345">
        <v>1</v>
      </c>
      <c r="E17" s="345">
        <v>0</v>
      </c>
      <c r="F17" s="721">
        <f>D17-E17</f>
        <v>1</v>
      </c>
      <c r="G17" s="638">
        <v>1</v>
      </c>
      <c r="H17" s="724" t="s">
        <v>106</v>
      </c>
      <c r="I17" s="725"/>
      <c r="J17" s="708"/>
      <c r="K17" s="708"/>
      <c r="L17" s="708"/>
      <c r="M17" s="708"/>
      <c r="N17" s="708"/>
      <c r="O17" s="708"/>
      <c r="P17" s="708"/>
      <c r="Q17" s="708"/>
      <c r="R17" s="708"/>
      <c r="S17" s="708"/>
      <c r="T17" s="708"/>
      <c r="U17" s="708"/>
      <c r="V17" s="708"/>
      <c r="W17" s="708"/>
      <c r="X17" s="708"/>
      <c r="Y17" s="708"/>
      <c r="Z17" s="708"/>
      <c r="AA17" s="708"/>
      <c r="AB17" s="708"/>
      <c r="AC17" s="708"/>
      <c r="AD17" s="708"/>
      <c r="AE17" s="708"/>
      <c r="AF17" s="708"/>
      <c r="AG17" s="708"/>
      <c r="AH17" s="708"/>
      <c r="AI17" s="708"/>
      <c r="AJ17" s="708"/>
    </row>
    <row r="18" spans="1:36" ht="14" thickBot="1" x14ac:dyDescent="0.2">
      <c r="A18" s="708"/>
      <c r="C18" s="712"/>
      <c r="D18" s="59"/>
      <c r="E18" s="59"/>
      <c r="F18" s="59"/>
      <c r="G18" s="708"/>
      <c r="H18" s="708"/>
      <c r="I18" s="708"/>
      <c r="J18" s="708"/>
      <c r="K18" s="708"/>
      <c r="L18" s="708"/>
      <c r="M18" s="708"/>
      <c r="N18" s="708"/>
      <c r="O18" s="708"/>
      <c r="P18" s="708"/>
      <c r="Q18" s="708"/>
      <c r="R18" s="708"/>
      <c r="S18" s="708"/>
      <c r="T18" s="708"/>
      <c r="U18" s="708"/>
      <c r="V18" s="708"/>
      <c r="W18" s="708"/>
      <c r="X18" s="708"/>
      <c r="Y18" s="708"/>
      <c r="Z18" s="708"/>
      <c r="AA18" s="708"/>
      <c r="AB18" s="708"/>
      <c r="AC18" s="708"/>
      <c r="AD18" s="708"/>
      <c r="AE18" s="708"/>
      <c r="AF18" s="708"/>
      <c r="AG18" s="708"/>
      <c r="AH18" s="708"/>
      <c r="AI18" s="708"/>
      <c r="AJ18" s="708"/>
    </row>
    <row r="19" spans="1:36" ht="14" thickBot="1" x14ac:dyDescent="0.2">
      <c r="A19" s="708"/>
      <c r="C19" s="490" t="s">
        <v>107</v>
      </c>
      <c r="D19" s="493"/>
      <c r="E19" s="494" t="s">
        <v>108</v>
      </c>
      <c r="F19" s="494" t="s">
        <v>109</v>
      </c>
      <c r="G19" s="495" t="s">
        <v>110</v>
      </c>
      <c r="H19" s="708"/>
      <c r="I19" s="36" t="s">
        <v>111</v>
      </c>
      <c r="J19" s="36"/>
      <c r="K19" s="36"/>
      <c r="L19" s="708"/>
      <c r="M19" s="869" t="s">
        <v>112</v>
      </c>
      <c r="N19" s="869"/>
      <c r="O19" s="869"/>
      <c r="P19" s="869"/>
      <c r="Q19" s="708"/>
      <c r="R19" s="708"/>
      <c r="S19" s="708"/>
      <c r="T19" s="708"/>
      <c r="U19" s="708"/>
      <c r="V19" s="708"/>
      <c r="W19" s="708"/>
      <c r="X19" s="708"/>
      <c r="Y19" s="708"/>
      <c r="Z19" s="708"/>
      <c r="AA19" s="708"/>
      <c r="AB19" s="708"/>
      <c r="AC19" s="708"/>
      <c r="AD19" s="708"/>
      <c r="AE19" s="708"/>
      <c r="AF19" s="708"/>
      <c r="AG19" s="708"/>
      <c r="AH19" s="708"/>
      <c r="AI19" s="708"/>
      <c r="AJ19" s="708"/>
    </row>
    <row r="20" spans="1:36" ht="14" thickBot="1" x14ac:dyDescent="0.2">
      <c r="A20" s="708"/>
      <c r="C20" s="726" t="str">
        <f ca="1">"30 Year Lev IRR -   "&amp;TEXT(D117,"0.0%")</f>
        <v>30 Year Lev IRR -   17.0%</v>
      </c>
      <c r="D20" s="496" t="s">
        <v>113</v>
      </c>
      <c r="E20" s="497">
        <f t="shared" ref="E20:G24" ca="1" si="2">D169</f>
        <v>0.16717680594078699</v>
      </c>
      <c r="F20" s="497">
        <f t="shared" ca="1" si="2"/>
        <v>0.14710954609128257</v>
      </c>
      <c r="G20" s="498">
        <f t="shared" ca="1" si="2"/>
        <v>0.12786342132736594</v>
      </c>
      <c r="H20" s="708"/>
      <c r="I20" s="716" t="s">
        <v>114</v>
      </c>
      <c r="J20" s="727"/>
      <c r="K20" s="150">
        <v>0.5</v>
      </c>
      <c r="L20" s="708"/>
      <c r="M20" s="623" t="s">
        <v>115</v>
      </c>
      <c r="N20" s="708"/>
      <c r="O20" s="155" t="s">
        <v>116</v>
      </c>
      <c r="P20" s="155" t="s">
        <v>117</v>
      </c>
      <c r="Q20" s="708"/>
      <c r="R20" s="708"/>
      <c r="S20" s="708"/>
      <c r="T20" s="708"/>
      <c r="U20" s="708"/>
      <c r="V20" s="708"/>
      <c r="W20" s="708"/>
      <c r="X20" s="708"/>
      <c r="Y20" s="708"/>
      <c r="Z20" s="708"/>
      <c r="AA20" s="708"/>
      <c r="AB20" s="708"/>
      <c r="AC20" s="708"/>
      <c r="AD20" s="708"/>
      <c r="AE20" s="708"/>
      <c r="AF20" s="708"/>
      <c r="AG20" s="708"/>
      <c r="AH20" s="708"/>
      <c r="AI20" s="708"/>
      <c r="AJ20" s="708"/>
    </row>
    <row r="21" spans="1:36" x14ac:dyDescent="0.15">
      <c r="A21" s="708"/>
      <c r="C21" s="726" t="str">
        <f ca="1">"30 Year Investor IRR -   "&amp;TEXT(D134,"0.0%")</f>
        <v>30 Year Investor IRR -   14.0%</v>
      </c>
      <c r="D21" s="496" t="s">
        <v>118</v>
      </c>
      <c r="E21" s="497">
        <f t="shared" ca="1" si="2"/>
        <v>0.26846252618544297</v>
      </c>
      <c r="F21" s="497">
        <f t="shared" ca="1" si="2"/>
        <v>0.22033318969867199</v>
      </c>
      <c r="G21" s="498">
        <f t="shared" ca="1" si="2"/>
        <v>0.19991870390384237</v>
      </c>
      <c r="H21" s="708"/>
      <c r="I21" s="716" t="s">
        <v>119</v>
      </c>
      <c r="J21" s="727"/>
      <c r="K21" s="728">
        <f>1-K20</f>
        <v>0.5</v>
      </c>
      <c r="L21" s="729"/>
      <c r="M21" s="730">
        <v>0</v>
      </c>
      <c r="N21" s="721" t="s">
        <v>120</v>
      </c>
      <c r="O21" s="731">
        <f>M21*E17*12</f>
        <v>0</v>
      </c>
      <c r="P21" s="708" t="e">
        <f>O21/E17</f>
        <v>#DIV/0!</v>
      </c>
      <c r="Q21" s="708"/>
      <c r="R21" s="708"/>
      <c r="S21" s="708"/>
      <c r="T21" s="708"/>
      <c r="U21" s="708"/>
      <c r="V21" s="708"/>
      <c r="W21" s="708"/>
      <c r="X21" s="708"/>
      <c r="Y21" s="708"/>
      <c r="Z21" s="708"/>
      <c r="AA21" s="708"/>
      <c r="AB21" s="708"/>
      <c r="AC21" s="708"/>
      <c r="AD21" s="708"/>
      <c r="AE21" s="708"/>
      <c r="AF21" s="708"/>
      <c r="AG21" s="708"/>
      <c r="AH21" s="708"/>
      <c r="AI21" s="708"/>
      <c r="AJ21" s="708"/>
    </row>
    <row r="22" spans="1:36" ht="14" thickBot="1" x14ac:dyDescent="0.2">
      <c r="A22" s="708"/>
      <c r="C22" s="726"/>
      <c r="D22" s="496" t="s">
        <v>121</v>
      </c>
      <c r="E22" s="497">
        <f t="shared" ca="1" si="2"/>
        <v>0.16960010768573075</v>
      </c>
      <c r="F22" s="497">
        <f t="shared" ca="1" si="2"/>
        <v>0.14819687023826189</v>
      </c>
      <c r="G22" s="498">
        <f t="shared" ca="1" si="2"/>
        <v>0.15036123968689852</v>
      </c>
      <c r="H22" s="708"/>
      <c r="I22" s="716" t="s">
        <v>122</v>
      </c>
      <c r="J22" s="727"/>
      <c r="K22" s="150">
        <v>0.05</v>
      </c>
      <c r="L22" s="708"/>
      <c r="M22" s="623" t="s">
        <v>123</v>
      </c>
      <c r="N22" s="721" t="s">
        <v>124</v>
      </c>
      <c r="O22" s="731">
        <f>O21*(1-M23)</f>
        <v>0</v>
      </c>
      <c r="P22" s="731" t="e">
        <f>(1-M23)*P21</f>
        <v>#DIV/0!</v>
      </c>
      <c r="Q22" s="708"/>
      <c r="R22" s="708"/>
      <c r="S22" s="708"/>
      <c r="T22" s="708"/>
      <c r="U22" s="708"/>
      <c r="V22" s="708"/>
      <c r="W22" s="708"/>
      <c r="X22" s="708"/>
      <c r="Y22" s="708"/>
      <c r="Z22" s="708"/>
      <c r="AA22" s="708"/>
      <c r="AB22" s="708"/>
      <c r="AC22" s="708"/>
      <c r="AD22" s="708"/>
      <c r="AE22" s="708"/>
      <c r="AF22" s="708"/>
      <c r="AG22" s="708"/>
      <c r="AH22" s="708"/>
      <c r="AI22" s="708"/>
      <c r="AJ22" s="708"/>
    </row>
    <row r="23" spans="1:36" x14ac:dyDescent="0.15">
      <c r="A23" s="708"/>
      <c r="C23" s="726" t="str">
        <f ca="1">"Year 5 Return On Cost -   "&amp;TEXT(J87,"0.0%")</f>
        <v>Year 5 Return On Cost -   8.1%</v>
      </c>
      <c r="D23" s="496" t="s">
        <v>125</v>
      </c>
      <c r="E23" s="499" t="str">
        <f t="shared" ca="1" si="2"/>
        <v>1.6x</v>
      </c>
      <c r="F23" s="499" t="str">
        <f t="shared" ca="1" si="2"/>
        <v>1.9x</v>
      </c>
      <c r="G23" s="500" t="str">
        <f t="shared" ca="1" si="2"/>
        <v>2.6x</v>
      </c>
      <c r="H23" s="708"/>
      <c r="I23" s="716" t="s">
        <v>126</v>
      </c>
      <c r="J23" s="727"/>
      <c r="K23" s="150">
        <v>0.05</v>
      </c>
      <c r="L23" s="708"/>
      <c r="M23" s="732">
        <v>0.5</v>
      </c>
      <c r="N23" s="721" t="s">
        <v>127</v>
      </c>
      <c r="O23" s="733">
        <f>+O21-O22</f>
        <v>0</v>
      </c>
      <c r="P23" s="733" t="e">
        <f>+P21-P22</f>
        <v>#DIV/0!</v>
      </c>
      <c r="Q23" s="708"/>
      <c r="R23" s="708"/>
      <c r="S23" s="708"/>
      <c r="T23" s="708"/>
      <c r="U23" s="708"/>
      <c r="V23" s="708"/>
      <c r="W23" s="708"/>
      <c r="X23" s="708"/>
      <c r="Y23" s="708"/>
      <c r="Z23" s="708"/>
      <c r="AA23" s="708"/>
      <c r="AB23" s="708"/>
      <c r="AC23" s="708"/>
      <c r="AD23" s="708"/>
      <c r="AE23" s="708"/>
      <c r="AF23" s="708"/>
      <c r="AG23" s="708"/>
      <c r="AH23" s="708"/>
      <c r="AI23" s="708"/>
      <c r="AJ23" s="708"/>
    </row>
    <row r="24" spans="1:36" ht="14" thickBot="1" x14ac:dyDescent="0.2">
      <c r="A24" s="708"/>
      <c r="C24" s="726" t="str">
        <f ca="1">"Pct Equity Returned Over 5 Years "&amp;TEXT(J134,"0.0%")</f>
        <v>Pct Equity Returned Over 5 Years Cumm.= 130.5%</v>
      </c>
      <c r="D24" s="496" t="s">
        <v>128</v>
      </c>
      <c r="E24" s="501">
        <f t="shared" ca="1" si="2"/>
        <v>4695000</v>
      </c>
      <c r="F24" s="501">
        <f t="shared" ca="1" si="2"/>
        <v>5696000</v>
      </c>
      <c r="G24" s="502">
        <f t="shared" ca="1" si="2"/>
        <v>7647000</v>
      </c>
      <c r="H24" s="708"/>
      <c r="I24" s="708"/>
      <c r="J24" s="708"/>
      <c r="K24" s="708"/>
      <c r="L24" s="708"/>
      <c r="M24" s="708"/>
      <c r="N24" s="708"/>
      <c r="O24" s="708"/>
      <c r="P24" s="708"/>
      <c r="Q24" s="708"/>
      <c r="R24" s="708"/>
      <c r="S24" s="708"/>
      <c r="T24" s="708"/>
      <c r="U24" s="708"/>
      <c r="V24" s="708"/>
      <c r="W24" s="708"/>
      <c r="X24" s="708"/>
      <c r="Y24" s="708"/>
      <c r="Z24" s="708"/>
      <c r="AA24" s="708"/>
      <c r="AB24" s="708"/>
      <c r="AC24" s="708"/>
      <c r="AD24" s="708"/>
      <c r="AE24" s="708"/>
      <c r="AF24" s="708"/>
      <c r="AG24" s="708"/>
      <c r="AH24" s="708"/>
      <c r="AI24" s="708"/>
      <c r="AJ24" s="708"/>
    </row>
    <row r="25" spans="1:36" x14ac:dyDescent="0.15">
      <c r="A25" s="708"/>
      <c r="C25" s="726" t="str">
        <f ca="1">"Year 1 Leveraged Cash-On-Cash -   "&amp;TEXT(F116,"0.0%")</f>
        <v>Year 1 Leveraged Cash-On-Cash -   1.5%</v>
      </c>
      <c r="D25" s="496"/>
      <c r="E25" s="501"/>
      <c r="F25" s="501"/>
      <c r="G25" s="502"/>
      <c r="H25" s="614" t="s">
        <v>130</v>
      </c>
      <c r="I25" s="615" t="s">
        <v>131</v>
      </c>
      <c r="J25" s="721"/>
      <c r="K25" s="708"/>
      <c r="L25" s="708"/>
      <c r="M25" s="708"/>
      <c r="N25" s="708"/>
      <c r="O25" s="708"/>
      <c r="P25" s="708"/>
      <c r="Q25" s="708"/>
      <c r="R25" s="708"/>
      <c r="S25" s="708"/>
      <c r="T25" s="708"/>
      <c r="U25" s="708"/>
      <c r="V25" s="708"/>
      <c r="W25" s="708"/>
      <c r="X25" s="708"/>
      <c r="Y25" s="708"/>
      <c r="Z25" s="708"/>
      <c r="AA25" s="708"/>
      <c r="AB25" s="708"/>
      <c r="AC25" s="708"/>
      <c r="AD25" s="708"/>
      <c r="AE25" s="708"/>
      <c r="AF25" s="708"/>
      <c r="AG25" s="708"/>
      <c r="AH25" s="708"/>
      <c r="AI25" s="708"/>
      <c r="AJ25" s="708"/>
    </row>
    <row r="26" spans="1:36" x14ac:dyDescent="0.15">
      <c r="A26" s="708"/>
      <c r="C26" s="734"/>
      <c r="D26" s="496"/>
      <c r="E26" s="501"/>
      <c r="F26" s="503"/>
      <c r="G26" s="504"/>
      <c r="H26" s="501">
        <f ca="1">ROUND(O102,-3)</f>
        <v>13213000</v>
      </c>
      <c r="I26" s="502">
        <f ca="1">ROUND(H26/NoOfSpaces,-2)</f>
        <v>130800</v>
      </c>
      <c r="J26" s="721"/>
      <c r="K26" s="708"/>
      <c r="L26" s="708"/>
      <c r="M26" s="708"/>
      <c r="N26" s="708"/>
      <c r="O26" s="708"/>
      <c r="P26" s="708"/>
      <c r="Q26" s="708"/>
      <c r="R26" s="708"/>
      <c r="S26" s="708"/>
      <c r="T26" s="708"/>
      <c r="U26" s="708"/>
      <c r="V26" s="708"/>
      <c r="W26" s="708"/>
      <c r="X26" s="708"/>
      <c r="Y26" s="708"/>
      <c r="Z26" s="708"/>
      <c r="AA26" s="708"/>
      <c r="AB26" s="708"/>
      <c r="AC26" s="708"/>
      <c r="AD26" s="708"/>
      <c r="AE26" s="708"/>
      <c r="AF26" s="708"/>
      <c r="AG26" s="708"/>
      <c r="AH26" s="708"/>
      <c r="AI26" s="708"/>
      <c r="AJ26" s="708"/>
    </row>
    <row r="27" spans="1:36" x14ac:dyDescent="0.15">
      <c r="A27" s="721" t="s">
        <v>132</v>
      </c>
      <c r="B27" s="491" t="s">
        <v>133</v>
      </c>
      <c r="C27" s="16" t="s">
        <v>134</v>
      </c>
      <c r="D27" s="17" t="s">
        <v>135</v>
      </c>
      <c r="E27" s="808" t="s">
        <v>136</v>
      </c>
      <c r="F27" s="20">
        <v>1</v>
      </c>
      <c r="G27" s="20">
        <f>F27+1</f>
        <v>2</v>
      </c>
      <c r="H27" s="20">
        <f t="shared" ref="H27:AH27" si="3">G27+1</f>
        <v>3</v>
      </c>
      <c r="I27" s="20">
        <f t="shared" si="3"/>
        <v>4</v>
      </c>
      <c r="J27" s="20">
        <f t="shared" si="3"/>
        <v>5</v>
      </c>
      <c r="K27" s="20">
        <f t="shared" si="3"/>
        <v>6</v>
      </c>
      <c r="L27" s="20">
        <f t="shared" si="3"/>
        <v>7</v>
      </c>
      <c r="M27" s="20">
        <f t="shared" si="3"/>
        <v>8</v>
      </c>
      <c r="N27" s="20">
        <f t="shared" si="3"/>
        <v>9</v>
      </c>
      <c r="O27" s="20">
        <f t="shared" si="3"/>
        <v>10</v>
      </c>
      <c r="P27" s="20">
        <f t="shared" si="3"/>
        <v>11</v>
      </c>
      <c r="Q27" s="20">
        <f t="shared" si="3"/>
        <v>12</v>
      </c>
      <c r="R27" s="20">
        <f t="shared" si="3"/>
        <v>13</v>
      </c>
      <c r="S27" s="20">
        <f t="shared" si="3"/>
        <v>14</v>
      </c>
      <c r="T27" s="20">
        <f t="shared" si="3"/>
        <v>15</v>
      </c>
      <c r="U27" s="20">
        <f t="shared" si="3"/>
        <v>16</v>
      </c>
      <c r="V27" s="20">
        <f t="shared" si="3"/>
        <v>17</v>
      </c>
      <c r="W27" s="20">
        <f t="shared" si="3"/>
        <v>18</v>
      </c>
      <c r="X27" s="20">
        <f t="shared" si="3"/>
        <v>19</v>
      </c>
      <c r="Y27" s="20">
        <f t="shared" si="3"/>
        <v>20</v>
      </c>
      <c r="Z27" s="20">
        <f t="shared" si="3"/>
        <v>21</v>
      </c>
      <c r="AA27" s="20">
        <f t="shared" si="3"/>
        <v>22</v>
      </c>
      <c r="AB27" s="20">
        <f t="shared" si="3"/>
        <v>23</v>
      </c>
      <c r="AC27" s="20">
        <f t="shared" si="3"/>
        <v>24</v>
      </c>
      <c r="AD27" s="20">
        <f t="shared" si="3"/>
        <v>25</v>
      </c>
      <c r="AE27" s="20">
        <f t="shared" si="3"/>
        <v>26</v>
      </c>
      <c r="AF27" s="20">
        <f t="shared" si="3"/>
        <v>27</v>
      </c>
      <c r="AG27" s="20">
        <f t="shared" si="3"/>
        <v>28</v>
      </c>
      <c r="AH27" s="20">
        <f t="shared" si="3"/>
        <v>29</v>
      </c>
      <c r="AI27" s="20">
        <f t="shared" ref="AI27" si="4">AH27+1</f>
        <v>30</v>
      </c>
      <c r="AJ27" s="20">
        <f t="shared" ref="AJ27" si="5">AI27+1</f>
        <v>31</v>
      </c>
    </row>
    <row r="28" spans="1:36" x14ac:dyDescent="0.15">
      <c r="A28" s="708"/>
      <c r="C28" s="7" t="s">
        <v>137</v>
      </c>
      <c r="D28" s="140"/>
      <c r="E28" s="735"/>
      <c r="F28" s="279"/>
      <c r="G28" s="856" t="str">
        <f>"YOY = "&amp;TEXT(((G29-F29)/F29),"0.0%")</f>
        <v>YOY = 5.7%</v>
      </c>
      <c r="H28" s="856" t="str">
        <f>"YOY = "&amp;TEXT(((H29-G29)/G29),"0.0%")</f>
        <v>YOY = 5.4%</v>
      </c>
      <c r="I28" s="856" t="str">
        <f t="shared" ref="I28:AH28" si="6">"YOY = "&amp;TEXT(((I29-H29)/H29),"0.0%")</f>
        <v>YOY = 5.2%</v>
      </c>
      <c r="J28" s="856" t="str">
        <f t="shared" si="6"/>
        <v>YOY = 4.9%</v>
      </c>
      <c r="K28" s="222" t="str">
        <f t="shared" si="6"/>
        <v>YOY = 4.7%</v>
      </c>
      <c r="L28" s="222" t="str">
        <f t="shared" si="6"/>
        <v>YOY = 4.0%</v>
      </c>
      <c r="M28" s="222" t="str">
        <f t="shared" si="6"/>
        <v>YOY = 4.0%</v>
      </c>
      <c r="N28" s="222" t="str">
        <f t="shared" si="6"/>
        <v>YOY = 4.0%</v>
      </c>
      <c r="O28" s="222" t="str">
        <f t="shared" si="6"/>
        <v>YOY = 4.0%</v>
      </c>
      <c r="P28" s="222" t="str">
        <f t="shared" si="6"/>
        <v>YOY = 4.0%</v>
      </c>
      <c r="Q28" s="222" t="str">
        <f t="shared" si="6"/>
        <v>YOY = 4.0%</v>
      </c>
      <c r="R28" s="222" t="str">
        <f t="shared" si="6"/>
        <v>YOY = 4.0%</v>
      </c>
      <c r="S28" s="222" t="str">
        <f t="shared" si="6"/>
        <v>YOY = 4.0%</v>
      </c>
      <c r="T28" s="222" t="str">
        <f t="shared" si="6"/>
        <v>YOY = 4.0%</v>
      </c>
      <c r="U28" s="222" t="str">
        <f t="shared" si="6"/>
        <v>YOY = 4.0%</v>
      </c>
      <c r="V28" s="222" t="str">
        <f t="shared" si="6"/>
        <v>YOY = 4.0%</v>
      </c>
      <c r="W28" s="222" t="str">
        <f t="shared" si="6"/>
        <v>YOY = 4.0%</v>
      </c>
      <c r="X28" s="222" t="str">
        <f t="shared" si="6"/>
        <v>YOY = 4.0%</v>
      </c>
      <c r="Y28" s="222" t="str">
        <f t="shared" si="6"/>
        <v>YOY = 4.0%</v>
      </c>
      <c r="Z28" s="222" t="str">
        <f t="shared" si="6"/>
        <v>YOY = 4.0%</v>
      </c>
      <c r="AA28" s="222" t="str">
        <f t="shared" si="6"/>
        <v>YOY = 4.0%</v>
      </c>
      <c r="AB28" s="222" t="str">
        <f t="shared" si="6"/>
        <v>YOY = 4.0%</v>
      </c>
      <c r="AC28" s="222" t="str">
        <f t="shared" si="6"/>
        <v>YOY = 4.0%</v>
      </c>
      <c r="AD28" s="222" t="str">
        <f t="shared" si="6"/>
        <v>YOY = 4.0%</v>
      </c>
      <c r="AE28" s="222" t="str">
        <f t="shared" si="6"/>
        <v>YOY = 4.0%</v>
      </c>
      <c r="AF28" s="222" t="str">
        <f t="shared" si="6"/>
        <v>YOY = 4.0%</v>
      </c>
      <c r="AG28" s="222" t="str">
        <f t="shared" si="6"/>
        <v>YOY = 4.0%</v>
      </c>
      <c r="AH28" s="222" t="str">
        <f t="shared" si="6"/>
        <v>YOY = 4.0%</v>
      </c>
      <c r="AI28" s="222" t="str">
        <f t="shared" ref="AI28" si="7">"YOY = "&amp;TEXT(((AI29-AH29)/AH29),"0.0%")</f>
        <v>YOY = 4.0%</v>
      </c>
      <c r="AJ28" s="222" t="str">
        <f t="shared" ref="AJ28" si="8">"YOY = "&amp;TEXT(((AJ29-AI29)/AI29),"0.0%")</f>
        <v>YOY = 4.0%</v>
      </c>
    </row>
    <row r="29" spans="1:36" x14ac:dyDescent="0.15">
      <c r="A29" s="708"/>
      <c r="C29" s="717" t="str">
        <f>C12</f>
        <v xml:space="preserve">MH </v>
      </c>
      <c r="D29" s="141">
        <v>512</v>
      </c>
      <c r="E29" s="280">
        <v>0.04</v>
      </c>
      <c r="F29" s="279">
        <f>D29+10</f>
        <v>522</v>
      </c>
      <c r="G29" s="279">
        <f>F29+30</f>
        <v>552</v>
      </c>
      <c r="H29" s="279">
        <f t="shared" ref="H29:K29" si="9">G29+30</f>
        <v>582</v>
      </c>
      <c r="I29" s="279">
        <f t="shared" si="9"/>
        <v>612</v>
      </c>
      <c r="J29" s="279">
        <f t="shared" si="9"/>
        <v>642</v>
      </c>
      <c r="K29" s="279">
        <f t="shared" si="9"/>
        <v>672</v>
      </c>
      <c r="L29" s="279">
        <f t="shared" ref="L29:AH29" si="10">K29*(1+$E$29)</f>
        <v>698.88</v>
      </c>
      <c r="M29" s="279">
        <f t="shared" si="10"/>
        <v>726.83519999999999</v>
      </c>
      <c r="N29" s="279">
        <f t="shared" si="10"/>
        <v>755.90860799999996</v>
      </c>
      <c r="O29" s="279">
        <f t="shared" si="10"/>
        <v>786.14495232000002</v>
      </c>
      <c r="P29" s="279">
        <f t="shared" si="10"/>
        <v>817.59075041280005</v>
      </c>
      <c r="Q29" s="279">
        <f t="shared" si="10"/>
        <v>850.29438042931213</v>
      </c>
      <c r="R29" s="279">
        <f t="shared" si="10"/>
        <v>884.30615564648463</v>
      </c>
      <c r="S29" s="279">
        <f t="shared" si="10"/>
        <v>919.67840187234401</v>
      </c>
      <c r="T29" s="279">
        <f t="shared" si="10"/>
        <v>956.46553794723775</v>
      </c>
      <c r="U29" s="279">
        <f t="shared" si="10"/>
        <v>994.72415946512729</v>
      </c>
      <c r="V29" s="279">
        <f t="shared" si="10"/>
        <v>1034.5131258437325</v>
      </c>
      <c r="W29" s="279">
        <f t="shared" si="10"/>
        <v>1075.8936508774818</v>
      </c>
      <c r="X29" s="279">
        <f t="shared" si="10"/>
        <v>1118.9293969125811</v>
      </c>
      <c r="Y29" s="279">
        <f t="shared" si="10"/>
        <v>1163.6865727890843</v>
      </c>
      <c r="Z29" s="279">
        <f t="shared" si="10"/>
        <v>1210.2340357006476</v>
      </c>
      <c r="AA29" s="279">
        <f t="shared" si="10"/>
        <v>1258.6433971286735</v>
      </c>
      <c r="AB29" s="279">
        <f t="shared" si="10"/>
        <v>1308.9891330138205</v>
      </c>
      <c r="AC29" s="279">
        <f t="shared" si="10"/>
        <v>1361.3486983343735</v>
      </c>
      <c r="AD29" s="279">
        <f t="shared" si="10"/>
        <v>1415.8026462677485</v>
      </c>
      <c r="AE29" s="279">
        <f t="shared" si="10"/>
        <v>1472.4347521184586</v>
      </c>
      <c r="AF29" s="279">
        <f t="shared" si="10"/>
        <v>1531.332142203197</v>
      </c>
      <c r="AG29" s="279">
        <f t="shared" si="10"/>
        <v>1592.585427891325</v>
      </c>
      <c r="AH29" s="279">
        <f t="shared" si="10"/>
        <v>1656.2888450069781</v>
      </c>
      <c r="AI29" s="279">
        <f t="shared" ref="AI29" si="11">AH29*(1+$E$29)</f>
        <v>1722.5403988072574</v>
      </c>
      <c r="AJ29" s="279">
        <f t="shared" ref="AJ29" si="12">AI29*(1+$E$29)</f>
        <v>1791.4420147595476</v>
      </c>
    </row>
    <row r="30" spans="1:36" x14ac:dyDescent="0.15">
      <c r="A30" s="708"/>
      <c r="C30" s="717" t="str">
        <f>C13</f>
        <v>New MH</v>
      </c>
      <c r="D30" s="141">
        <v>0</v>
      </c>
      <c r="E30" s="280">
        <v>0.04</v>
      </c>
      <c r="F30" s="279">
        <f>D30</f>
        <v>0</v>
      </c>
      <c r="G30" s="279">
        <v>680</v>
      </c>
      <c r="H30" s="279">
        <f t="shared" ref="H30" si="13">G30*(1+$E$30)</f>
        <v>707.2</v>
      </c>
      <c r="I30" s="279">
        <f t="shared" ref="I30" si="14">H30*(1+$E$30)</f>
        <v>735.48800000000006</v>
      </c>
      <c r="J30" s="279">
        <f t="shared" ref="J30:K30" si="15">I30*(1+$E$30)</f>
        <v>764.90752000000009</v>
      </c>
      <c r="K30" s="279">
        <f t="shared" si="15"/>
        <v>795.50382080000009</v>
      </c>
      <c r="L30" s="279">
        <f t="shared" ref="L30:AH30" si="16">K30*(1+$E$30)</f>
        <v>827.32397363200016</v>
      </c>
      <c r="M30" s="279">
        <f t="shared" si="16"/>
        <v>860.41693257728025</v>
      </c>
      <c r="N30" s="279">
        <f t="shared" si="16"/>
        <v>894.83360988037145</v>
      </c>
      <c r="O30" s="279">
        <f t="shared" si="16"/>
        <v>930.6269542755864</v>
      </c>
      <c r="P30" s="279">
        <f t="shared" si="16"/>
        <v>967.85203244660988</v>
      </c>
      <c r="Q30" s="279">
        <f t="shared" si="16"/>
        <v>1006.5661137444744</v>
      </c>
      <c r="R30" s="279">
        <f t="shared" si="16"/>
        <v>1046.8287582942535</v>
      </c>
      <c r="S30" s="279">
        <f t="shared" si="16"/>
        <v>1088.7019086260236</v>
      </c>
      <c r="T30" s="279">
        <f t="shared" si="16"/>
        <v>1132.2499849710646</v>
      </c>
      <c r="U30" s="279">
        <f t="shared" si="16"/>
        <v>1177.5399843699072</v>
      </c>
      <c r="V30" s="279">
        <f t="shared" si="16"/>
        <v>1224.6415837447034</v>
      </c>
      <c r="W30" s="279">
        <f t="shared" si="16"/>
        <v>1273.6272470944916</v>
      </c>
      <c r="X30" s="279">
        <f t="shared" si="16"/>
        <v>1324.5723369782713</v>
      </c>
      <c r="Y30" s="279">
        <f t="shared" si="16"/>
        <v>1377.5552304574023</v>
      </c>
      <c r="Z30" s="279">
        <f t="shared" si="16"/>
        <v>1432.6574396756985</v>
      </c>
      <c r="AA30" s="279">
        <f t="shared" si="16"/>
        <v>1489.9637372627265</v>
      </c>
      <c r="AB30" s="279">
        <f t="shared" si="16"/>
        <v>1549.5622867532356</v>
      </c>
      <c r="AC30" s="279">
        <f t="shared" si="16"/>
        <v>1611.544778223365</v>
      </c>
      <c r="AD30" s="279">
        <f t="shared" si="16"/>
        <v>1676.0065693522997</v>
      </c>
      <c r="AE30" s="279">
        <f t="shared" si="16"/>
        <v>1743.0468321263918</v>
      </c>
      <c r="AF30" s="279">
        <f t="shared" si="16"/>
        <v>1812.7687054114476</v>
      </c>
      <c r="AG30" s="279">
        <f t="shared" si="16"/>
        <v>1885.2794536279057</v>
      </c>
      <c r="AH30" s="279">
        <f t="shared" si="16"/>
        <v>1960.690631773022</v>
      </c>
      <c r="AI30" s="279">
        <f t="shared" ref="AI30" si="17">AH30*(1+$E$30)</f>
        <v>2039.118257043943</v>
      </c>
      <c r="AJ30" s="279">
        <f t="shared" ref="AJ30" si="18">AI30*(1+$E$30)</f>
        <v>2120.6829873257007</v>
      </c>
    </row>
    <row r="31" spans="1:36" x14ac:dyDescent="0.15">
      <c r="A31" s="708"/>
      <c r="C31" s="717" t="str">
        <f>C14</f>
        <v>Other</v>
      </c>
      <c r="D31" s="141">
        <v>0</v>
      </c>
      <c r="E31" s="280">
        <v>0.04</v>
      </c>
      <c r="F31" s="279">
        <f>D31</f>
        <v>0</v>
      </c>
      <c r="G31" s="279">
        <f t="shared" ref="G31" si="19">F31*(1+$E$31)</f>
        <v>0</v>
      </c>
      <c r="H31" s="279">
        <f t="shared" ref="H31" si="20">G31*(1+$E$31)</f>
        <v>0</v>
      </c>
      <c r="I31" s="279">
        <f t="shared" ref="I31" si="21">H31*(1+$E$31)</f>
        <v>0</v>
      </c>
      <c r="J31" s="279">
        <f t="shared" ref="J31" si="22">I31*(1+$E$31)</f>
        <v>0</v>
      </c>
      <c r="K31" s="279">
        <f t="shared" ref="K31:AH31" si="23">J31*(1+$E$31)</f>
        <v>0</v>
      </c>
      <c r="L31" s="279">
        <f t="shared" si="23"/>
        <v>0</v>
      </c>
      <c r="M31" s="279">
        <f t="shared" si="23"/>
        <v>0</v>
      </c>
      <c r="N31" s="279">
        <f t="shared" si="23"/>
        <v>0</v>
      </c>
      <c r="O31" s="279">
        <f t="shared" si="23"/>
        <v>0</v>
      </c>
      <c r="P31" s="279">
        <f t="shared" si="23"/>
        <v>0</v>
      </c>
      <c r="Q31" s="279">
        <f t="shared" si="23"/>
        <v>0</v>
      </c>
      <c r="R31" s="279">
        <f t="shared" si="23"/>
        <v>0</v>
      </c>
      <c r="S31" s="279">
        <f t="shared" si="23"/>
        <v>0</v>
      </c>
      <c r="T31" s="279">
        <f t="shared" si="23"/>
        <v>0</v>
      </c>
      <c r="U31" s="279">
        <f t="shared" si="23"/>
        <v>0</v>
      </c>
      <c r="V31" s="279">
        <f t="shared" si="23"/>
        <v>0</v>
      </c>
      <c r="W31" s="279">
        <f t="shared" si="23"/>
        <v>0</v>
      </c>
      <c r="X31" s="279">
        <f t="shared" si="23"/>
        <v>0</v>
      </c>
      <c r="Y31" s="279">
        <f t="shared" si="23"/>
        <v>0</v>
      </c>
      <c r="Z31" s="279">
        <f t="shared" si="23"/>
        <v>0</v>
      </c>
      <c r="AA31" s="279">
        <f t="shared" si="23"/>
        <v>0</v>
      </c>
      <c r="AB31" s="279">
        <f t="shared" si="23"/>
        <v>0</v>
      </c>
      <c r="AC31" s="279">
        <f t="shared" si="23"/>
        <v>0</v>
      </c>
      <c r="AD31" s="279">
        <f t="shared" si="23"/>
        <v>0</v>
      </c>
      <c r="AE31" s="279">
        <f t="shared" si="23"/>
        <v>0</v>
      </c>
      <c r="AF31" s="279">
        <f t="shared" si="23"/>
        <v>0</v>
      </c>
      <c r="AG31" s="279">
        <f t="shared" si="23"/>
        <v>0</v>
      </c>
      <c r="AH31" s="279">
        <f t="shared" si="23"/>
        <v>0</v>
      </c>
      <c r="AI31" s="279">
        <f t="shared" ref="AI31" si="24">AH31*(1+$E$31)</f>
        <v>0</v>
      </c>
      <c r="AJ31" s="279">
        <f t="shared" ref="AJ31" si="25">AI31*(1+$E$31)</f>
        <v>0</v>
      </c>
    </row>
    <row r="32" spans="1:36" x14ac:dyDescent="0.15">
      <c r="A32" s="708"/>
      <c r="C32" s="708"/>
      <c r="D32" s="140"/>
      <c r="E32" s="735"/>
      <c r="F32" s="809"/>
      <c r="G32" s="810"/>
      <c r="H32" s="810"/>
      <c r="I32" s="810"/>
      <c r="J32" s="810"/>
      <c r="K32" s="810"/>
      <c r="L32" s="810"/>
      <c r="M32" s="810"/>
      <c r="N32" s="810"/>
      <c r="O32" s="810"/>
      <c r="P32" s="810"/>
      <c r="Q32" s="810"/>
      <c r="R32" s="810"/>
      <c r="S32" s="810"/>
      <c r="T32" s="810"/>
      <c r="U32" s="810"/>
      <c r="V32" s="810"/>
      <c r="W32" s="810"/>
      <c r="X32" s="810"/>
      <c r="Y32" s="810"/>
      <c r="Z32" s="810"/>
      <c r="AA32" s="810"/>
      <c r="AB32" s="810"/>
      <c r="AC32" s="810"/>
      <c r="AD32" s="810"/>
      <c r="AE32" s="810"/>
      <c r="AF32" s="810"/>
      <c r="AG32" s="810"/>
      <c r="AH32" s="810"/>
      <c r="AI32" s="810"/>
      <c r="AJ32" s="810"/>
    </row>
    <row r="33" spans="1:36" ht="16" x14ac:dyDescent="0.3">
      <c r="A33" s="708"/>
      <c r="C33" s="7" t="s">
        <v>138</v>
      </c>
      <c r="D33" s="142"/>
      <c r="E33" s="333" t="s">
        <v>139</v>
      </c>
      <c r="F33" s="279"/>
      <c r="G33" s="279"/>
      <c r="H33" s="279"/>
      <c r="I33" s="279"/>
      <c r="J33" s="279"/>
      <c r="K33" s="279"/>
      <c r="L33" s="279"/>
      <c r="M33" s="279"/>
      <c r="N33" s="279"/>
      <c r="O33" s="279"/>
      <c r="P33" s="279"/>
      <c r="Q33" s="279"/>
      <c r="R33" s="279"/>
      <c r="S33" s="279"/>
      <c r="T33" s="279"/>
      <c r="U33" s="279"/>
      <c r="V33" s="279"/>
      <c r="W33" s="279"/>
      <c r="X33" s="279"/>
      <c r="Y33" s="279"/>
      <c r="Z33" s="279"/>
      <c r="AA33" s="279"/>
      <c r="AB33" s="279"/>
      <c r="AC33" s="279"/>
      <c r="AD33" s="279"/>
      <c r="AE33" s="279"/>
      <c r="AF33" s="279"/>
      <c r="AG33" s="279"/>
      <c r="AH33" s="279"/>
      <c r="AI33" s="279"/>
      <c r="AJ33" s="279"/>
    </row>
    <row r="34" spans="1:36" x14ac:dyDescent="0.15">
      <c r="A34" s="708"/>
      <c r="B34" s="484">
        <f>(F34*12)</f>
        <v>476064</v>
      </c>
      <c r="C34" s="717" t="str">
        <f>C29</f>
        <v xml:space="preserve">MH </v>
      </c>
      <c r="D34" s="140">
        <f>D29*D12*12</f>
        <v>466944</v>
      </c>
      <c r="E34" s="334">
        <f>D12</f>
        <v>76</v>
      </c>
      <c r="F34" s="279">
        <f>F29*$E$34</f>
        <v>39672</v>
      </c>
      <c r="G34" s="279">
        <f t="shared" ref="G34:AH34" si="26">G29*$E34</f>
        <v>41952</v>
      </c>
      <c r="H34" s="279">
        <f t="shared" si="26"/>
        <v>44232</v>
      </c>
      <c r="I34" s="279">
        <f t="shared" si="26"/>
        <v>46512</v>
      </c>
      <c r="J34" s="279">
        <f t="shared" si="26"/>
        <v>48792</v>
      </c>
      <c r="K34" s="279">
        <f t="shared" si="26"/>
        <v>51072</v>
      </c>
      <c r="L34" s="279">
        <f t="shared" si="26"/>
        <v>53114.879999999997</v>
      </c>
      <c r="M34" s="279">
        <f t="shared" si="26"/>
        <v>55239.475200000001</v>
      </c>
      <c r="N34" s="279">
        <f t="shared" si="26"/>
        <v>57449.054207999994</v>
      </c>
      <c r="O34" s="279">
        <f t="shared" si="26"/>
        <v>59747.016376320003</v>
      </c>
      <c r="P34" s="279">
        <f t="shared" si="26"/>
        <v>62136.897031372806</v>
      </c>
      <c r="Q34" s="279">
        <f t="shared" si="26"/>
        <v>64622.372912627725</v>
      </c>
      <c r="R34" s="279">
        <f t="shared" si="26"/>
        <v>67207.267829132834</v>
      </c>
      <c r="S34" s="279">
        <f t="shared" si="26"/>
        <v>69895.558542298138</v>
      </c>
      <c r="T34" s="279">
        <f t="shared" si="26"/>
        <v>72691.380883990074</v>
      </c>
      <c r="U34" s="279">
        <f t="shared" si="26"/>
        <v>75599.036119349679</v>
      </c>
      <c r="V34" s="279">
        <f t="shared" si="26"/>
        <v>78622.997564123667</v>
      </c>
      <c r="W34" s="279">
        <f t="shared" si="26"/>
        <v>81767.917466688625</v>
      </c>
      <c r="X34" s="279">
        <f t="shared" si="26"/>
        <v>85038.634165356169</v>
      </c>
      <c r="Y34" s="279">
        <f t="shared" si="26"/>
        <v>88440.179531970411</v>
      </c>
      <c r="Z34" s="279">
        <f t="shared" si="26"/>
        <v>91977.786713249225</v>
      </c>
      <c r="AA34" s="279">
        <f t="shared" si="26"/>
        <v>95656.898181779194</v>
      </c>
      <c r="AB34" s="279">
        <f t="shared" si="26"/>
        <v>99483.174109050364</v>
      </c>
      <c r="AC34" s="279">
        <f t="shared" si="26"/>
        <v>103462.50107341238</v>
      </c>
      <c r="AD34" s="279">
        <f t="shared" si="26"/>
        <v>107601.00111634888</v>
      </c>
      <c r="AE34" s="279">
        <f t="shared" si="26"/>
        <v>111905.04116100285</v>
      </c>
      <c r="AF34" s="279">
        <f t="shared" si="26"/>
        <v>116381.24280744298</v>
      </c>
      <c r="AG34" s="279">
        <f t="shared" si="26"/>
        <v>121036.4925197407</v>
      </c>
      <c r="AH34" s="279">
        <f t="shared" si="26"/>
        <v>125877.95222053034</v>
      </c>
      <c r="AI34" s="279">
        <f t="shared" ref="AI34:AJ34" si="27">AI29*$E34</f>
        <v>130913.07030935156</v>
      </c>
      <c r="AJ34" s="279">
        <f t="shared" si="27"/>
        <v>136149.59312172563</v>
      </c>
    </row>
    <row r="35" spans="1:36" x14ac:dyDescent="0.15">
      <c r="A35" s="708"/>
      <c r="B35" s="484">
        <f>(F35*12)</f>
        <v>0</v>
      </c>
      <c r="C35" s="717" t="str">
        <f>C30</f>
        <v>New MH</v>
      </c>
      <c r="D35" s="140">
        <f>D30*D13*12</f>
        <v>0</v>
      </c>
      <c r="E35" s="334">
        <f>D13</f>
        <v>25</v>
      </c>
      <c r="F35" s="279">
        <f t="shared" ref="F35:AH35" si="28">F30*$E$35</f>
        <v>0</v>
      </c>
      <c r="G35" s="279">
        <f>G30*$E$35</f>
        <v>17000</v>
      </c>
      <c r="H35" s="279">
        <f t="shared" si="28"/>
        <v>17680</v>
      </c>
      <c r="I35" s="279">
        <f t="shared" si="28"/>
        <v>18387.2</v>
      </c>
      <c r="J35" s="279">
        <f t="shared" si="28"/>
        <v>19122.688000000002</v>
      </c>
      <c r="K35" s="279">
        <f t="shared" si="28"/>
        <v>19887.595520000003</v>
      </c>
      <c r="L35" s="279">
        <f t="shared" si="28"/>
        <v>20683.099340800003</v>
      </c>
      <c r="M35" s="279">
        <f t="shared" si="28"/>
        <v>21510.423314432006</v>
      </c>
      <c r="N35" s="279">
        <f t="shared" si="28"/>
        <v>22370.840247009288</v>
      </c>
      <c r="O35" s="279">
        <f t="shared" si="28"/>
        <v>23265.673856889662</v>
      </c>
      <c r="P35" s="279">
        <f t="shared" si="28"/>
        <v>24196.300811165245</v>
      </c>
      <c r="Q35" s="279">
        <f t="shared" si="28"/>
        <v>25164.152843611861</v>
      </c>
      <c r="R35" s="279">
        <f t="shared" si="28"/>
        <v>26170.718957356337</v>
      </c>
      <c r="S35" s="279">
        <f t="shared" si="28"/>
        <v>27217.547715650591</v>
      </c>
      <c r="T35" s="279">
        <f t="shared" si="28"/>
        <v>28306.249624276614</v>
      </c>
      <c r="U35" s="279">
        <f t="shared" si="28"/>
        <v>29438.499609247679</v>
      </c>
      <c r="V35" s="279">
        <f t="shared" si="28"/>
        <v>30616.039593617585</v>
      </c>
      <c r="W35" s="279">
        <f t="shared" si="28"/>
        <v>31840.68117736229</v>
      </c>
      <c r="X35" s="279">
        <f t="shared" si="28"/>
        <v>33114.30842445678</v>
      </c>
      <c r="Y35" s="279">
        <f t="shared" si="28"/>
        <v>34438.880761435059</v>
      </c>
      <c r="Z35" s="279">
        <f t="shared" si="28"/>
        <v>35816.43599189246</v>
      </c>
      <c r="AA35" s="279">
        <f t="shared" si="28"/>
        <v>37249.093431568159</v>
      </c>
      <c r="AB35" s="279">
        <f t="shared" si="28"/>
        <v>38739.057168830892</v>
      </c>
      <c r="AC35" s="279">
        <f t="shared" si="28"/>
        <v>40288.619455584128</v>
      </c>
      <c r="AD35" s="279">
        <f t="shared" si="28"/>
        <v>41900.164233807496</v>
      </c>
      <c r="AE35" s="279">
        <f t="shared" si="28"/>
        <v>43576.170803159795</v>
      </c>
      <c r="AF35" s="279">
        <f t="shared" si="28"/>
        <v>45319.217635286193</v>
      </c>
      <c r="AG35" s="279">
        <f t="shared" si="28"/>
        <v>47131.986340697644</v>
      </c>
      <c r="AH35" s="279">
        <f t="shared" si="28"/>
        <v>49017.265794325547</v>
      </c>
      <c r="AI35" s="279">
        <f t="shared" ref="AI35:AJ35" si="29">AI30*$E$35</f>
        <v>50977.956426098572</v>
      </c>
      <c r="AJ35" s="279">
        <f t="shared" si="29"/>
        <v>53017.074683142513</v>
      </c>
    </row>
    <row r="36" spans="1:36" x14ac:dyDescent="0.15">
      <c r="A36" s="708"/>
      <c r="B36" s="484">
        <f>(F36*12)</f>
        <v>0</v>
      </c>
      <c r="C36" s="717" t="str">
        <f>C31</f>
        <v>Other</v>
      </c>
      <c r="D36" s="140">
        <f>D31*D14*12</f>
        <v>0</v>
      </c>
      <c r="E36" s="334">
        <f>D14</f>
        <v>0</v>
      </c>
      <c r="F36" s="335">
        <f t="shared" ref="F36:AH36" si="30">F31*$E$36</f>
        <v>0</v>
      </c>
      <c r="G36" s="335">
        <f t="shared" si="30"/>
        <v>0</v>
      </c>
      <c r="H36" s="335">
        <f t="shared" si="30"/>
        <v>0</v>
      </c>
      <c r="I36" s="279">
        <f t="shared" si="30"/>
        <v>0</v>
      </c>
      <c r="J36" s="279">
        <f t="shared" si="30"/>
        <v>0</v>
      </c>
      <c r="K36" s="279">
        <f t="shared" si="30"/>
        <v>0</v>
      </c>
      <c r="L36" s="279">
        <f t="shared" si="30"/>
        <v>0</v>
      </c>
      <c r="M36" s="279">
        <f t="shared" si="30"/>
        <v>0</v>
      </c>
      <c r="N36" s="279">
        <f t="shared" si="30"/>
        <v>0</v>
      </c>
      <c r="O36" s="279">
        <f t="shared" si="30"/>
        <v>0</v>
      </c>
      <c r="P36" s="279">
        <f t="shared" si="30"/>
        <v>0</v>
      </c>
      <c r="Q36" s="279">
        <f t="shared" si="30"/>
        <v>0</v>
      </c>
      <c r="R36" s="279">
        <f t="shared" si="30"/>
        <v>0</v>
      </c>
      <c r="S36" s="279">
        <f t="shared" si="30"/>
        <v>0</v>
      </c>
      <c r="T36" s="279">
        <f t="shared" si="30"/>
        <v>0</v>
      </c>
      <c r="U36" s="279">
        <f t="shared" si="30"/>
        <v>0</v>
      </c>
      <c r="V36" s="279">
        <f t="shared" si="30"/>
        <v>0</v>
      </c>
      <c r="W36" s="279">
        <f t="shared" si="30"/>
        <v>0</v>
      </c>
      <c r="X36" s="279">
        <f t="shared" si="30"/>
        <v>0</v>
      </c>
      <c r="Y36" s="279">
        <f t="shared" si="30"/>
        <v>0</v>
      </c>
      <c r="Z36" s="279">
        <f t="shared" si="30"/>
        <v>0</v>
      </c>
      <c r="AA36" s="279">
        <f t="shared" si="30"/>
        <v>0</v>
      </c>
      <c r="AB36" s="279">
        <f t="shared" si="30"/>
        <v>0</v>
      </c>
      <c r="AC36" s="279">
        <f t="shared" si="30"/>
        <v>0</v>
      </c>
      <c r="AD36" s="279">
        <f t="shared" si="30"/>
        <v>0</v>
      </c>
      <c r="AE36" s="279">
        <f t="shared" si="30"/>
        <v>0</v>
      </c>
      <c r="AF36" s="279">
        <f t="shared" si="30"/>
        <v>0</v>
      </c>
      <c r="AG36" s="279">
        <f t="shared" si="30"/>
        <v>0</v>
      </c>
      <c r="AH36" s="279">
        <f t="shared" si="30"/>
        <v>0</v>
      </c>
      <c r="AI36" s="279">
        <f t="shared" ref="AI36:AJ36" si="31">AI31*$E$36</f>
        <v>0</v>
      </c>
      <c r="AJ36" s="279">
        <f t="shared" si="31"/>
        <v>0</v>
      </c>
    </row>
    <row r="37" spans="1:36" s="31" customFormat="1" ht="12" x14ac:dyDescent="0.15">
      <c r="B37" s="485"/>
      <c r="D37" s="289" t="s">
        <v>140</v>
      </c>
      <c r="E37" s="290">
        <f>F12</f>
        <v>0</v>
      </c>
      <c r="F37" s="291">
        <f>E37</f>
        <v>0</v>
      </c>
      <c r="G37" s="291">
        <f t="shared" ref="G37:AH37" si="32">MAX($E$38*$D$12,F37-$J$7)</f>
        <v>3.8000000000000003</v>
      </c>
      <c r="H37" s="291">
        <f t="shared" si="32"/>
        <v>3.8000000000000003</v>
      </c>
      <c r="I37" s="291">
        <f t="shared" si="32"/>
        <v>3.8000000000000003</v>
      </c>
      <c r="J37" s="291">
        <f t="shared" si="32"/>
        <v>3.8000000000000003</v>
      </c>
      <c r="K37" s="291">
        <f t="shared" si="32"/>
        <v>3.8000000000000003</v>
      </c>
      <c r="L37" s="291">
        <f t="shared" si="32"/>
        <v>3.8000000000000003</v>
      </c>
      <c r="M37" s="291">
        <f t="shared" si="32"/>
        <v>3.8000000000000003</v>
      </c>
      <c r="N37" s="291">
        <f t="shared" si="32"/>
        <v>3.8000000000000003</v>
      </c>
      <c r="O37" s="291">
        <f t="shared" si="32"/>
        <v>3.8000000000000003</v>
      </c>
      <c r="P37" s="291">
        <f t="shared" si="32"/>
        <v>3.8000000000000003</v>
      </c>
      <c r="Q37" s="291">
        <f t="shared" si="32"/>
        <v>3.8000000000000003</v>
      </c>
      <c r="R37" s="291">
        <f t="shared" si="32"/>
        <v>3.8000000000000003</v>
      </c>
      <c r="S37" s="291">
        <f t="shared" si="32"/>
        <v>3.8000000000000003</v>
      </c>
      <c r="T37" s="291">
        <f t="shared" si="32"/>
        <v>3.8000000000000003</v>
      </c>
      <c r="U37" s="291">
        <f t="shared" si="32"/>
        <v>3.8000000000000003</v>
      </c>
      <c r="V37" s="291">
        <f t="shared" si="32"/>
        <v>3.8000000000000003</v>
      </c>
      <c r="W37" s="291">
        <f t="shared" si="32"/>
        <v>3.8000000000000003</v>
      </c>
      <c r="X37" s="291">
        <f t="shared" si="32"/>
        <v>3.8000000000000003</v>
      </c>
      <c r="Y37" s="291">
        <f t="shared" si="32"/>
        <v>3.8000000000000003</v>
      </c>
      <c r="Z37" s="291">
        <f t="shared" si="32"/>
        <v>3.8000000000000003</v>
      </c>
      <c r="AA37" s="291">
        <f t="shared" si="32"/>
        <v>3.8000000000000003</v>
      </c>
      <c r="AB37" s="291">
        <f t="shared" si="32"/>
        <v>3.8000000000000003</v>
      </c>
      <c r="AC37" s="291">
        <f t="shared" si="32"/>
        <v>3.8000000000000003</v>
      </c>
      <c r="AD37" s="291">
        <f t="shared" si="32"/>
        <v>3.8000000000000003</v>
      </c>
      <c r="AE37" s="291">
        <f t="shared" si="32"/>
        <v>3.8000000000000003</v>
      </c>
      <c r="AF37" s="291">
        <f t="shared" si="32"/>
        <v>3.8000000000000003</v>
      </c>
      <c r="AG37" s="291">
        <f t="shared" si="32"/>
        <v>3.8000000000000003</v>
      </c>
      <c r="AH37" s="291">
        <f t="shared" si="32"/>
        <v>3.8000000000000003</v>
      </c>
      <c r="AI37" s="291">
        <f t="shared" ref="AI37" si="33">MAX($E$38*$D$12,AH37-$J$7)</f>
        <v>3.8000000000000003</v>
      </c>
      <c r="AJ37" s="291">
        <f t="shared" ref="AJ37" si="34">MAX($E$38*$D$12,AI37-$J$7)</f>
        <v>3.8000000000000003</v>
      </c>
    </row>
    <row r="38" spans="1:36" x14ac:dyDescent="0.15">
      <c r="A38" s="708"/>
      <c r="B38" s="484">
        <f t="shared" ref="B38:B41" si="35">(F38*12)</f>
        <v>-23803.200000000001</v>
      </c>
      <c r="C38" s="717" t="str">
        <f>C34&amp;" Min Vacancy Rate"</f>
        <v>MH  Min Vacancy Rate</v>
      </c>
      <c r="D38" s="143">
        <f>F38*12</f>
        <v>-23803.200000000001</v>
      </c>
      <c r="E38" s="280">
        <v>0.05</v>
      </c>
      <c r="F38" s="279">
        <f>E38*-F34</f>
        <v>-1983.6000000000001</v>
      </c>
      <c r="G38" s="279">
        <f t="shared" ref="G38:AH38" si="36">-G34*G37/$D$12</f>
        <v>-2097.6</v>
      </c>
      <c r="H38" s="279">
        <f t="shared" si="36"/>
        <v>-2211.6</v>
      </c>
      <c r="I38" s="279">
        <f t="shared" si="36"/>
        <v>-2325.6</v>
      </c>
      <c r="J38" s="279">
        <f t="shared" si="36"/>
        <v>-2439.6</v>
      </c>
      <c r="K38" s="279">
        <f t="shared" si="36"/>
        <v>-2553.6</v>
      </c>
      <c r="L38" s="279">
        <f t="shared" si="36"/>
        <v>-2655.7440000000001</v>
      </c>
      <c r="M38" s="279">
        <f t="shared" si="36"/>
        <v>-2761.9737600000003</v>
      </c>
      <c r="N38" s="279">
        <f t="shared" si="36"/>
        <v>-2872.4527103999999</v>
      </c>
      <c r="O38" s="279">
        <f t="shared" si="36"/>
        <v>-2987.3508188160004</v>
      </c>
      <c r="P38" s="279">
        <f t="shared" si="36"/>
        <v>-3106.8448515686405</v>
      </c>
      <c r="Q38" s="279">
        <f t="shared" si="36"/>
        <v>-3231.1186456313867</v>
      </c>
      <c r="R38" s="279">
        <f t="shared" si="36"/>
        <v>-3360.3633914566417</v>
      </c>
      <c r="S38" s="279">
        <f t="shared" si="36"/>
        <v>-3494.777927114907</v>
      </c>
      <c r="T38" s="279">
        <f t="shared" si="36"/>
        <v>-3634.5690441995043</v>
      </c>
      <c r="U38" s="279">
        <f t="shared" si="36"/>
        <v>-3779.9518059674847</v>
      </c>
      <c r="V38" s="279">
        <f t="shared" si="36"/>
        <v>-3931.1498782061835</v>
      </c>
      <c r="W38" s="279">
        <f t="shared" si="36"/>
        <v>-4088.3958733344321</v>
      </c>
      <c r="X38" s="279">
        <f t="shared" si="36"/>
        <v>-4251.931708267809</v>
      </c>
      <c r="Y38" s="279">
        <f t="shared" si="36"/>
        <v>-4422.0089765985203</v>
      </c>
      <c r="Z38" s="279">
        <f t="shared" si="36"/>
        <v>-4598.8893356624612</v>
      </c>
      <c r="AA38" s="279">
        <f t="shared" si="36"/>
        <v>-4782.8449090889599</v>
      </c>
      <c r="AB38" s="279">
        <f t="shared" si="36"/>
        <v>-4974.158705452518</v>
      </c>
      <c r="AC38" s="279">
        <f t="shared" si="36"/>
        <v>-5173.1250536706193</v>
      </c>
      <c r="AD38" s="279">
        <f t="shared" si="36"/>
        <v>-5380.0500558174444</v>
      </c>
      <c r="AE38" s="279">
        <f t="shared" si="36"/>
        <v>-5595.2520580501432</v>
      </c>
      <c r="AF38" s="279">
        <f t="shared" si="36"/>
        <v>-5819.0621403721489</v>
      </c>
      <c r="AG38" s="279">
        <f t="shared" si="36"/>
        <v>-6051.8246259870357</v>
      </c>
      <c r="AH38" s="279">
        <f t="shared" si="36"/>
        <v>-6293.8976110265176</v>
      </c>
      <c r="AI38" s="279">
        <f t="shared" ref="AI38:AJ38" si="37">-AI34*AI37/$D$12</f>
        <v>-6545.6535154675785</v>
      </c>
      <c r="AJ38" s="279">
        <f t="shared" si="37"/>
        <v>-6807.4796560862815</v>
      </c>
    </row>
    <row r="39" spans="1:36" x14ac:dyDescent="0.15">
      <c r="A39" s="708"/>
      <c r="B39" s="484">
        <f t="shared" si="35"/>
        <v>0</v>
      </c>
      <c r="C39" s="717" t="str">
        <f>C35&amp;" Min Vacancy Rate"</f>
        <v>New MH Min Vacancy Rate</v>
      </c>
      <c r="D39" s="143">
        <v>0</v>
      </c>
      <c r="E39" s="280">
        <v>0.05</v>
      </c>
      <c r="F39" s="279">
        <f>$E$39*-F35</f>
        <v>0</v>
      </c>
      <c r="G39" s="279">
        <f>0.5*-G35</f>
        <v>-8500</v>
      </c>
      <c r="H39" s="279">
        <f t="shared" ref="H39:AH39" si="38">$E$39*-H35</f>
        <v>-884</v>
      </c>
      <c r="I39" s="279">
        <f t="shared" si="38"/>
        <v>-919.36000000000013</v>
      </c>
      <c r="J39" s="279">
        <f t="shared" si="38"/>
        <v>-956.13440000000014</v>
      </c>
      <c r="K39" s="279">
        <f t="shared" si="38"/>
        <v>-994.37977600000022</v>
      </c>
      <c r="L39" s="279">
        <f t="shared" si="38"/>
        <v>-1034.1549670400002</v>
      </c>
      <c r="M39" s="279">
        <f t="shared" si="38"/>
        <v>-1075.5211657216003</v>
      </c>
      <c r="N39" s="279">
        <f t="shared" si="38"/>
        <v>-1118.5420123504643</v>
      </c>
      <c r="O39" s="279">
        <f t="shared" si="38"/>
        <v>-1163.2836928444831</v>
      </c>
      <c r="P39" s="279">
        <f t="shared" si="38"/>
        <v>-1209.8150405582624</v>
      </c>
      <c r="Q39" s="279">
        <f t="shared" si="38"/>
        <v>-1258.2076421805932</v>
      </c>
      <c r="R39" s="279">
        <f t="shared" si="38"/>
        <v>-1308.535947867817</v>
      </c>
      <c r="S39" s="279">
        <f t="shared" si="38"/>
        <v>-1360.8773857825297</v>
      </c>
      <c r="T39" s="279">
        <f t="shared" si="38"/>
        <v>-1415.3124812138308</v>
      </c>
      <c r="U39" s="279">
        <f t="shared" si="38"/>
        <v>-1471.9249804623842</v>
      </c>
      <c r="V39" s="279">
        <f t="shared" si="38"/>
        <v>-1530.8019796808794</v>
      </c>
      <c r="W39" s="279">
        <f t="shared" si="38"/>
        <v>-1592.0340588681147</v>
      </c>
      <c r="X39" s="279">
        <f t="shared" si="38"/>
        <v>-1655.715421222839</v>
      </c>
      <c r="Y39" s="279">
        <f t="shared" si="38"/>
        <v>-1721.9440380717531</v>
      </c>
      <c r="Z39" s="279">
        <f t="shared" si="38"/>
        <v>-1790.8217995946231</v>
      </c>
      <c r="AA39" s="279">
        <f t="shared" si="38"/>
        <v>-1862.4546715784081</v>
      </c>
      <c r="AB39" s="279">
        <f t="shared" si="38"/>
        <v>-1936.9528584415448</v>
      </c>
      <c r="AC39" s="279">
        <f t="shared" si="38"/>
        <v>-2014.4309727792065</v>
      </c>
      <c r="AD39" s="279">
        <f t="shared" si="38"/>
        <v>-2095.008211690375</v>
      </c>
      <c r="AE39" s="279">
        <f t="shared" si="38"/>
        <v>-2178.8085401579897</v>
      </c>
      <c r="AF39" s="279">
        <f t="shared" si="38"/>
        <v>-2265.9608817643098</v>
      </c>
      <c r="AG39" s="279">
        <f t="shared" si="38"/>
        <v>-2356.5993170348825</v>
      </c>
      <c r="AH39" s="279">
        <f t="shared" si="38"/>
        <v>-2450.8632897162774</v>
      </c>
      <c r="AI39" s="279">
        <f t="shared" ref="AI39:AJ39" si="39">$E$39*-AI35</f>
        <v>-2548.8978213049286</v>
      </c>
      <c r="AJ39" s="279">
        <f t="shared" si="39"/>
        <v>-2650.8537341571259</v>
      </c>
    </row>
    <row r="40" spans="1:36" x14ac:dyDescent="0.15">
      <c r="A40" s="708"/>
      <c r="B40" s="484">
        <f t="shared" si="35"/>
        <v>0</v>
      </c>
      <c r="C40" s="717" t="str">
        <f t="shared" ref="C40" si="40">C36&amp;" Min Vacancy Rate"</f>
        <v>Other Min Vacancy Rate</v>
      </c>
      <c r="D40" s="143">
        <v>0</v>
      </c>
      <c r="E40" s="280">
        <v>0.05</v>
      </c>
      <c r="F40" s="279">
        <f t="shared" ref="F40:AH40" si="41">$E$40*-F36</f>
        <v>0</v>
      </c>
      <c r="G40" s="279">
        <f t="shared" si="41"/>
        <v>0</v>
      </c>
      <c r="H40" s="279">
        <f t="shared" si="41"/>
        <v>0</v>
      </c>
      <c r="I40" s="279">
        <f t="shared" si="41"/>
        <v>0</v>
      </c>
      <c r="J40" s="279">
        <f t="shared" si="41"/>
        <v>0</v>
      </c>
      <c r="K40" s="279">
        <f t="shared" si="41"/>
        <v>0</v>
      </c>
      <c r="L40" s="279">
        <f t="shared" si="41"/>
        <v>0</v>
      </c>
      <c r="M40" s="279">
        <f t="shared" si="41"/>
        <v>0</v>
      </c>
      <c r="N40" s="279">
        <f t="shared" si="41"/>
        <v>0</v>
      </c>
      <c r="O40" s="279">
        <f t="shared" si="41"/>
        <v>0</v>
      </c>
      <c r="P40" s="279">
        <f t="shared" si="41"/>
        <v>0</v>
      </c>
      <c r="Q40" s="279">
        <f t="shared" si="41"/>
        <v>0</v>
      </c>
      <c r="R40" s="279">
        <f t="shared" si="41"/>
        <v>0</v>
      </c>
      <c r="S40" s="279">
        <f t="shared" si="41"/>
        <v>0</v>
      </c>
      <c r="T40" s="279">
        <f t="shared" si="41"/>
        <v>0</v>
      </c>
      <c r="U40" s="279">
        <f t="shared" si="41"/>
        <v>0</v>
      </c>
      <c r="V40" s="279">
        <f t="shared" si="41"/>
        <v>0</v>
      </c>
      <c r="W40" s="279">
        <f t="shared" si="41"/>
        <v>0</v>
      </c>
      <c r="X40" s="279">
        <f t="shared" si="41"/>
        <v>0</v>
      </c>
      <c r="Y40" s="279">
        <f t="shared" si="41"/>
        <v>0</v>
      </c>
      <c r="Z40" s="279">
        <f t="shared" si="41"/>
        <v>0</v>
      </c>
      <c r="AA40" s="279">
        <f t="shared" si="41"/>
        <v>0</v>
      </c>
      <c r="AB40" s="279">
        <f t="shared" si="41"/>
        <v>0</v>
      </c>
      <c r="AC40" s="279">
        <f t="shared" si="41"/>
        <v>0</v>
      </c>
      <c r="AD40" s="279">
        <f t="shared" si="41"/>
        <v>0</v>
      </c>
      <c r="AE40" s="279">
        <f t="shared" si="41"/>
        <v>0</v>
      </c>
      <c r="AF40" s="279">
        <f t="shared" si="41"/>
        <v>0</v>
      </c>
      <c r="AG40" s="279">
        <f t="shared" si="41"/>
        <v>0</v>
      </c>
      <c r="AH40" s="279">
        <f t="shared" si="41"/>
        <v>0</v>
      </c>
      <c r="AI40" s="279">
        <f t="shared" ref="AI40:AJ40" si="42">$E$40*-AI36</f>
        <v>0</v>
      </c>
      <c r="AJ40" s="279">
        <f t="shared" si="42"/>
        <v>0</v>
      </c>
    </row>
    <row r="41" spans="1:36" ht="14" thickBot="1" x14ac:dyDescent="0.2">
      <c r="A41" s="708">
        <v>4101</v>
      </c>
      <c r="B41" s="639">
        <f t="shared" si="35"/>
        <v>452260.80000000005</v>
      </c>
      <c r="C41" s="640" t="s">
        <v>141</v>
      </c>
      <c r="D41" s="641">
        <f>(SUM(D34:D36)+SUM(D38:D40))</f>
        <v>443140.8</v>
      </c>
      <c r="E41" s="642">
        <f>F41*12</f>
        <v>452260.80000000005</v>
      </c>
      <c r="F41" s="643">
        <f t="shared" ref="F41:AH41" si="43">SUM(F34:F36)+SUM(F38:F40)</f>
        <v>37688.400000000001</v>
      </c>
      <c r="G41" s="643">
        <f t="shared" si="43"/>
        <v>48354.400000000001</v>
      </c>
      <c r="H41" s="643">
        <f t="shared" si="43"/>
        <v>58816.4</v>
      </c>
      <c r="I41" s="643">
        <f t="shared" si="43"/>
        <v>61654.239999999998</v>
      </c>
      <c r="J41" s="643">
        <f t="shared" si="43"/>
        <v>64518.953599999993</v>
      </c>
      <c r="K41" s="643">
        <f t="shared" si="43"/>
        <v>67411.61574400001</v>
      </c>
      <c r="L41" s="643">
        <f t="shared" si="43"/>
        <v>70108.080373759993</v>
      </c>
      <c r="M41" s="643">
        <f t="shared" si="43"/>
        <v>72912.403588710396</v>
      </c>
      <c r="N41" s="643">
        <f t="shared" si="43"/>
        <v>75828.899732258826</v>
      </c>
      <c r="O41" s="643">
        <f t="shared" si="43"/>
        <v>78862.055721549186</v>
      </c>
      <c r="P41" s="643">
        <f t="shared" si="43"/>
        <v>82016.537950411148</v>
      </c>
      <c r="Q41" s="643">
        <f t="shared" si="43"/>
        <v>85297.1994684276</v>
      </c>
      <c r="R41" s="643">
        <f t="shared" si="43"/>
        <v>88709.087447164711</v>
      </c>
      <c r="S41" s="643">
        <f t="shared" si="43"/>
        <v>92257.4509450513</v>
      </c>
      <c r="T41" s="643">
        <f t="shared" si="43"/>
        <v>95947.748982853343</v>
      </c>
      <c r="U41" s="643">
        <f t="shared" si="43"/>
        <v>99785.658942167487</v>
      </c>
      <c r="V41" s="643">
        <f t="shared" si="43"/>
        <v>103777.0852998542</v>
      </c>
      <c r="W41" s="643">
        <f t="shared" si="43"/>
        <v>107928.16871184837</v>
      </c>
      <c r="X41" s="643">
        <f t="shared" si="43"/>
        <v>112245.29546032229</v>
      </c>
      <c r="Y41" s="643">
        <f t="shared" si="43"/>
        <v>116735.10727873519</v>
      </c>
      <c r="Z41" s="643">
        <f t="shared" si="43"/>
        <v>121404.51156988461</v>
      </c>
      <c r="AA41" s="643">
        <f t="shared" si="43"/>
        <v>126260.69203267997</v>
      </c>
      <c r="AB41" s="643">
        <f t="shared" si="43"/>
        <v>131311.11971398719</v>
      </c>
      <c r="AC41" s="643">
        <f t="shared" si="43"/>
        <v>136563.56450254668</v>
      </c>
      <c r="AD41" s="643">
        <f t="shared" si="43"/>
        <v>142026.10708264855</v>
      </c>
      <c r="AE41" s="643">
        <f t="shared" si="43"/>
        <v>147707.15136595452</v>
      </c>
      <c r="AF41" s="643">
        <f t="shared" si="43"/>
        <v>153615.43742059273</v>
      </c>
      <c r="AG41" s="643">
        <f t="shared" si="43"/>
        <v>159760.05491741642</v>
      </c>
      <c r="AH41" s="643">
        <f t="shared" si="43"/>
        <v>166150.45711411309</v>
      </c>
      <c r="AI41" s="643">
        <f t="shared" ref="AI41:AJ41" si="44">SUM(AI34:AI36)+SUM(AI38:AI40)</f>
        <v>172796.47539867763</v>
      </c>
      <c r="AJ41" s="643">
        <f t="shared" si="44"/>
        <v>179708.33441462473</v>
      </c>
    </row>
    <row r="42" spans="1:36" ht="14" thickTop="1" x14ac:dyDescent="0.15">
      <c r="A42" s="708"/>
      <c r="C42" s="736"/>
      <c r="D42" s="21"/>
      <c r="E42" s="337"/>
      <c r="F42" s="708"/>
      <c r="G42" s="708"/>
      <c r="H42" s="708"/>
      <c r="I42" s="708"/>
      <c r="J42" s="708"/>
      <c r="K42" s="708"/>
      <c r="L42" s="708"/>
      <c r="M42" s="708"/>
      <c r="N42" s="708"/>
      <c r="O42" s="708"/>
      <c r="P42" s="708"/>
      <c r="Q42" s="708"/>
      <c r="R42" s="708"/>
      <c r="S42" s="708"/>
      <c r="T42" s="708"/>
      <c r="U42" s="708"/>
      <c r="V42" s="708"/>
      <c r="W42" s="708"/>
    </row>
    <row r="43" spans="1:36" ht="16" x14ac:dyDescent="0.3">
      <c r="A43" s="708"/>
      <c r="C43" s="7" t="s">
        <v>142</v>
      </c>
      <c r="D43" s="22" t="s">
        <v>143</v>
      </c>
      <c r="E43" s="338" t="s">
        <v>143</v>
      </c>
      <c r="F43" s="708"/>
      <c r="G43" s="708"/>
      <c r="H43" s="708"/>
      <c r="I43" s="708"/>
      <c r="J43" s="708"/>
      <c r="K43" s="708"/>
      <c r="L43" s="708"/>
      <c r="M43" s="708"/>
      <c r="N43" s="708"/>
      <c r="O43" s="708"/>
      <c r="P43" s="708"/>
      <c r="Q43" s="708"/>
      <c r="R43" s="708"/>
      <c r="S43" s="708"/>
      <c r="T43" s="708"/>
      <c r="U43" s="708"/>
      <c r="V43" s="708"/>
      <c r="W43" s="708"/>
    </row>
    <row r="44" spans="1:36" x14ac:dyDescent="0.15">
      <c r="A44" s="721">
        <v>4403</v>
      </c>
      <c r="B44" s="486">
        <f t="shared" ref="B44:B53" si="45">(F44*12)</f>
        <v>0</v>
      </c>
      <c r="C44" s="717" t="s">
        <v>144</v>
      </c>
      <c r="D44" s="140">
        <v>0</v>
      </c>
      <c r="E44" s="280"/>
      <c r="F44" s="279">
        <v>0</v>
      </c>
      <c r="G44" s="279">
        <v>0</v>
      </c>
      <c r="H44" s="279">
        <v>0</v>
      </c>
      <c r="I44" s="279">
        <v>0</v>
      </c>
      <c r="J44" s="279">
        <v>0</v>
      </c>
      <c r="K44" s="279">
        <v>0</v>
      </c>
      <c r="L44" s="279">
        <v>0</v>
      </c>
      <c r="M44" s="279">
        <v>0</v>
      </c>
      <c r="N44" s="279">
        <v>0</v>
      </c>
      <c r="O44" s="279">
        <v>0</v>
      </c>
      <c r="P44" s="279">
        <v>0</v>
      </c>
      <c r="Q44" s="279">
        <v>0</v>
      </c>
      <c r="R44" s="279">
        <v>0</v>
      </c>
      <c r="S44" s="279">
        <v>0</v>
      </c>
      <c r="T44" s="279">
        <v>0</v>
      </c>
      <c r="U44" s="279">
        <v>0</v>
      </c>
      <c r="V44" s="279">
        <v>0</v>
      </c>
      <c r="W44" s="279">
        <v>0</v>
      </c>
      <c r="X44" s="279">
        <v>0</v>
      </c>
      <c r="Y44" s="279">
        <v>0</v>
      </c>
      <c r="Z44" s="279">
        <v>0</v>
      </c>
      <c r="AA44" s="279">
        <v>0</v>
      </c>
      <c r="AB44" s="279">
        <v>0</v>
      </c>
      <c r="AC44" s="279">
        <v>0</v>
      </c>
      <c r="AD44" s="279">
        <v>0</v>
      </c>
      <c r="AE44" s="279">
        <v>0</v>
      </c>
      <c r="AF44" s="279">
        <v>0</v>
      </c>
      <c r="AG44" s="279">
        <v>0</v>
      </c>
      <c r="AH44" s="279">
        <v>0</v>
      </c>
      <c r="AI44" s="279">
        <v>0</v>
      </c>
      <c r="AJ44" s="279">
        <v>0</v>
      </c>
    </row>
    <row r="45" spans="1:36" x14ac:dyDescent="0.15">
      <c r="A45" s="721">
        <v>4401</v>
      </c>
      <c r="B45" s="486">
        <f t="shared" si="45"/>
        <v>0</v>
      </c>
      <c r="C45" s="717" t="s">
        <v>145</v>
      </c>
      <c r="D45" s="140">
        <v>0</v>
      </c>
      <c r="E45" s="280"/>
      <c r="F45" s="279">
        <f t="shared" ref="F45:F49" si="46">D45/12</f>
        <v>0</v>
      </c>
      <c r="G45" s="279">
        <f t="shared" ref="G45:AH45" si="47">F45*(1+GlobalInflation)</f>
        <v>0</v>
      </c>
      <c r="H45" s="279">
        <f t="shared" si="47"/>
        <v>0</v>
      </c>
      <c r="I45" s="279">
        <f t="shared" si="47"/>
        <v>0</v>
      </c>
      <c r="J45" s="279">
        <f t="shared" si="47"/>
        <v>0</v>
      </c>
      <c r="K45" s="279">
        <f t="shared" si="47"/>
        <v>0</v>
      </c>
      <c r="L45" s="279">
        <f t="shared" si="47"/>
        <v>0</v>
      </c>
      <c r="M45" s="279">
        <f t="shared" si="47"/>
        <v>0</v>
      </c>
      <c r="N45" s="279">
        <f t="shared" si="47"/>
        <v>0</v>
      </c>
      <c r="O45" s="279">
        <f t="shared" si="47"/>
        <v>0</v>
      </c>
      <c r="P45" s="279">
        <f t="shared" si="47"/>
        <v>0</v>
      </c>
      <c r="Q45" s="279">
        <f t="shared" si="47"/>
        <v>0</v>
      </c>
      <c r="R45" s="279">
        <f t="shared" si="47"/>
        <v>0</v>
      </c>
      <c r="S45" s="279">
        <f t="shared" si="47"/>
        <v>0</v>
      </c>
      <c r="T45" s="279">
        <f t="shared" si="47"/>
        <v>0</v>
      </c>
      <c r="U45" s="279">
        <f t="shared" si="47"/>
        <v>0</v>
      </c>
      <c r="V45" s="279">
        <f t="shared" si="47"/>
        <v>0</v>
      </c>
      <c r="W45" s="279">
        <f t="shared" si="47"/>
        <v>0</v>
      </c>
      <c r="X45" s="279">
        <f t="shared" si="47"/>
        <v>0</v>
      </c>
      <c r="Y45" s="279">
        <f t="shared" si="47"/>
        <v>0</v>
      </c>
      <c r="Z45" s="279">
        <f t="shared" si="47"/>
        <v>0</v>
      </c>
      <c r="AA45" s="279">
        <f t="shared" si="47"/>
        <v>0</v>
      </c>
      <c r="AB45" s="279">
        <f t="shared" si="47"/>
        <v>0</v>
      </c>
      <c r="AC45" s="279">
        <f t="shared" si="47"/>
        <v>0</v>
      </c>
      <c r="AD45" s="279">
        <f t="shared" si="47"/>
        <v>0</v>
      </c>
      <c r="AE45" s="279">
        <f t="shared" si="47"/>
        <v>0</v>
      </c>
      <c r="AF45" s="279">
        <f t="shared" si="47"/>
        <v>0</v>
      </c>
      <c r="AG45" s="279">
        <f t="shared" si="47"/>
        <v>0</v>
      </c>
      <c r="AH45" s="279">
        <f t="shared" si="47"/>
        <v>0</v>
      </c>
      <c r="AI45" s="279">
        <f t="shared" ref="AI45:AI49" si="48">AH45*(1+GlobalInflation)</f>
        <v>0</v>
      </c>
      <c r="AJ45" s="279">
        <f t="shared" ref="AJ45:AJ49" si="49">AI45*(1+GlobalInflation)</f>
        <v>0</v>
      </c>
    </row>
    <row r="46" spans="1:36" x14ac:dyDescent="0.15">
      <c r="A46" s="721">
        <v>4404</v>
      </c>
      <c r="B46" s="486">
        <f t="shared" si="45"/>
        <v>13223</v>
      </c>
      <c r="C46" s="717" t="s">
        <v>146</v>
      </c>
      <c r="D46" s="140">
        <v>13223</v>
      </c>
      <c r="E46" s="280"/>
      <c r="F46" s="279">
        <f t="shared" si="46"/>
        <v>1101.9166666666667</v>
      </c>
      <c r="G46" s="279">
        <f ca="1">0.95*G61</f>
        <v>2091.5471585999999</v>
      </c>
      <c r="H46" s="279">
        <f t="shared" ref="H46:AH46" ca="1" si="50">G46*(1+GlobalInflation)</f>
        <v>2133.3781017719998</v>
      </c>
      <c r="I46" s="279">
        <f t="shared" ca="1" si="50"/>
        <v>2176.0456638074397</v>
      </c>
      <c r="J46" s="279">
        <f t="shared" ca="1" si="50"/>
        <v>2219.5665770835885</v>
      </c>
      <c r="K46" s="279">
        <f t="shared" ca="1" si="50"/>
        <v>2263.9579086252602</v>
      </c>
      <c r="L46" s="279">
        <f t="shared" ca="1" si="50"/>
        <v>2309.2370667977652</v>
      </c>
      <c r="M46" s="279">
        <f t="shared" ca="1" si="50"/>
        <v>2355.4218081337208</v>
      </c>
      <c r="N46" s="279">
        <f t="shared" ca="1" si="50"/>
        <v>2402.5302442963953</v>
      </c>
      <c r="O46" s="279">
        <f t="shared" ca="1" si="50"/>
        <v>2450.5808491823232</v>
      </c>
      <c r="P46" s="279">
        <f t="shared" ca="1" si="50"/>
        <v>2499.5924661659697</v>
      </c>
      <c r="Q46" s="279">
        <f t="shared" ca="1" si="50"/>
        <v>2549.5843154892891</v>
      </c>
      <c r="R46" s="279">
        <f t="shared" ca="1" si="50"/>
        <v>2600.5760017990751</v>
      </c>
      <c r="S46" s="279">
        <f t="shared" ca="1" si="50"/>
        <v>2652.5875218350566</v>
      </c>
      <c r="T46" s="279">
        <f t="shared" ca="1" si="50"/>
        <v>2705.6392722717578</v>
      </c>
      <c r="U46" s="279">
        <f t="shared" ca="1" si="50"/>
        <v>2759.7520577171931</v>
      </c>
      <c r="V46" s="279">
        <f t="shared" ca="1" si="50"/>
        <v>2814.947098871537</v>
      </c>
      <c r="W46" s="279">
        <f t="shared" ca="1" si="50"/>
        <v>2871.2460408489678</v>
      </c>
      <c r="X46" s="279">
        <f t="shared" ca="1" si="50"/>
        <v>2928.6709616659473</v>
      </c>
      <c r="Y46" s="279">
        <f t="shared" ca="1" si="50"/>
        <v>2987.2443808992662</v>
      </c>
      <c r="Z46" s="279">
        <f t="shared" ca="1" si="50"/>
        <v>3046.9892685172517</v>
      </c>
      <c r="AA46" s="279">
        <f t="shared" ca="1" si="50"/>
        <v>3107.9290538875966</v>
      </c>
      <c r="AB46" s="279">
        <f t="shared" ca="1" si="50"/>
        <v>3170.0876349653486</v>
      </c>
      <c r="AC46" s="279">
        <f t="shared" ca="1" si="50"/>
        <v>3233.4893876646556</v>
      </c>
      <c r="AD46" s="279">
        <f t="shared" ca="1" si="50"/>
        <v>3298.159175417949</v>
      </c>
      <c r="AE46" s="279">
        <f t="shared" ca="1" si="50"/>
        <v>3364.1223589263082</v>
      </c>
      <c r="AF46" s="279">
        <f t="shared" ca="1" si="50"/>
        <v>3431.4048061048343</v>
      </c>
      <c r="AG46" s="279">
        <f t="shared" ca="1" si="50"/>
        <v>3500.0329022269311</v>
      </c>
      <c r="AH46" s="279">
        <f t="shared" ca="1" si="50"/>
        <v>3570.0335602714699</v>
      </c>
      <c r="AI46" s="279">
        <f t="shared" ca="1" si="48"/>
        <v>3641.4342314768992</v>
      </c>
      <c r="AJ46" s="279">
        <f t="shared" ca="1" si="49"/>
        <v>3714.2629161064374</v>
      </c>
    </row>
    <row r="47" spans="1:36" x14ac:dyDescent="0.15">
      <c r="A47" s="721">
        <v>4405</v>
      </c>
      <c r="B47" s="486">
        <f t="shared" si="45"/>
        <v>16101</v>
      </c>
      <c r="C47" s="717" t="s">
        <v>147</v>
      </c>
      <c r="D47" s="140">
        <v>16101</v>
      </c>
      <c r="E47" s="280"/>
      <c r="F47" s="279">
        <f t="shared" si="46"/>
        <v>1341.75</v>
      </c>
      <c r="G47" s="279">
        <f t="shared" ref="G47:G48" ca="1" si="51">0.95*G62</f>
        <v>2582.8815640500002</v>
      </c>
      <c r="H47" s="279">
        <f t="shared" ref="H47:AH47" ca="1" si="52">G47*(1+GlobalInflation)</f>
        <v>2634.5391953310004</v>
      </c>
      <c r="I47" s="279">
        <f t="shared" ca="1" si="52"/>
        <v>2687.2299792376207</v>
      </c>
      <c r="J47" s="279">
        <f t="shared" ca="1" si="52"/>
        <v>2740.9745788223731</v>
      </c>
      <c r="K47" s="279">
        <f t="shared" ca="1" si="52"/>
        <v>2795.7940703988206</v>
      </c>
      <c r="L47" s="279">
        <f t="shared" ca="1" si="52"/>
        <v>2851.7099518067971</v>
      </c>
      <c r="M47" s="279">
        <f t="shared" ca="1" si="52"/>
        <v>2908.7441508429333</v>
      </c>
      <c r="N47" s="279">
        <f t="shared" ca="1" si="52"/>
        <v>2966.9190338597919</v>
      </c>
      <c r="O47" s="279">
        <f t="shared" ca="1" si="52"/>
        <v>3026.2574145369877</v>
      </c>
      <c r="P47" s="279">
        <f t="shared" ca="1" si="52"/>
        <v>3086.7825628277274</v>
      </c>
      <c r="Q47" s="279">
        <f t="shared" ca="1" si="52"/>
        <v>3148.5182140842821</v>
      </c>
      <c r="R47" s="279">
        <f t="shared" ca="1" si="52"/>
        <v>3211.4885783659679</v>
      </c>
      <c r="S47" s="279">
        <f t="shared" ca="1" si="52"/>
        <v>3275.7183499332873</v>
      </c>
      <c r="T47" s="279">
        <f t="shared" ca="1" si="52"/>
        <v>3341.2327169319533</v>
      </c>
      <c r="U47" s="279">
        <f t="shared" ca="1" si="52"/>
        <v>3408.0573712705923</v>
      </c>
      <c r="V47" s="279">
        <f t="shared" ca="1" si="52"/>
        <v>3476.2185186960041</v>
      </c>
      <c r="W47" s="279">
        <f t="shared" ca="1" si="52"/>
        <v>3545.7428890699243</v>
      </c>
      <c r="X47" s="279">
        <f t="shared" ca="1" si="52"/>
        <v>3616.6577468513228</v>
      </c>
      <c r="Y47" s="279">
        <f t="shared" ca="1" si="52"/>
        <v>3688.9909017883492</v>
      </c>
      <c r="Z47" s="279">
        <f t="shared" ca="1" si="52"/>
        <v>3762.7707198241164</v>
      </c>
      <c r="AA47" s="279">
        <f t="shared" ca="1" si="52"/>
        <v>3838.026134220599</v>
      </c>
      <c r="AB47" s="279">
        <f t="shared" ca="1" si="52"/>
        <v>3914.7866569050111</v>
      </c>
      <c r="AC47" s="279">
        <f t="shared" ca="1" si="52"/>
        <v>3993.0823900431114</v>
      </c>
      <c r="AD47" s="279">
        <f t="shared" ca="1" si="52"/>
        <v>4072.9440378439735</v>
      </c>
      <c r="AE47" s="279">
        <f t="shared" ca="1" si="52"/>
        <v>4154.4029186008529</v>
      </c>
      <c r="AF47" s="279">
        <f t="shared" ca="1" si="52"/>
        <v>4237.4909769728702</v>
      </c>
      <c r="AG47" s="279">
        <f t="shared" ca="1" si="52"/>
        <v>4322.2407965123275</v>
      </c>
      <c r="AH47" s="279">
        <f t="shared" ca="1" si="52"/>
        <v>4408.685612442574</v>
      </c>
      <c r="AI47" s="279">
        <f t="shared" ca="1" si="48"/>
        <v>4496.8593246914252</v>
      </c>
      <c r="AJ47" s="279">
        <f t="shared" ca="1" si="49"/>
        <v>4586.7965111852536</v>
      </c>
    </row>
    <row r="48" spans="1:36" x14ac:dyDescent="0.15">
      <c r="A48" s="721">
        <v>4402</v>
      </c>
      <c r="B48" s="486">
        <f t="shared" si="45"/>
        <v>1902</v>
      </c>
      <c r="C48" s="717" t="s">
        <v>148</v>
      </c>
      <c r="D48" s="140">
        <v>1902</v>
      </c>
      <c r="E48" s="280"/>
      <c r="F48" s="279">
        <f t="shared" si="46"/>
        <v>158.5</v>
      </c>
      <c r="G48" s="279">
        <f t="shared" ca="1" si="51"/>
        <v>2406.8667353999999</v>
      </c>
      <c r="H48" s="279">
        <f t="shared" ref="H48:AH48" ca="1" si="53">G48*(1+GlobalInflation)</f>
        <v>2455.0040701080002</v>
      </c>
      <c r="I48" s="279">
        <f t="shared" ca="1" si="53"/>
        <v>2504.1041515101601</v>
      </c>
      <c r="J48" s="279">
        <f t="shared" ca="1" si="53"/>
        <v>2554.1862345403633</v>
      </c>
      <c r="K48" s="279">
        <f t="shared" ca="1" si="53"/>
        <v>2605.2699592311706</v>
      </c>
      <c r="L48" s="279">
        <f t="shared" ca="1" si="53"/>
        <v>2657.3753584157939</v>
      </c>
      <c r="M48" s="279">
        <f t="shared" ca="1" si="53"/>
        <v>2710.5228655841097</v>
      </c>
      <c r="N48" s="279">
        <f t="shared" ca="1" si="53"/>
        <v>2764.7333228957918</v>
      </c>
      <c r="O48" s="279">
        <f t="shared" ca="1" si="53"/>
        <v>2820.0279893537077</v>
      </c>
      <c r="P48" s="279">
        <f t="shared" ca="1" si="53"/>
        <v>2876.4285491407818</v>
      </c>
      <c r="Q48" s="279">
        <f t="shared" ca="1" si="53"/>
        <v>2933.9571201235976</v>
      </c>
      <c r="R48" s="279">
        <f t="shared" ca="1" si="53"/>
        <v>2992.6362625260695</v>
      </c>
      <c r="S48" s="279">
        <f t="shared" ca="1" si="53"/>
        <v>3052.4889877765909</v>
      </c>
      <c r="T48" s="279">
        <f t="shared" ca="1" si="53"/>
        <v>3113.5387675321226</v>
      </c>
      <c r="U48" s="279">
        <f t="shared" ca="1" si="53"/>
        <v>3175.8095428827651</v>
      </c>
      <c r="V48" s="279">
        <f t="shared" ca="1" si="53"/>
        <v>3239.3257337404202</v>
      </c>
      <c r="W48" s="279">
        <f t="shared" ca="1" si="53"/>
        <v>3304.1122484152288</v>
      </c>
      <c r="X48" s="279">
        <f t="shared" ca="1" si="53"/>
        <v>3370.1944933835334</v>
      </c>
      <c r="Y48" s="279">
        <f t="shared" ca="1" si="53"/>
        <v>3437.5983832512043</v>
      </c>
      <c r="Z48" s="279">
        <f t="shared" ca="1" si="53"/>
        <v>3506.3503509162283</v>
      </c>
      <c r="AA48" s="279">
        <f t="shared" ca="1" si="53"/>
        <v>3576.4773579345529</v>
      </c>
      <c r="AB48" s="279">
        <f t="shared" ca="1" si="53"/>
        <v>3648.0069050932439</v>
      </c>
      <c r="AC48" s="279">
        <f t="shared" ca="1" si="53"/>
        <v>3720.967043195109</v>
      </c>
      <c r="AD48" s="279">
        <f t="shared" ca="1" si="53"/>
        <v>3795.3863840590111</v>
      </c>
      <c r="AE48" s="279">
        <f t="shared" ca="1" si="53"/>
        <v>3871.2941117401915</v>
      </c>
      <c r="AF48" s="279">
        <f t="shared" ca="1" si="53"/>
        <v>3948.7199939749953</v>
      </c>
      <c r="AG48" s="279">
        <f t="shared" ca="1" si="53"/>
        <v>4027.6943938544955</v>
      </c>
      <c r="AH48" s="279">
        <f t="shared" ca="1" si="53"/>
        <v>4108.2482817315858</v>
      </c>
      <c r="AI48" s="279">
        <f t="shared" ca="1" si="48"/>
        <v>4190.4132473662175</v>
      </c>
      <c r="AJ48" s="279">
        <f t="shared" ca="1" si="49"/>
        <v>4274.221512313542</v>
      </c>
    </row>
    <row r="49" spans="1:42" x14ac:dyDescent="0.15">
      <c r="A49" s="721">
        <v>4998</v>
      </c>
      <c r="B49" s="487">
        <f t="shared" si="45"/>
        <v>1400</v>
      </c>
      <c r="C49" s="717" t="s">
        <v>149</v>
      </c>
      <c r="D49" s="144">
        <v>1400</v>
      </c>
      <c r="E49" s="281"/>
      <c r="F49" s="279">
        <f t="shared" si="46"/>
        <v>116.66666666666667</v>
      </c>
      <c r="G49" s="279">
        <f t="shared" ref="G49:AH49" si="54">F49*(1+GlobalInflation)</f>
        <v>119</v>
      </c>
      <c r="H49" s="279">
        <f t="shared" si="54"/>
        <v>121.38</v>
      </c>
      <c r="I49" s="279">
        <f t="shared" si="54"/>
        <v>123.80759999999999</v>
      </c>
      <c r="J49" s="279">
        <f t="shared" si="54"/>
        <v>126.28375199999999</v>
      </c>
      <c r="K49" s="279">
        <f t="shared" si="54"/>
        <v>128.80942704</v>
      </c>
      <c r="L49" s="279">
        <f t="shared" si="54"/>
        <v>131.38561558079999</v>
      </c>
      <c r="M49" s="279">
        <f t="shared" si="54"/>
        <v>134.01332789241599</v>
      </c>
      <c r="N49" s="279">
        <f t="shared" si="54"/>
        <v>136.6935944502643</v>
      </c>
      <c r="O49" s="279">
        <f t="shared" si="54"/>
        <v>139.42746633926959</v>
      </c>
      <c r="P49" s="279">
        <f t="shared" si="54"/>
        <v>142.21601566605497</v>
      </c>
      <c r="Q49" s="279">
        <f t="shared" si="54"/>
        <v>145.06033597937608</v>
      </c>
      <c r="R49" s="279">
        <f t="shared" si="54"/>
        <v>147.9615426989636</v>
      </c>
      <c r="S49" s="279">
        <f t="shared" si="54"/>
        <v>150.92077355294288</v>
      </c>
      <c r="T49" s="279">
        <f t="shared" si="54"/>
        <v>153.93918902400173</v>
      </c>
      <c r="U49" s="279">
        <f t="shared" si="54"/>
        <v>157.01797280448176</v>
      </c>
      <c r="V49" s="279">
        <f t="shared" si="54"/>
        <v>160.1583322605714</v>
      </c>
      <c r="W49" s="279">
        <f t="shared" si="54"/>
        <v>163.36149890578284</v>
      </c>
      <c r="X49" s="279">
        <f t="shared" si="54"/>
        <v>166.6287288838985</v>
      </c>
      <c r="Y49" s="279">
        <f t="shared" si="54"/>
        <v>169.96130346157648</v>
      </c>
      <c r="Z49" s="279">
        <f t="shared" si="54"/>
        <v>173.36052953080801</v>
      </c>
      <c r="AA49" s="279">
        <f t="shared" si="54"/>
        <v>176.82774012142417</v>
      </c>
      <c r="AB49" s="279">
        <f t="shared" si="54"/>
        <v>180.36429492385267</v>
      </c>
      <c r="AC49" s="279">
        <f t="shared" si="54"/>
        <v>183.97158082232971</v>
      </c>
      <c r="AD49" s="279">
        <f t="shared" si="54"/>
        <v>187.65101243877632</v>
      </c>
      <c r="AE49" s="279">
        <f t="shared" si="54"/>
        <v>191.40403268755185</v>
      </c>
      <c r="AF49" s="279">
        <f t="shared" si="54"/>
        <v>195.23211334130289</v>
      </c>
      <c r="AG49" s="279">
        <f t="shared" si="54"/>
        <v>199.13675560812896</v>
      </c>
      <c r="AH49" s="279">
        <f t="shared" si="54"/>
        <v>203.11949072029154</v>
      </c>
      <c r="AI49" s="279">
        <f t="shared" si="48"/>
        <v>207.18188053469737</v>
      </c>
      <c r="AJ49" s="279">
        <f t="shared" si="49"/>
        <v>211.32551814539133</v>
      </c>
      <c r="AK49" s="708"/>
      <c r="AL49" s="708"/>
      <c r="AM49" s="708"/>
      <c r="AN49" s="708"/>
      <c r="AO49" s="708"/>
      <c r="AP49" s="708"/>
    </row>
    <row r="50" spans="1:42" x14ac:dyDescent="0.15">
      <c r="A50" s="708"/>
      <c r="B50" s="486">
        <f t="shared" si="45"/>
        <v>32626</v>
      </c>
      <c r="C50" s="811" t="s">
        <v>150</v>
      </c>
      <c r="D50" s="145">
        <f>SUM(D44:D49)</f>
        <v>32626</v>
      </c>
      <c r="E50" s="812">
        <f>F50*12</f>
        <v>32626</v>
      </c>
      <c r="F50" s="813">
        <f t="shared" ref="F50:AH50" si="55">SUM(F44:F49)</f>
        <v>2718.8333333333335</v>
      </c>
      <c r="G50" s="813">
        <f t="shared" ca="1" si="55"/>
        <v>7200.29545805</v>
      </c>
      <c r="H50" s="813">
        <f t="shared" ca="1" si="55"/>
        <v>7344.3013672110001</v>
      </c>
      <c r="I50" s="813">
        <f t="shared" ca="1" si="55"/>
        <v>7491.1873945552215</v>
      </c>
      <c r="J50" s="813">
        <f t="shared" ca="1" si="55"/>
        <v>7641.0111424463248</v>
      </c>
      <c r="K50" s="813">
        <f t="shared" ca="1" si="55"/>
        <v>7793.8313652952511</v>
      </c>
      <c r="L50" s="813">
        <f t="shared" ca="1" si="55"/>
        <v>7949.7079926011556</v>
      </c>
      <c r="M50" s="813">
        <f t="shared" ca="1" si="55"/>
        <v>8108.7021524531801</v>
      </c>
      <c r="N50" s="813">
        <f t="shared" ca="1" si="55"/>
        <v>8270.8761955022437</v>
      </c>
      <c r="O50" s="813">
        <f t="shared" ca="1" si="55"/>
        <v>8436.2937194122878</v>
      </c>
      <c r="P50" s="813">
        <f t="shared" ca="1" si="55"/>
        <v>8605.0195938005345</v>
      </c>
      <c r="Q50" s="813">
        <f t="shared" ca="1" si="55"/>
        <v>8777.1199856765452</v>
      </c>
      <c r="R50" s="813">
        <f t="shared" ca="1" si="55"/>
        <v>8952.6623853900765</v>
      </c>
      <c r="S50" s="813">
        <f t="shared" ca="1" si="55"/>
        <v>9131.7156330978778</v>
      </c>
      <c r="T50" s="813">
        <f t="shared" ca="1" si="55"/>
        <v>9314.3499457598355</v>
      </c>
      <c r="U50" s="813">
        <f t="shared" ca="1" si="55"/>
        <v>9500.6369446750323</v>
      </c>
      <c r="V50" s="813">
        <f t="shared" ca="1" si="55"/>
        <v>9690.6496835685339</v>
      </c>
      <c r="W50" s="813">
        <f t="shared" ca="1" si="55"/>
        <v>9884.4626772399042</v>
      </c>
      <c r="X50" s="813">
        <f t="shared" ca="1" si="55"/>
        <v>10082.151930784703</v>
      </c>
      <c r="Y50" s="813">
        <f t="shared" ca="1" si="55"/>
        <v>10283.794969400396</v>
      </c>
      <c r="Z50" s="813">
        <f t="shared" ca="1" si="55"/>
        <v>10489.470868788405</v>
      </c>
      <c r="AA50" s="813">
        <f t="shared" ca="1" si="55"/>
        <v>10699.260286164172</v>
      </c>
      <c r="AB50" s="813">
        <f t="shared" ca="1" si="55"/>
        <v>10913.245491887456</v>
      </c>
      <c r="AC50" s="813">
        <f t="shared" ca="1" si="55"/>
        <v>11131.510401725205</v>
      </c>
      <c r="AD50" s="813">
        <f t="shared" ca="1" si="55"/>
        <v>11354.14060975971</v>
      </c>
      <c r="AE50" s="813">
        <f t="shared" ca="1" si="55"/>
        <v>11581.223421954903</v>
      </c>
      <c r="AF50" s="813">
        <f t="shared" ca="1" si="55"/>
        <v>11812.847890394001</v>
      </c>
      <c r="AG50" s="813">
        <f t="shared" ca="1" si="55"/>
        <v>12049.104848201883</v>
      </c>
      <c r="AH50" s="813">
        <f t="shared" ca="1" si="55"/>
        <v>12290.08694516592</v>
      </c>
      <c r="AI50" s="813">
        <f t="shared" ref="AI50:AJ50" ca="1" si="56">SUM(AI44:AI49)</f>
        <v>12535.888684069239</v>
      </c>
      <c r="AJ50" s="813">
        <f t="shared" ca="1" si="56"/>
        <v>12786.606457750624</v>
      </c>
      <c r="AK50" s="708"/>
      <c r="AL50" s="708"/>
      <c r="AM50" s="708"/>
      <c r="AN50" s="708"/>
      <c r="AO50" s="708"/>
      <c r="AP50" s="708"/>
    </row>
    <row r="51" spans="1:42" x14ac:dyDescent="0.15">
      <c r="A51" s="721">
        <v>4134</v>
      </c>
      <c r="B51" s="486">
        <f t="shared" si="45"/>
        <v>0</v>
      </c>
      <c r="C51" s="716" t="s">
        <v>151</v>
      </c>
      <c r="D51" s="140">
        <v>0</v>
      </c>
      <c r="E51" s="337">
        <f>F51*12</f>
        <v>0</v>
      </c>
      <c r="F51" s="737"/>
      <c r="G51" s="279"/>
      <c r="H51" s="279"/>
      <c r="I51" s="279"/>
      <c r="J51" s="279"/>
      <c r="K51" s="279"/>
      <c r="L51" s="279"/>
      <c r="M51" s="279"/>
      <c r="N51" s="279"/>
      <c r="O51" s="279"/>
      <c r="P51" s="279"/>
      <c r="Q51" s="279"/>
      <c r="R51" s="279"/>
      <c r="S51" s="279"/>
      <c r="T51" s="279"/>
      <c r="U51" s="279"/>
      <c r="V51" s="279"/>
      <c r="W51" s="279"/>
      <c r="X51" s="279"/>
      <c r="Y51" s="279"/>
      <c r="Z51" s="279"/>
      <c r="AA51" s="279"/>
      <c r="AB51" s="279"/>
      <c r="AC51" s="279"/>
      <c r="AD51" s="279"/>
      <c r="AE51" s="279"/>
      <c r="AF51" s="279"/>
      <c r="AG51" s="279"/>
      <c r="AH51" s="279"/>
      <c r="AI51" s="279"/>
      <c r="AJ51" s="279"/>
      <c r="AK51" s="708"/>
      <c r="AL51" s="708"/>
      <c r="AM51" s="708"/>
      <c r="AN51" s="708"/>
      <c r="AO51" s="708"/>
      <c r="AP51" s="708"/>
    </row>
    <row r="52" spans="1:42" x14ac:dyDescent="0.15">
      <c r="A52" s="708"/>
      <c r="C52" s="708"/>
      <c r="D52" s="140">
        <f>D50+D41+D51</f>
        <v>475766.8</v>
      </c>
      <c r="E52" s="339">
        <f>F53*12</f>
        <v>484886.80000000005</v>
      </c>
      <c r="F52" s="336">
        <f t="shared" ref="F52:K52" si="57">F53*12</f>
        <v>484886.80000000005</v>
      </c>
      <c r="G52" s="336">
        <f t="shared" ca="1" si="57"/>
        <v>666656.34549660003</v>
      </c>
      <c r="H52" s="336">
        <f t="shared" ca="1" si="57"/>
        <v>793928.41640653205</v>
      </c>
      <c r="I52" s="336">
        <f t="shared" ca="1" si="57"/>
        <v>829745.12873466255</v>
      </c>
      <c r="J52" s="336">
        <f t="shared" ca="1" si="57"/>
        <v>865919.57690935582</v>
      </c>
      <c r="K52" s="336">
        <f t="shared" ca="1" si="57"/>
        <v>902465.36531154311</v>
      </c>
      <c r="L52" s="279"/>
      <c r="M52" s="279"/>
      <c r="N52" s="279"/>
      <c r="O52" s="279"/>
      <c r="P52" s="279"/>
      <c r="Q52" s="279"/>
      <c r="R52" s="279"/>
      <c r="S52" s="279"/>
      <c r="T52" s="279"/>
      <c r="U52" s="279"/>
      <c r="V52" s="279"/>
      <c r="W52" s="279"/>
      <c r="X52" s="279"/>
      <c r="Y52" s="279"/>
      <c r="Z52" s="279"/>
      <c r="AA52" s="279"/>
      <c r="AB52" s="279"/>
      <c r="AC52" s="279"/>
      <c r="AD52" s="279"/>
      <c r="AE52" s="279"/>
      <c r="AF52" s="279"/>
      <c r="AG52" s="279"/>
      <c r="AH52" s="279"/>
      <c r="AI52" s="279"/>
      <c r="AJ52" s="279"/>
      <c r="AK52" s="708"/>
      <c r="AL52" s="708"/>
      <c r="AM52" s="708"/>
      <c r="AN52" s="708"/>
      <c r="AO52" s="708"/>
      <c r="AP52" s="708"/>
    </row>
    <row r="53" spans="1:42" ht="14" thickBot="1" x14ac:dyDescent="0.2">
      <c r="A53" s="708"/>
      <c r="B53" s="644">
        <f t="shared" si="45"/>
        <v>484886.80000000005</v>
      </c>
      <c r="C53" s="635" t="s">
        <v>152</v>
      </c>
      <c r="D53" s="645">
        <f>D52/12</f>
        <v>39647.23333333333</v>
      </c>
      <c r="E53" s="642">
        <f>E52/12</f>
        <v>40407.233333333337</v>
      </c>
      <c r="F53" s="643">
        <f t="shared" ref="F53:AH53" si="58">F41+SUM(F50:F51)</f>
        <v>40407.233333333337</v>
      </c>
      <c r="G53" s="643">
        <f t="shared" ca="1" si="58"/>
        <v>55554.695458050002</v>
      </c>
      <c r="H53" s="643">
        <f t="shared" ca="1" si="58"/>
        <v>66160.701367211004</v>
      </c>
      <c r="I53" s="643">
        <f t="shared" ca="1" si="58"/>
        <v>69145.427394555212</v>
      </c>
      <c r="J53" s="643">
        <f t="shared" ca="1" si="58"/>
        <v>72159.964742446318</v>
      </c>
      <c r="K53" s="643">
        <f t="shared" ca="1" si="58"/>
        <v>75205.447109295259</v>
      </c>
      <c r="L53" s="643">
        <f t="shared" ca="1" si="58"/>
        <v>78057.788366361143</v>
      </c>
      <c r="M53" s="643">
        <f t="shared" ca="1" si="58"/>
        <v>81021.10574116357</v>
      </c>
      <c r="N53" s="643">
        <f t="shared" ca="1" si="58"/>
        <v>84099.775927761075</v>
      </c>
      <c r="O53" s="643">
        <f t="shared" ca="1" si="58"/>
        <v>87298.34944096148</v>
      </c>
      <c r="P53" s="643">
        <f t="shared" ca="1" si="58"/>
        <v>90621.557544211682</v>
      </c>
      <c r="Q53" s="643">
        <f t="shared" ca="1" si="58"/>
        <v>94074.319454104145</v>
      </c>
      <c r="R53" s="643">
        <f t="shared" ca="1" si="58"/>
        <v>97661.749832554793</v>
      </c>
      <c r="S53" s="643">
        <f t="shared" ca="1" si="58"/>
        <v>101389.16657814918</v>
      </c>
      <c r="T53" s="643">
        <f t="shared" ca="1" si="58"/>
        <v>105262.09892861318</v>
      </c>
      <c r="U53" s="643">
        <f t="shared" ca="1" si="58"/>
        <v>109286.29588684252</v>
      </c>
      <c r="V53" s="643">
        <f t="shared" ca="1" si="58"/>
        <v>113467.73498342274</v>
      </c>
      <c r="W53" s="643">
        <f t="shared" ca="1" si="58"/>
        <v>117812.63138908827</v>
      </c>
      <c r="X53" s="643">
        <f t="shared" ca="1" si="58"/>
        <v>122327.44739110699</v>
      </c>
      <c r="Y53" s="643">
        <f t="shared" ca="1" si="58"/>
        <v>127018.90224813558</v>
      </c>
      <c r="Z53" s="643">
        <f t="shared" ca="1" si="58"/>
        <v>131893.982438673</v>
      </c>
      <c r="AA53" s="643">
        <f t="shared" ca="1" si="58"/>
        <v>136959.95231884415</v>
      </c>
      <c r="AB53" s="643">
        <f t="shared" ca="1" si="58"/>
        <v>142224.36520587464</v>
      </c>
      <c r="AC53" s="643">
        <f t="shared" ca="1" si="58"/>
        <v>147695.0749042719</v>
      </c>
      <c r="AD53" s="643">
        <f t="shared" ca="1" si="58"/>
        <v>153380.24769240827</v>
      </c>
      <c r="AE53" s="643">
        <f t="shared" ca="1" si="58"/>
        <v>159288.37478790942</v>
      </c>
      <c r="AF53" s="643">
        <f t="shared" ca="1" si="58"/>
        <v>165428.28531098674</v>
      </c>
      <c r="AG53" s="643">
        <f t="shared" ca="1" si="58"/>
        <v>171809.1597656183</v>
      </c>
      <c r="AH53" s="643">
        <f t="shared" ca="1" si="58"/>
        <v>178440.544059279</v>
      </c>
      <c r="AI53" s="643">
        <f t="shared" ref="AI53:AJ53" ca="1" si="59">AI41+SUM(AI50:AI51)</f>
        <v>185332.36408274688</v>
      </c>
      <c r="AJ53" s="643">
        <f t="shared" ca="1" si="59"/>
        <v>192494.94087237536</v>
      </c>
      <c r="AK53" s="708"/>
      <c r="AL53" s="708"/>
      <c r="AM53" s="708"/>
      <c r="AN53" s="708"/>
      <c r="AO53" s="708"/>
      <c r="AP53" s="708"/>
    </row>
    <row r="54" spans="1:42" ht="14" thickTop="1" x14ac:dyDescent="0.15">
      <c r="A54" s="708"/>
      <c r="C54" s="10"/>
      <c r="D54" s="328" t="s">
        <v>153</v>
      </c>
      <c r="E54" s="738"/>
      <c r="F54" s="708"/>
      <c r="G54" s="708"/>
      <c r="H54" s="708"/>
      <c r="I54" s="708"/>
      <c r="J54" s="708"/>
      <c r="K54" s="708"/>
      <c r="L54" s="708"/>
      <c r="M54" s="708"/>
      <c r="N54" s="708"/>
      <c r="O54" s="708"/>
      <c r="P54" s="708"/>
      <c r="Q54" s="708"/>
      <c r="R54" s="708"/>
      <c r="S54" s="708"/>
      <c r="T54" s="708"/>
      <c r="U54" s="708"/>
      <c r="V54" s="708"/>
      <c r="W54" s="708"/>
      <c r="X54" s="708"/>
      <c r="Y54" s="708"/>
      <c r="Z54" s="708"/>
      <c r="AA54" s="708"/>
      <c r="AB54" s="708"/>
      <c r="AC54" s="708"/>
    </row>
    <row r="55" spans="1:42" ht="16" x14ac:dyDescent="0.3">
      <c r="A55" s="708"/>
      <c r="B55" s="491" t="s">
        <v>154</v>
      </c>
      <c r="C55" s="7" t="s">
        <v>155</v>
      </c>
      <c r="D55" s="327">
        <f>N4</f>
        <v>2021</v>
      </c>
      <c r="E55" s="338" t="s">
        <v>143</v>
      </c>
      <c r="F55" s="708"/>
      <c r="G55" s="708"/>
      <c r="H55" s="708"/>
      <c r="I55" s="708"/>
      <c r="J55" s="708"/>
      <c r="K55" s="708"/>
      <c r="L55" s="708"/>
      <c r="M55" s="708"/>
      <c r="N55" s="708"/>
      <c r="O55" s="708"/>
      <c r="P55" s="708"/>
      <c r="Q55" s="708"/>
      <c r="R55" s="708"/>
      <c r="S55" s="708"/>
      <c r="T55" s="708"/>
      <c r="U55" s="708"/>
      <c r="V55" s="708"/>
      <c r="W55" s="708"/>
      <c r="X55" s="708"/>
      <c r="Y55" s="708"/>
      <c r="Z55" s="708"/>
      <c r="AA55" s="708"/>
      <c r="AB55" s="708"/>
      <c r="AC55" s="708"/>
    </row>
    <row r="56" spans="1:42" x14ac:dyDescent="0.15">
      <c r="A56" s="721">
        <v>5701</v>
      </c>
      <c r="B56" s="486">
        <f t="shared" ref="B56:B79" si="60">E56/NoOfSpaces</f>
        <v>481.38613861386136</v>
      </c>
      <c r="C56" s="717" t="str">
        <f>IF(OtherFTE&gt;0,"Salary Exp ("&amp;TEXT(Notes!K39,"0.00")&amp;" FTE Mgr, "&amp;TEXT(Notes!K45,"0.00")&amp;" FTE Maint, "&amp;TEXT(Notes!K51,"0.00")&amp;" FTE Other)","Salary Exp ("&amp;TEXT(Notes!K39,"0.00")&amp;" FTE Mgr, "&amp;TEXT(Notes!K45,"0.00")&amp;" FTE Maintenance)")</f>
        <v>Salary Exp (1.00 FTE Mgr, 0.38 FTE Maintenance)</v>
      </c>
      <c r="D56" s="141">
        <f ca="1">OFFSET('IE SUMMARY'!D32,0,MoveCount)</f>
        <v>37875.879999999997</v>
      </c>
      <c r="E56" s="279">
        <f>+Notes!I53*12</f>
        <v>48620</v>
      </c>
      <c r="F56" s="340">
        <f t="shared" ref="F56:F65" si="61">E56/12</f>
        <v>4051.6666666666665</v>
      </c>
      <c r="G56" s="279">
        <f t="shared" ref="G56:AH56" si="62">F56*(1+GlobalInflation)</f>
        <v>4132.7</v>
      </c>
      <c r="H56" s="279">
        <f t="shared" si="62"/>
        <v>4215.3540000000003</v>
      </c>
      <c r="I56" s="279">
        <f t="shared" si="62"/>
        <v>4299.6610800000008</v>
      </c>
      <c r="J56" s="279">
        <f t="shared" si="62"/>
        <v>4385.6543016000005</v>
      </c>
      <c r="K56" s="279">
        <f t="shared" si="62"/>
        <v>4473.3673876320008</v>
      </c>
      <c r="L56" s="279">
        <f t="shared" si="62"/>
        <v>4562.8347353846411</v>
      </c>
      <c r="M56" s="279">
        <f t="shared" si="62"/>
        <v>4654.0914300923341</v>
      </c>
      <c r="N56" s="279">
        <f t="shared" si="62"/>
        <v>4747.1732586941807</v>
      </c>
      <c r="O56" s="279">
        <f t="shared" si="62"/>
        <v>4842.1167238680646</v>
      </c>
      <c r="P56" s="279">
        <f t="shared" si="62"/>
        <v>4938.9590583454255</v>
      </c>
      <c r="Q56" s="279">
        <f t="shared" si="62"/>
        <v>5037.7382395123341</v>
      </c>
      <c r="R56" s="279">
        <f t="shared" si="62"/>
        <v>5138.4930043025806</v>
      </c>
      <c r="S56" s="279">
        <f t="shared" si="62"/>
        <v>5241.2628643886319</v>
      </c>
      <c r="T56" s="279">
        <f t="shared" si="62"/>
        <v>5346.0881216764046</v>
      </c>
      <c r="U56" s="279">
        <f t="shared" si="62"/>
        <v>5453.0098841099325</v>
      </c>
      <c r="V56" s="279">
        <f t="shared" si="62"/>
        <v>5562.0700817921315</v>
      </c>
      <c r="W56" s="279">
        <f t="shared" si="62"/>
        <v>5673.3114834279741</v>
      </c>
      <c r="X56" s="279">
        <f t="shared" si="62"/>
        <v>5786.7777130965333</v>
      </c>
      <c r="Y56" s="279">
        <f t="shared" si="62"/>
        <v>5902.513267358464</v>
      </c>
      <c r="Z56" s="279">
        <f t="shared" si="62"/>
        <v>6020.5635327056334</v>
      </c>
      <c r="AA56" s="279">
        <f t="shared" si="62"/>
        <v>6140.9748033597461</v>
      </c>
      <c r="AB56" s="279">
        <f t="shared" si="62"/>
        <v>6263.7942994269415</v>
      </c>
      <c r="AC56" s="279">
        <f t="shared" si="62"/>
        <v>6389.0701854154804</v>
      </c>
      <c r="AD56" s="279">
        <f t="shared" si="62"/>
        <v>6516.8515891237903</v>
      </c>
      <c r="AE56" s="279">
        <f t="shared" si="62"/>
        <v>6647.1886209062659</v>
      </c>
      <c r="AF56" s="279">
        <f t="shared" si="62"/>
        <v>6780.1323933243912</v>
      </c>
      <c r="AG56" s="279">
        <f t="shared" si="62"/>
        <v>6915.7350411908792</v>
      </c>
      <c r="AH56" s="279">
        <f t="shared" si="62"/>
        <v>7054.0497420146967</v>
      </c>
      <c r="AI56" s="279">
        <f t="shared" ref="AI56:AI78" si="63">AH56*(1+GlobalInflation)</f>
        <v>7195.1307368549906</v>
      </c>
      <c r="AJ56" s="279">
        <f t="shared" ref="AJ56:AJ78" si="64">AI56*(1+GlobalInflation)</f>
        <v>7339.0333515920902</v>
      </c>
      <c r="AK56" s="8"/>
      <c r="AL56" s="8"/>
      <c r="AM56" s="8"/>
      <c r="AN56" s="8"/>
      <c r="AO56" s="8"/>
      <c r="AP56" s="8"/>
    </row>
    <row r="57" spans="1:42" x14ac:dyDescent="0.15">
      <c r="A57" s="721">
        <v>5305</v>
      </c>
      <c r="B57" s="486">
        <f t="shared" si="60"/>
        <v>81.835643564356445</v>
      </c>
      <c r="C57" s="717" t="s">
        <v>156</v>
      </c>
      <c r="D57" s="141">
        <f ca="1">OFFSET('IE SUMMARY'!D33,0,MoveCount)</f>
        <v>0</v>
      </c>
      <c r="E57" s="279">
        <f>E56*0.17</f>
        <v>8265.4000000000015</v>
      </c>
      <c r="F57" s="340">
        <f t="shared" si="61"/>
        <v>688.78333333333342</v>
      </c>
      <c r="G57" s="279">
        <f t="shared" ref="G57:AH57" si="65">F57*(1+GlobalInflation)</f>
        <v>702.55900000000008</v>
      </c>
      <c r="H57" s="279">
        <f t="shared" si="65"/>
        <v>716.61018000000013</v>
      </c>
      <c r="I57" s="279">
        <f t="shared" si="65"/>
        <v>730.9423836000002</v>
      </c>
      <c r="J57" s="279">
        <f t="shared" si="65"/>
        <v>745.56123127200021</v>
      </c>
      <c r="K57" s="279">
        <f t="shared" si="65"/>
        <v>760.47245589744023</v>
      </c>
      <c r="L57" s="279">
        <f t="shared" si="65"/>
        <v>775.68190501538902</v>
      </c>
      <c r="M57" s="279">
        <f t="shared" si="65"/>
        <v>791.19554311569686</v>
      </c>
      <c r="N57" s="279">
        <f t="shared" si="65"/>
        <v>807.0194539780108</v>
      </c>
      <c r="O57" s="279">
        <f t="shared" si="65"/>
        <v>823.15984305757104</v>
      </c>
      <c r="P57" s="279">
        <f t="shared" si="65"/>
        <v>839.6230399187225</v>
      </c>
      <c r="Q57" s="279">
        <f t="shared" si="65"/>
        <v>856.41550071709696</v>
      </c>
      <c r="R57" s="279">
        <f t="shared" si="65"/>
        <v>873.54381073143895</v>
      </c>
      <c r="S57" s="279">
        <f t="shared" si="65"/>
        <v>891.01468694606774</v>
      </c>
      <c r="T57" s="279">
        <f t="shared" si="65"/>
        <v>908.83498068498909</v>
      </c>
      <c r="U57" s="279">
        <f t="shared" si="65"/>
        <v>927.01168029868893</v>
      </c>
      <c r="V57" s="279">
        <f t="shared" si="65"/>
        <v>945.55191390466268</v>
      </c>
      <c r="W57" s="279">
        <f t="shared" si="65"/>
        <v>964.462952182756</v>
      </c>
      <c r="X57" s="279">
        <f t="shared" si="65"/>
        <v>983.75221122641119</v>
      </c>
      <c r="Y57" s="279">
        <f t="shared" si="65"/>
        <v>1003.4272554509395</v>
      </c>
      <c r="Z57" s="279">
        <f t="shared" si="65"/>
        <v>1023.4958005599583</v>
      </c>
      <c r="AA57" s="279">
        <f t="shared" si="65"/>
        <v>1043.9657165711574</v>
      </c>
      <c r="AB57" s="279">
        <f t="shared" si="65"/>
        <v>1064.8450309025804</v>
      </c>
      <c r="AC57" s="279">
        <f t="shared" si="65"/>
        <v>1086.1419315206322</v>
      </c>
      <c r="AD57" s="279">
        <f t="shared" si="65"/>
        <v>1107.8647701510449</v>
      </c>
      <c r="AE57" s="279">
        <f t="shared" si="65"/>
        <v>1130.0220655540659</v>
      </c>
      <c r="AF57" s="279">
        <f t="shared" si="65"/>
        <v>1152.6225068651472</v>
      </c>
      <c r="AG57" s="279">
        <f t="shared" si="65"/>
        <v>1175.6749570024501</v>
      </c>
      <c r="AH57" s="279">
        <f t="shared" si="65"/>
        <v>1199.1884561424993</v>
      </c>
      <c r="AI57" s="279">
        <f t="shared" si="63"/>
        <v>1223.1722252653492</v>
      </c>
      <c r="AJ57" s="279">
        <f t="shared" si="64"/>
        <v>1247.6356697706562</v>
      </c>
      <c r="AK57" s="8"/>
      <c r="AL57" s="8"/>
      <c r="AM57" s="8"/>
      <c r="AN57" s="8"/>
      <c r="AO57" s="8"/>
      <c r="AP57" s="8"/>
    </row>
    <row r="58" spans="1:42" x14ac:dyDescent="0.15">
      <c r="A58" s="721">
        <v>5306</v>
      </c>
      <c r="B58" s="486">
        <f t="shared" si="60"/>
        <v>28.883168316831682</v>
      </c>
      <c r="C58" s="717" t="s">
        <v>157</v>
      </c>
      <c r="D58" s="141">
        <f ca="1">OFFSET('IE SUMMARY'!D34,0,MoveCount)</f>
        <v>5702</v>
      </c>
      <c r="E58" s="279">
        <f>+E56*0.06</f>
        <v>2917.2</v>
      </c>
      <c r="F58" s="340">
        <f t="shared" si="61"/>
        <v>243.1</v>
      </c>
      <c r="G58" s="279">
        <f t="shared" ref="G58:AH58" si="66">F58*(1+GlobalInflation)</f>
        <v>247.96199999999999</v>
      </c>
      <c r="H58" s="279">
        <f t="shared" si="66"/>
        <v>252.92123999999998</v>
      </c>
      <c r="I58" s="279">
        <f t="shared" si="66"/>
        <v>257.97966479999997</v>
      </c>
      <c r="J58" s="279">
        <f t="shared" si="66"/>
        <v>263.13925809599999</v>
      </c>
      <c r="K58" s="279">
        <f t="shared" si="66"/>
        <v>268.40204325792001</v>
      </c>
      <c r="L58" s="279">
        <f t="shared" si="66"/>
        <v>273.77008412307839</v>
      </c>
      <c r="M58" s="279">
        <f t="shared" si="66"/>
        <v>279.24548580553994</v>
      </c>
      <c r="N58" s="279">
        <f t="shared" si="66"/>
        <v>284.83039552165076</v>
      </c>
      <c r="O58" s="279">
        <f t="shared" si="66"/>
        <v>290.5270034320838</v>
      </c>
      <c r="P58" s="279">
        <f t="shared" si="66"/>
        <v>296.33754350072547</v>
      </c>
      <c r="Q58" s="279">
        <f t="shared" si="66"/>
        <v>302.26429437074</v>
      </c>
      <c r="R58" s="279">
        <f t="shared" si="66"/>
        <v>308.30958025815482</v>
      </c>
      <c r="S58" s="279">
        <f t="shared" si="66"/>
        <v>314.4757718633179</v>
      </c>
      <c r="T58" s="279">
        <f t="shared" si="66"/>
        <v>320.76528730058425</v>
      </c>
      <c r="U58" s="279">
        <f t="shared" si="66"/>
        <v>327.18059304659596</v>
      </c>
      <c r="V58" s="279">
        <f t="shared" si="66"/>
        <v>333.72420490752791</v>
      </c>
      <c r="W58" s="279">
        <f t="shared" si="66"/>
        <v>340.39868900567848</v>
      </c>
      <c r="X58" s="279">
        <f t="shared" si="66"/>
        <v>347.20666278579205</v>
      </c>
      <c r="Y58" s="279">
        <f t="shared" si="66"/>
        <v>354.15079604150787</v>
      </c>
      <c r="Z58" s="279">
        <f t="shared" si="66"/>
        <v>361.23381196233805</v>
      </c>
      <c r="AA58" s="279">
        <f t="shared" si="66"/>
        <v>368.45848820158483</v>
      </c>
      <c r="AB58" s="279">
        <f t="shared" si="66"/>
        <v>375.82765796561654</v>
      </c>
      <c r="AC58" s="279">
        <f t="shared" si="66"/>
        <v>383.34421112492885</v>
      </c>
      <c r="AD58" s="279">
        <f t="shared" si="66"/>
        <v>391.01109534742744</v>
      </c>
      <c r="AE58" s="279">
        <f t="shared" si="66"/>
        <v>398.83131725437602</v>
      </c>
      <c r="AF58" s="279">
        <f t="shared" si="66"/>
        <v>406.80794359946356</v>
      </c>
      <c r="AG58" s="279">
        <f t="shared" si="66"/>
        <v>414.94410247145282</v>
      </c>
      <c r="AH58" s="279">
        <f t="shared" si="66"/>
        <v>423.24298452088186</v>
      </c>
      <c r="AI58" s="279">
        <f t="shared" si="63"/>
        <v>431.70784421129952</v>
      </c>
      <c r="AJ58" s="279">
        <f t="shared" si="64"/>
        <v>440.34200109552552</v>
      </c>
      <c r="AK58" s="8"/>
      <c r="AL58" s="8"/>
      <c r="AM58" s="8"/>
      <c r="AN58" s="8"/>
      <c r="AO58" s="8"/>
      <c r="AP58" s="8"/>
    </row>
    <row r="59" spans="1:42" x14ac:dyDescent="0.15">
      <c r="A59" s="721">
        <v>5404</v>
      </c>
      <c r="B59" s="486">
        <f t="shared" ca="1" si="60"/>
        <v>46.341831683168316</v>
      </c>
      <c r="C59" s="717" t="s">
        <v>158</v>
      </c>
      <c r="D59" s="141">
        <f ca="1">OFFSET('IE SUMMARY'!D35,0,MoveCount)</f>
        <v>4588.75</v>
      </c>
      <c r="E59" s="279">
        <f ca="1">D59*(1+GlobalInflation)</f>
        <v>4680.5249999999996</v>
      </c>
      <c r="F59" s="340">
        <f t="shared" ca="1" si="61"/>
        <v>390.04374999999999</v>
      </c>
      <c r="G59" s="279">
        <f t="shared" ref="G59:AH59" ca="1" si="67">F59*(1+GlobalInflation)</f>
        <v>397.84462500000001</v>
      </c>
      <c r="H59" s="279">
        <f t="shared" ca="1" si="67"/>
        <v>405.80151749999999</v>
      </c>
      <c r="I59" s="279">
        <f t="shared" ca="1" si="67"/>
        <v>413.91754785000001</v>
      </c>
      <c r="J59" s="279">
        <f t="shared" ca="1" si="67"/>
        <v>422.19589880699999</v>
      </c>
      <c r="K59" s="279">
        <f t="shared" ca="1" si="67"/>
        <v>430.63981678314002</v>
      </c>
      <c r="L59" s="279">
        <f t="shared" ca="1" si="67"/>
        <v>439.25261311880286</v>
      </c>
      <c r="M59" s="279">
        <f t="shared" ca="1" si="67"/>
        <v>448.0376653811789</v>
      </c>
      <c r="N59" s="279">
        <f t="shared" ca="1" si="67"/>
        <v>456.99841868880247</v>
      </c>
      <c r="O59" s="279">
        <f t="shared" ca="1" si="67"/>
        <v>466.13838706257854</v>
      </c>
      <c r="P59" s="279">
        <f t="shared" ca="1" si="67"/>
        <v>475.46115480383014</v>
      </c>
      <c r="Q59" s="279">
        <f t="shared" ca="1" si="67"/>
        <v>484.97037789990674</v>
      </c>
      <c r="R59" s="279">
        <f t="shared" ca="1" si="67"/>
        <v>494.66978545790488</v>
      </c>
      <c r="S59" s="279">
        <f t="shared" ca="1" si="67"/>
        <v>504.56318116706296</v>
      </c>
      <c r="T59" s="279">
        <f t="shared" ca="1" si="67"/>
        <v>514.65444479040423</v>
      </c>
      <c r="U59" s="279">
        <f t="shared" ca="1" si="67"/>
        <v>524.9475336862123</v>
      </c>
      <c r="V59" s="279">
        <f t="shared" ca="1" si="67"/>
        <v>535.44648435993656</v>
      </c>
      <c r="W59" s="279">
        <f t="shared" ca="1" si="67"/>
        <v>546.15541404713531</v>
      </c>
      <c r="X59" s="279">
        <f t="shared" ca="1" si="67"/>
        <v>557.07852232807807</v>
      </c>
      <c r="Y59" s="279">
        <f t="shared" ca="1" si="67"/>
        <v>568.22009277463962</v>
      </c>
      <c r="Z59" s="279">
        <f t="shared" ca="1" si="67"/>
        <v>579.58449463013244</v>
      </c>
      <c r="AA59" s="279">
        <f t="shared" ca="1" si="67"/>
        <v>591.17618452273507</v>
      </c>
      <c r="AB59" s="279">
        <f t="shared" ca="1" si="67"/>
        <v>602.99970821318982</v>
      </c>
      <c r="AC59" s="279">
        <f t="shared" ca="1" si="67"/>
        <v>615.05970237745362</v>
      </c>
      <c r="AD59" s="279">
        <f t="shared" ca="1" si="67"/>
        <v>627.36089642500269</v>
      </c>
      <c r="AE59" s="279">
        <f t="shared" ca="1" si="67"/>
        <v>639.90811435350281</v>
      </c>
      <c r="AF59" s="279">
        <f t="shared" ca="1" si="67"/>
        <v>652.70627664057292</v>
      </c>
      <c r="AG59" s="279">
        <f t="shared" ca="1" si="67"/>
        <v>665.76040217338436</v>
      </c>
      <c r="AH59" s="279">
        <f t="shared" ca="1" si="67"/>
        <v>679.07561021685206</v>
      </c>
      <c r="AI59" s="279">
        <f t="shared" ca="1" si="63"/>
        <v>692.65712242118911</v>
      </c>
      <c r="AJ59" s="279">
        <f t="shared" ca="1" si="64"/>
        <v>706.51026486961291</v>
      </c>
      <c r="AK59" s="8"/>
      <c r="AL59" s="8"/>
      <c r="AM59" s="8"/>
      <c r="AN59" s="8"/>
      <c r="AO59" s="8"/>
      <c r="AP59" s="8"/>
    </row>
    <row r="60" spans="1:42" x14ac:dyDescent="0.15">
      <c r="A60" s="721">
        <v>5401</v>
      </c>
      <c r="B60" s="486">
        <f t="shared" ca="1" si="60"/>
        <v>10.491356435643564</v>
      </c>
      <c r="C60" s="717" t="s">
        <v>159</v>
      </c>
      <c r="D60" s="141">
        <f ca="1">OFFSET('IE SUMMARY'!D36,0,MoveCount)</f>
        <v>1038.8499999999999</v>
      </c>
      <c r="E60" s="279">
        <f ca="1">D60*(1+GlobalInflation)</f>
        <v>1059.627</v>
      </c>
      <c r="F60" s="340">
        <f t="shared" ca="1" si="61"/>
        <v>88.302250000000001</v>
      </c>
      <c r="G60" s="279">
        <f t="shared" ref="G60:AH60" ca="1" si="68">F60*(1+GlobalInflation)</f>
        <v>90.068295000000006</v>
      </c>
      <c r="H60" s="279">
        <f t="shared" ca="1" si="68"/>
        <v>91.869660900000014</v>
      </c>
      <c r="I60" s="279">
        <f t="shared" ca="1" si="68"/>
        <v>93.707054118000016</v>
      </c>
      <c r="J60" s="279">
        <f t="shared" ca="1" si="68"/>
        <v>95.581195200360014</v>
      </c>
      <c r="K60" s="279">
        <f t="shared" ca="1" si="68"/>
        <v>97.492819104367214</v>
      </c>
      <c r="L60" s="279">
        <f t="shared" ca="1" si="68"/>
        <v>99.442675486454561</v>
      </c>
      <c r="M60" s="279">
        <f t="shared" ca="1" si="68"/>
        <v>101.43152899618366</v>
      </c>
      <c r="N60" s="279">
        <f t="shared" ca="1" si="68"/>
        <v>103.46015957610733</v>
      </c>
      <c r="O60" s="279">
        <f t="shared" ca="1" si="68"/>
        <v>105.52936276762948</v>
      </c>
      <c r="P60" s="279">
        <f t="shared" ca="1" si="68"/>
        <v>107.63995002298208</v>
      </c>
      <c r="Q60" s="279">
        <f t="shared" ca="1" si="68"/>
        <v>109.79274902344171</v>
      </c>
      <c r="R60" s="279">
        <f t="shared" ca="1" si="68"/>
        <v>111.98860400391055</v>
      </c>
      <c r="S60" s="279">
        <f t="shared" ca="1" si="68"/>
        <v>114.22837608398876</v>
      </c>
      <c r="T60" s="279">
        <f t="shared" ca="1" si="68"/>
        <v>116.51294360566854</v>
      </c>
      <c r="U60" s="279">
        <f t="shared" ca="1" si="68"/>
        <v>118.84320247778192</v>
      </c>
      <c r="V60" s="279">
        <f t="shared" ca="1" si="68"/>
        <v>121.22006652733755</v>
      </c>
      <c r="W60" s="279">
        <f t="shared" ca="1" si="68"/>
        <v>123.64446785788431</v>
      </c>
      <c r="X60" s="279">
        <f t="shared" ca="1" si="68"/>
        <v>126.11735721504199</v>
      </c>
      <c r="Y60" s="279">
        <f t="shared" ca="1" si="68"/>
        <v>128.63970435934283</v>
      </c>
      <c r="Z60" s="279">
        <f t="shared" ca="1" si="68"/>
        <v>131.21249844652968</v>
      </c>
      <c r="AA60" s="279">
        <f t="shared" ca="1" si="68"/>
        <v>133.83674841546028</v>
      </c>
      <c r="AB60" s="279">
        <f t="shared" ca="1" si="68"/>
        <v>136.51348338376948</v>
      </c>
      <c r="AC60" s="279">
        <f t="shared" ca="1" si="68"/>
        <v>139.24375305144488</v>
      </c>
      <c r="AD60" s="279">
        <f t="shared" ca="1" si="68"/>
        <v>142.0286281124738</v>
      </c>
      <c r="AE60" s="279">
        <f t="shared" ca="1" si="68"/>
        <v>144.86920067472329</v>
      </c>
      <c r="AF60" s="279">
        <f t="shared" ca="1" si="68"/>
        <v>147.76658468821776</v>
      </c>
      <c r="AG60" s="279">
        <f t="shared" ca="1" si="68"/>
        <v>150.72191638198211</v>
      </c>
      <c r="AH60" s="279">
        <f t="shared" ca="1" si="68"/>
        <v>153.73635470962176</v>
      </c>
      <c r="AI60" s="279">
        <f t="shared" ca="1" si="63"/>
        <v>156.8110818038142</v>
      </c>
      <c r="AJ60" s="279">
        <f t="shared" ca="1" si="64"/>
        <v>159.9473034398905</v>
      </c>
      <c r="AK60" s="8"/>
      <c r="AL60" s="8"/>
      <c r="AM60" s="8"/>
      <c r="AN60" s="8"/>
      <c r="AO60" s="8"/>
      <c r="AP60" s="8"/>
    </row>
    <row r="61" spans="1:42" x14ac:dyDescent="0.15">
      <c r="A61" s="721">
        <v>5405</v>
      </c>
      <c r="B61" s="486">
        <f t="shared" ca="1" si="60"/>
        <v>256.45062178217825</v>
      </c>
      <c r="C61" s="717" t="s">
        <v>160</v>
      </c>
      <c r="D61" s="141">
        <f ca="1">OFFSET('IE SUMMARY'!D37,0,MoveCount)</f>
        <v>25393.64</v>
      </c>
      <c r="E61" s="279">
        <f ca="1">D61*(1+GlobalInflation)</f>
        <v>25901.5128</v>
      </c>
      <c r="F61" s="340">
        <f t="shared" ca="1" si="61"/>
        <v>2158.4594000000002</v>
      </c>
      <c r="G61" s="279">
        <f t="shared" ref="G61:AH61" ca="1" si="69">F61*(1+GlobalInflation)</f>
        <v>2201.628588</v>
      </c>
      <c r="H61" s="279">
        <f t="shared" ca="1" si="69"/>
        <v>2245.6611597599999</v>
      </c>
      <c r="I61" s="279">
        <f t="shared" ca="1" si="69"/>
        <v>2290.5743829551998</v>
      </c>
      <c r="J61" s="279">
        <f t="shared" ca="1" si="69"/>
        <v>2336.3858706143037</v>
      </c>
      <c r="K61" s="279">
        <f t="shared" ca="1" si="69"/>
        <v>2383.1135880265897</v>
      </c>
      <c r="L61" s="279">
        <f t="shared" ca="1" si="69"/>
        <v>2430.7758597871216</v>
      </c>
      <c r="M61" s="279">
        <f t="shared" ca="1" si="69"/>
        <v>2479.3913769828641</v>
      </c>
      <c r="N61" s="279">
        <f t="shared" ca="1" si="69"/>
        <v>2528.9792045225213</v>
      </c>
      <c r="O61" s="279">
        <f t="shared" ca="1" si="69"/>
        <v>2579.558788612972</v>
      </c>
      <c r="P61" s="279">
        <f t="shared" ca="1" si="69"/>
        <v>2631.1499643852317</v>
      </c>
      <c r="Q61" s="279">
        <f t="shared" ca="1" si="69"/>
        <v>2683.7729636729364</v>
      </c>
      <c r="R61" s="279">
        <f t="shared" ca="1" si="69"/>
        <v>2737.4484229463951</v>
      </c>
      <c r="S61" s="279">
        <f t="shared" ca="1" si="69"/>
        <v>2792.1973914053233</v>
      </c>
      <c r="T61" s="279">
        <f t="shared" ca="1" si="69"/>
        <v>2848.0413392334299</v>
      </c>
      <c r="U61" s="279">
        <f t="shared" ca="1" si="69"/>
        <v>2905.0021660180987</v>
      </c>
      <c r="V61" s="279">
        <f t="shared" ca="1" si="69"/>
        <v>2963.1022093384609</v>
      </c>
      <c r="W61" s="279">
        <f t="shared" ca="1" si="69"/>
        <v>3022.3642535252302</v>
      </c>
      <c r="X61" s="279">
        <f t="shared" ca="1" si="69"/>
        <v>3082.8115385957349</v>
      </c>
      <c r="Y61" s="279">
        <f t="shared" ca="1" si="69"/>
        <v>3144.4677693676495</v>
      </c>
      <c r="Z61" s="279">
        <f t="shared" ca="1" si="69"/>
        <v>3207.3571247550026</v>
      </c>
      <c r="AA61" s="279">
        <f t="shared" ca="1" si="69"/>
        <v>3271.5042672501027</v>
      </c>
      <c r="AB61" s="279">
        <f t="shared" ca="1" si="69"/>
        <v>3336.9343525951049</v>
      </c>
      <c r="AC61" s="279">
        <f t="shared" ca="1" si="69"/>
        <v>3403.673039647007</v>
      </c>
      <c r="AD61" s="279">
        <f t="shared" ca="1" si="69"/>
        <v>3471.7465004399473</v>
      </c>
      <c r="AE61" s="279">
        <f t="shared" ca="1" si="69"/>
        <v>3541.1814304487461</v>
      </c>
      <c r="AF61" s="279">
        <f t="shared" ca="1" si="69"/>
        <v>3612.0050590577212</v>
      </c>
      <c r="AG61" s="279">
        <f t="shared" ca="1" si="69"/>
        <v>3684.2451602388755</v>
      </c>
      <c r="AH61" s="279">
        <f t="shared" ca="1" si="69"/>
        <v>3757.9300634436531</v>
      </c>
      <c r="AI61" s="279">
        <f t="shared" ca="1" si="63"/>
        <v>3833.0886647125262</v>
      </c>
      <c r="AJ61" s="279">
        <f t="shared" ca="1" si="64"/>
        <v>3909.7504380067767</v>
      </c>
      <c r="AK61" s="8"/>
      <c r="AL61" s="8"/>
      <c r="AM61" s="8"/>
      <c r="AN61" s="8"/>
      <c r="AO61" s="8"/>
      <c r="AP61" s="8"/>
    </row>
    <row r="62" spans="1:42" x14ac:dyDescent="0.15">
      <c r="A62" s="721">
        <v>5403</v>
      </c>
      <c r="B62" s="486">
        <f t="shared" ca="1" si="60"/>
        <v>316.69454851485153</v>
      </c>
      <c r="C62" s="717" t="s">
        <v>161</v>
      </c>
      <c r="D62" s="141">
        <f ca="1">OFFSET('IE SUMMARY'!D38,0,MoveCount)</f>
        <v>31358.97</v>
      </c>
      <c r="E62" s="279">
        <f ca="1">D62*(1+GlobalInflation)</f>
        <v>31986.149400000002</v>
      </c>
      <c r="F62" s="340">
        <f t="shared" ref="F62" ca="1" si="70">E62/12</f>
        <v>2665.5124500000002</v>
      </c>
      <c r="G62" s="279">
        <f t="shared" ref="G62" ca="1" si="71">F62*(1+GlobalInflation)</f>
        <v>2718.8226990000003</v>
      </c>
      <c r="H62" s="279">
        <f t="shared" ref="H62" ca="1" si="72">G62*(1+GlobalInflation)</f>
        <v>2773.1991529800002</v>
      </c>
      <c r="I62" s="279">
        <f t="shared" ref="I62" ca="1" si="73">H62*(1+GlobalInflation)</f>
        <v>2828.6631360396004</v>
      </c>
      <c r="J62" s="279">
        <f t="shared" ref="J62" ca="1" si="74">I62*(1+GlobalInflation)</f>
        <v>2885.2363987603926</v>
      </c>
      <c r="K62" s="279">
        <f t="shared" ref="K62" ca="1" si="75">J62*(1+GlobalInflation)</f>
        <v>2942.9411267356004</v>
      </c>
      <c r="L62" s="279">
        <f t="shared" ref="L62" ca="1" si="76">K62*(1+GlobalInflation)</f>
        <v>3001.7999492703125</v>
      </c>
      <c r="M62" s="279">
        <f t="shared" ref="M62" ca="1" si="77">L62*(1+GlobalInflation)</f>
        <v>3061.8359482557189</v>
      </c>
      <c r="N62" s="279">
        <f t="shared" ref="N62" ca="1" si="78">M62*(1+GlobalInflation)</f>
        <v>3123.0726672208334</v>
      </c>
      <c r="O62" s="279">
        <f t="shared" ref="O62" ca="1" si="79">N62*(1+GlobalInflation)</f>
        <v>3185.5341205652503</v>
      </c>
      <c r="P62" s="279">
        <f t="shared" ref="P62" ca="1" si="80">O62*(1+GlobalInflation)</f>
        <v>3249.2448029765555</v>
      </c>
      <c r="Q62" s="279">
        <f t="shared" ref="Q62" ca="1" si="81">P62*(1+GlobalInflation)</f>
        <v>3314.2296990360869</v>
      </c>
      <c r="R62" s="279">
        <f t="shared" ref="R62" ca="1" si="82">Q62*(1+GlobalInflation)</f>
        <v>3380.5142930168086</v>
      </c>
      <c r="S62" s="279">
        <f t="shared" ref="S62" ca="1" si="83">R62*(1+GlobalInflation)</f>
        <v>3448.1245788771448</v>
      </c>
      <c r="T62" s="279">
        <f t="shared" ref="T62" ca="1" si="84">S62*(1+GlobalInflation)</f>
        <v>3517.0870704546878</v>
      </c>
      <c r="U62" s="279">
        <f t="shared" ref="U62" ca="1" si="85">T62*(1+GlobalInflation)</f>
        <v>3587.4288118637814</v>
      </c>
      <c r="V62" s="279">
        <f t="shared" ref="V62" ca="1" si="86">U62*(1+GlobalInflation)</f>
        <v>3659.1773881010572</v>
      </c>
      <c r="W62" s="279">
        <f t="shared" ref="W62" ca="1" si="87">V62*(1+GlobalInflation)</f>
        <v>3732.3609358630783</v>
      </c>
      <c r="X62" s="279">
        <f t="shared" ref="X62" ca="1" si="88">W62*(1+GlobalInflation)</f>
        <v>3807.00815458034</v>
      </c>
      <c r="Y62" s="279">
        <f t="shared" ref="Y62" ca="1" si="89">X62*(1+GlobalInflation)</f>
        <v>3883.1483176719471</v>
      </c>
      <c r="Z62" s="279">
        <f t="shared" ref="Z62" ca="1" si="90">Y62*(1+GlobalInflation)</f>
        <v>3960.8112840253862</v>
      </c>
      <c r="AA62" s="279">
        <f t="shared" ref="AA62" ca="1" si="91">Z62*(1+GlobalInflation)</f>
        <v>4040.0275097058939</v>
      </c>
      <c r="AB62" s="279">
        <f t="shared" ref="AB62" ca="1" si="92">AA62*(1+GlobalInflation)</f>
        <v>4120.8280599000118</v>
      </c>
      <c r="AC62" s="279">
        <f t="shared" ref="AC62" ca="1" si="93">AB62*(1+GlobalInflation)</f>
        <v>4203.2446210980124</v>
      </c>
      <c r="AD62" s="279">
        <f t="shared" ref="AD62" ca="1" si="94">AC62*(1+GlobalInflation)</f>
        <v>4287.3095135199728</v>
      </c>
      <c r="AE62" s="279">
        <f t="shared" ref="AE62" ca="1" si="95">AD62*(1+GlobalInflation)</f>
        <v>4373.0557037903727</v>
      </c>
      <c r="AF62" s="279">
        <f t="shared" ref="AF62" ca="1" si="96">AE62*(1+GlobalInflation)</f>
        <v>4460.5168178661806</v>
      </c>
      <c r="AG62" s="279">
        <f t="shared" ref="AG62" ca="1" si="97">AF62*(1+GlobalInflation)</f>
        <v>4549.7271542235039</v>
      </c>
      <c r="AH62" s="279">
        <f t="shared" ref="AH62" ca="1" si="98">AG62*(1+GlobalInflation)</f>
        <v>4640.721697307974</v>
      </c>
      <c r="AI62" s="279">
        <f t="shared" ca="1" si="63"/>
        <v>4733.5361312541336</v>
      </c>
      <c r="AJ62" s="279">
        <f t="shared" ca="1" si="64"/>
        <v>4828.2068538792164</v>
      </c>
      <c r="AK62" s="8"/>
      <c r="AL62" s="8"/>
      <c r="AM62" s="8"/>
      <c r="AN62" s="8"/>
      <c r="AO62" s="8"/>
      <c r="AP62" s="8"/>
    </row>
    <row r="63" spans="1:42" x14ac:dyDescent="0.15">
      <c r="A63" s="721">
        <v>5402</v>
      </c>
      <c r="B63" s="486">
        <f t="shared" ca="1" si="60"/>
        <v>295.11286336633663</v>
      </c>
      <c r="C63" s="717" t="s">
        <v>162</v>
      </c>
      <c r="D63" s="141">
        <f ca="1">OFFSET('IE SUMMARY'!D39,0,MoveCount)</f>
        <v>29221.96</v>
      </c>
      <c r="E63" s="279">
        <f ca="1">D63*(1+GlobalInflation)</f>
        <v>29806.3992</v>
      </c>
      <c r="F63" s="340">
        <f t="shared" ca="1" si="61"/>
        <v>2483.8665999999998</v>
      </c>
      <c r="G63" s="279">
        <f t="shared" ref="G63:AH64" ca="1" si="99">F63*(1+GlobalInflation)</f>
        <v>2533.543932</v>
      </c>
      <c r="H63" s="279">
        <f t="shared" ca="1" si="99"/>
        <v>2584.21481064</v>
      </c>
      <c r="I63" s="279">
        <f t="shared" ca="1" si="99"/>
        <v>2635.8991068527998</v>
      </c>
      <c r="J63" s="279">
        <f t="shared" ca="1" si="99"/>
        <v>2688.6170889898558</v>
      </c>
      <c r="K63" s="279">
        <f t="shared" ca="1" si="99"/>
        <v>2742.3894307696528</v>
      </c>
      <c r="L63" s="279">
        <f t="shared" ca="1" si="99"/>
        <v>2797.237219385046</v>
      </c>
      <c r="M63" s="279">
        <f t="shared" ca="1" si="99"/>
        <v>2853.1819637727472</v>
      </c>
      <c r="N63" s="279">
        <f t="shared" ca="1" si="99"/>
        <v>2910.2456030482022</v>
      </c>
      <c r="O63" s="279">
        <f t="shared" ca="1" si="99"/>
        <v>2968.4505151091662</v>
      </c>
      <c r="P63" s="279">
        <f t="shared" ca="1" si="99"/>
        <v>3027.8195254113498</v>
      </c>
      <c r="Q63" s="279">
        <f t="shared" ca="1" si="99"/>
        <v>3088.375915919577</v>
      </c>
      <c r="R63" s="279">
        <f t="shared" ca="1" si="99"/>
        <v>3150.1434342379684</v>
      </c>
      <c r="S63" s="279">
        <f t="shared" ca="1" si="99"/>
        <v>3213.146302922728</v>
      </c>
      <c r="T63" s="279">
        <f t="shared" ca="1" si="99"/>
        <v>3277.4092289811824</v>
      </c>
      <c r="U63" s="279">
        <f t="shared" ca="1" si="99"/>
        <v>3342.9574135608063</v>
      </c>
      <c r="V63" s="279">
        <f t="shared" ca="1" si="99"/>
        <v>3409.8165618320227</v>
      </c>
      <c r="W63" s="279">
        <f t="shared" ca="1" si="99"/>
        <v>3478.0128930686633</v>
      </c>
      <c r="X63" s="279">
        <f t="shared" ca="1" si="99"/>
        <v>3547.5731509300367</v>
      </c>
      <c r="Y63" s="279">
        <f t="shared" ca="1" si="99"/>
        <v>3618.5246139486376</v>
      </c>
      <c r="Z63" s="279">
        <f t="shared" ca="1" si="99"/>
        <v>3690.8951062276105</v>
      </c>
      <c r="AA63" s="279">
        <f t="shared" ca="1" si="99"/>
        <v>3764.7130083521629</v>
      </c>
      <c r="AB63" s="279">
        <f t="shared" ca="1" si="99"/>
        <v>3840.0072685192063</v>
      </c>
      <c r="AC63" s="279">
        <f t="shared" ca="1" si="99"/>
        <v>3916.8074138895904</v>
      </c>
      <c r="AD63" s="279">
        <f t="shared" ca="1" si="99"/>
        <v>3995.1435621673822</v>
      </c>
      <c r="AE63" s="279">
        <f t="shared" ca="1" si="99"/>
        <v>4075.0464334107301</v>
      </c>
      <c r="AF63" s="279">
        <f t="shared" ca="1" si="99"/>
        <v>4156.5473620789444</v>
      </c>
      <c r="AG63" s="279">
        <f t="shared" ca="1" si="99"/>
        <v>4239.6783093205231</v>
      </c>
      <c r="AH63" s="279">
        <f t="shared" ca="1" si="99"/>
        <v>4324.4718755069334</v>
      </c>
      <c r="AI63" s="279">
        <f t="shared" ca="1" si="63"/>
        <v>4410.9613130170719</v>
      </c>
      <c r="AJ63" s="279">
        <f t="shared" ca="1" si="64"/>
        <v>4499.1805392774131</v>
      </c>
      <c r="AK63" s="8"/>
      <c r="AL63" s="8"/>
      <c r="AM63" s="8"/>
      <c r="AN63" s="8"/>
      <c r="AO63" s="8"/>
      <c r="AP63" s="8"/>
    </row>
    <row r="64" spans="1:42" x14ac:dyDescent="0.15">
      <c r="A64" s="721">
        <v>5603</v>
      </c>
      <c r="B64" s="486">
        <f t="shared" si="60"/>
        <v>10.693069306930694</v>
      </c>
      <c r="C64" s="717" t="s">
        <v>163</v>
      </c>
      <c r="D64" s="141">
        <f ca="1">OFFSET('IE SUMMARY'!D40,0,MoveCount)</f>
        <v>6159.7899999999991</v>
      </c>
      <c r="E64" s="279">
        <f>90*12</f>
        <v>1080</v>
      </c>
      <c r="F64" s="340">
        <f t="shared" si="61"/>
        <v>90</v>
      </c>
      <c r="G64" s="279">
        <f>F64*(1+GlobalInflation)</f>
        <v>91.8</v>
      </c>
      <c r="H64" s="279">
        <f t="shared" si="99"/>
        <v>93.635999999999996</v>
      </c>
      <c r="I64" s="279">
        <f t="shared" si="99"/>
        <v>95.508719999999997</v>
      </c>
      <c r="J64" s="279">
        <f t="shared" si="99"/>
        <v>97.418894399999999</v>
      </c>
      <c r="K64" s="279">
        <f t="shared" si="99"/>
        <v>99.367272287999995</v>
      </c>
      <c r="L64" s="279">
        <f t="shared" si="99"/>
        <v>101.35461773375999</v>
      </c>
      <c r="M64" s="279">
        <f t="shared" si="99"/>
        <v>103.3817100884352</v>
      </c>
      <c r="N64" s="279">
        <f t="shared" si="99"/>
        <v>105.44934429020391</v>
      </c>
      <c r="O64" s="279">
        <f t="shared" si="99"/>
        <v>107.558331176008</v>
      </c>
      <c r="P64" s="279">
        <f t="shared" si="99"/>
        <v>109.70949779952817</v>
      </c>
      <c r="Q64" s="279">
        <f t="shared" si="99"/>
        <v>111.90368775551873</v>
      </c>
      <c r="R64" s="279">
        <f t="shared" si="99"/>
        <v>114.14176151062911</v>
      </c>
      <c r="S64" s="279">
        <f t="shared" si="99"/>
        <v>116.42459674084169</v>
      </c>
      <c r="T64" s="279">
        <f t="shared" si="99"/>
        <v>118.75308867565853</v>
      </c>
      <c r="U64" s="279">
        <f t="shared" si="99"/>
        <v>121.1281504491717</v>
      </c>
      <c r="V64" s="279">
        <f t="shared" si="99"/>
        <v>123.55071345815513</v>
      </c>
      <c r="W64" s="279">
        <f t="shared" si="99"/>
        <v>126.02172772731824</v>
      </c>
      <c r="X64" s="279">
        <f t="shared" si="99"/>
        <v>128.54216228186459</v>
      </c>
      <c r="Y64" s="279">
        <f t="shared" si="99"/>
        <v>131.11300552750188</v>
      </c>
      <c r="Z64" s="279">
        <f t="shared" si="99"/>
        <v>133.73526563805191</v>
      </c>
      <c r="AA64" s="279">
        <f t="shared" si="99"/>
        <v>136.40997095081295</v>
      </c>
      <c r="AB64" s="279">
        <f t="shared" si="99"/>
        <v>139.1381703698292</v>
      </c>
      <c r="AC64" s="279">
        <f t="shared" si="99"/>
        <v>141.92093377722577</v>
      </c>
      <c r="AD64" s="279">
        <f t="shared" si="99"/>
        <v>144.75935245277029</v>
      </c>
      <c r="AE64" s="279">
        <f t="shared" si="99"/>
        <v>147.6545395018257</v>
      </c>
      <c r="AF64" s="279">
        <f t="shared" si="99"/>
        <v>150.60763029186222</v>
      </c>
      <c r="AG64" s="279">
        <f t="shared" si="99"/>
        <v>153.61978289769948</v>
      </c>
      <c r="AH64" s="279">
        <f t="shared" si="99"/>
        <v>156.69217855565347</v>
      </c>
      <c r="AI64" s="279">
        <f t="shared" si="63"/>
        <v>159.82602212676653</v>
      </c>
      <c r="AJ64" s="279">
        <f t="shared" si="64"/>
        <v>163.02254256930186</v>
      </c>
      <c r="AK64" s="8"/>
      <c r="AL64" s="8"/>
      <c r="AM64" s="8"/>
      <c r="AN64" s="8"/>
      <c r="AO64" s="8"/>
      <c r="AP64" s="8"/>
    </row>
    <row r="65" spans="1:42" x14ac:dyDescent="0.15">
      <c r="A65" s="721">
        <v>5020</v>
      </c>
      <c r="B65" s="486">
        <f t="shared" si="60"/>
        <v>9.9009900990099009</v>
      </c>
      <c r="C65" s="717" t="s">
        <v>164</v>
      </c>
      <c r="D65" s="141">
        <f ca="1">OFFSET('IE SUMMARY'!D41,0,MoveCount)</f>
        <v>2727.25</v>
      </c>
      <c r="E65" s="279">
        <v>1000</v>
      </c>
      <c r="F65" s="340">
        <f t="shared" si="61"/>
        <v>83.333333333333329</v>
      </c>
      <c r="G65" s="279">
        <f t="shared" ref="G65:AH65" si="100">F65*(1+GlobalInflation)</f>
        <v>85</v>
      </c>
      <c r="H65" s="279">
        <f t="shared" si="100"/>
        <v>86.7</v>
      </c>
      <c r="I65" s="279">
        <f t="shared" si="100"/>
        <v>88.433999999999997</v>
      </c>
      <c r="J65" s="279">
        <f t="shared" si="100"/>
        <v>90.202680000000001</v>
      </c>
      <c r="K65" s="279">
        <f t="shared" si="100"/>
        <v>92.006733600000004</v>
      </c>
      <c r="L65" s="279">
        <f t="shared" si="100"/>
        <v>93.846868272000009</v>
      </c>
      <c r="M65" s="279">
        <f t="shared" si="100"/>
        <v>95.723805637440009</v>
      </c>
      <c r="N65" s="279">
        <f t="shared" si="100"/>
        <v>97.63828175018881</v>
      </c>
      <c r="O65" s="279">
        <f t="shared" si="100"/>
        <v>99.591047385192581</v>
      </c>
      <c r="P65" s="279">
        <f t="shared" si="100"/>
        <v>101.58286833289644</v>
      </c>
      <c r="Q65" s="279">
        <f t="shared" si="100"/>
        <v>103.61452569955436</v>
      </c>
      <c r="R65" s="279">
        <f t="shared" si="100"/>
        <v>105.68681621354546</v>
      </c>
      <c r="S65" s="279">
        <f t="shared" si="100"/>
        <v>107.80055253781637</v>
      </c>
      <c r="T65" s="279">
        <f t="shared" si="100"/>
        <v>109.95656358857271</v>
      </c>
      <c r="U65" s="279">
        <f t="shared" si="100"/>
        <v>112.15569486034416</v>
      </c>
      <c r="V65" s="279">
        <f t="shared" si="100"/>
        <v>114.39880875755104</v>
      </c>
      <c r="W65" s="279">
        <f t="shared" si="100"/>
        <v>116.68678493270205</v>
      </c>
      <c r="X65" s="279">
        <f t="shared" si="100"/>
        <v>119.02052063135609</v>
      </c>
      <c r="Y65" s="279">
        <f t="shared" si="100"/>
        <v>121.40093104398322</v>
      </c>
      <c r="Z65" s="279">
        <f t="shared" si="100"/>
        <v>123.82894966486289</v>
      </c>
      <c r="AA65" s="279">
        <f t="shared" si="100"/>
        <v>126.30552865816016</v>
      </c>
      <c r="AB65" s="279">
        <f t="shared" si="100"/>
        <v>128.83163923132335</v>
      </c>
      <c r="AC65" s="279">
        <f t="shared" si="100"/>
        <v>131.40827201594982</v>
      </c>
      <c r="AD65" s="279">
        <f t="shared" si="100"/>
        <v>134.03643745626883</v>
      </c>
      <c r="AE65" s="279">
        <f t="shared" si="100"/>
        <v>136.71716620539422</v>
      </c>
      <c r="AF65" s="279">
        <f t="shared" si="100"/>
        <v>139.45150952950212</v>
      </c>
      <c r="AG65" s="279">
        <f t="shared" si="100"/>
        <v>142.24053972009216</v>
      </c>
      <c r="AH65" s="279">
        <f t="shared" si="100"/>
        <v>145.085350514494</v>
      </c>
      <c r="AI65" s="279">
        <f t="shared" si="63"/>
        <v>147.98705752478386</v>
      </c>
      <c r="AJ65" s="279">
        <f t="shared" si="64"/>
        <v>150.94679867527955</v>
      </c>
      <c r="AK65" s="8"/>
      <c r="AL65" s="8"/>
      <c r="AM65" s="8"/>
      <c r="AN65" s="8"/>
      <c r="AO65" s="8"/>
      <c r="AP65" s="8"/>
    </row>
    <row r="66" spans="1:42" x14ac:dyDescent="0.15">
      <c r="A66" s="721">
        <v>5104</v>
      </c>
      <c r="B66" s="486">
        <f t="shared" si="60"/>
        <v>200</v>
      </c>
      <c r="C66" s="717" t="str">
        <f>"Maintenance / Capital Reserve ("&amp;TEXT(J8,"$0")&amp;" per space / year)"</f>
        <v>Maintenance / Capital Reserve ($200 per space / year)</v>
      </c>
      <c r="D66" s="141">
        <f ca="1">OFFSET('IE SUMMARY'!D42,0,MoveCount)</f>
        <v>36709.519999999997</v>
      </c>
      <c r="E66" s="279">
        <f>J8*NoOfSpaces</f>
        <v>20200</v>
      </c>
      <c r="F66" s="340">
        <f t="shared" ref="F66:F74" si="101">E66/12</f>
        <v>1683.3333333333333</v>
      </c>
      <c r="G66" s="279">
        <f t="shared" ref="G66:AH66" si="102">F66*(1+GlobalInflation)</f>
        <v>1717</v>
      </c>
      <c r="H66" s="279">
        <f t="shared" si="102"/>
        <v>1751.34</v>
      </c>
      <c r="I66" s="279">
        <f t="shared" si="102"/>
        <v>1786.3668</v>
      </c>
      <c r="J66" s="279">
        <f t="shared" si="102"/>
        <v>1822.0941359999999</v>
      </c>
      <c r="K66" s="279">
        <f t="shared" si="102"/>
        <v>1858.5360187199999</v>
      </c>
      <c r="L66" s="279">
        <f t="shared" si="102"/>
        <v>1895.7067390943998</v>
      </c>
      <c r="M66" s="279">
        <f t="shared" si="102"/>
        <v>1933.6208738762878</v>
      </c>
      <c r="N66" s="279">
        <f t="shared" si="102"/>
        <v>1972.2932913538136</v>
      </c>
      <c r="O66" s="279">
        <f t="shared" si="102"/>
        <v>2011.7391571808898</v>
      </c>
      <c r="P66" s="279">
        <f t="shared" si="102"/>
        <v>2051.9739403245076</v>
      </c>
      <c r="Q66" s="279">
        <f t="shared" si="102"/>
        <v>2093.0134191309976</v>
      </c>
      <c r="R66" s="279">
        <f t="shared" si="102"/>
        <v>2134.8736875136174</v>
      </c>
      <c r="S66" s="279">
        <f t="shared" si="102"/>
        <v>2177.5711612638897</v>
      </c>
      <c r="T66" s="279">
        <f t="shared" si="102"/>
        <v>2221.1225844891674</v>
      </c>
      <c r="U66" s="279">
        <f t="shared" si="102"/>
        <v>2265.5450361789508</v>
      </c>
      <c r="V66" s="279">
        <f t="shared" si="102"/>
        <v>2310.8559369025297</v>
      </c>
      <c r="W66" s="279">
        <f t="shared" si="102"/>
        <v>2357.0730556405802</v>
      </c>
      <c r="X66" s="279">
        <f t="shared" si="102"/>
        <v>2404.2145167533918</v>
      </c>
      <c r="Y66" s="279">
        <f t="shared" si="102"/>
        <v>2452.2988070884599</v>
      </c>
      <c r="Z66" s="279">
        <f t="shared" si="102"/>
        <v>2501.344783230229</v>
      </c>
      <c r="AA66" s="279">
        <f t="shared" si="102"/>
        <v>2551.3716788948336</v>
      </c>
      <c r="AB66" s="279">
        <f t="shared" si="102"/>
        <v>2602.3991124727304</v>
      </c>
      <c r="AC66" s="279">
        <f t="shared" si="102"/>
        <v>2654.4470947221848</v>
      </c>
      <c r="AD66" s="279">
        <f t="shared" si="102"/>
        <v>2707.5360366166287</v>
      </c>
      <c r="AE66" s="279">
        <f t="shared" si="102"/>
        <v>2761.6867573489612</v>
      </c>
      <c r="AF66" s="279">
        <f t="shared" si="102"/>
        <v>2816.9204924959404</v>
      </c>
      <c r="AG66" s="279">
        <f t="shared" si="102"/>
        <v>2873.258902345859</v>
      </c>
      <c r="AH66" s="279">
        <f t="shared" si="102"/>
        <v>2930.7240803927762</v>
      </c>
      <c r="AI66" s="279">
        <f t="shared" si="63"/>
        <v>2989.3385620006316</v>
      </c>
      <c r="AJ66" s="279">
        <f t="shared" si="64"/>
        <v>3049.1253332406441</v>
      </c>
      <c r="AK66" s="8"/>
      <c r="AL66" s="8"/>
      <c r="AM66" s="8"/>
      <c r="AN66" s="8"/>
      <c r="AO66" s="8"/>
      <c r="AP66" s="8"/>
    </row>
    <row r="67" spans="1:42" x14ac:dyDescent="0.15">
      <c r="A67" s="721">
        <v>5109</v>
      </c>
      <c r="B67" s="486">
        <f t="shared" si="60"/>
        <v>49.504950495049506</v>
      </c>
      <c r="C67" s="717" t="s">
        <v>165</v>
      </c>
      <c r="D67" s="141">
        <f ca="1">OFFSET('IE SUMMARY'!D43,0,MoveCount)</f>
        <v>1013</v>
      </c>
      <c r="E67" s="279">
        <v>5000</v>
      </c>
      <c r="F67" s="340">
        <f>E67/12</f>
        <v>416.66666666666669</v>
      </c>
      <c r="G67" s="279">
        <f t="shared" ref="G67:AH67" si="103">F67*(1+GlobalInflation)</f>
        <v>425</v>
      </c>
      <c r="H67" s="279">
        <f t="shared" si="103"/>
        <v>433.5</v>
      </c>
      <c r="I67" s="279">
        <f t="shared" si="103"/>
        <v>442.17</v>
      </c>
      <c r="J67" s="279">
        <f t="shared" si="103"/>
        <v>451.01340000000005</v>
      </c>
      <c r="K67" s="279">
        <f t="shared" si="103"/>
        <v>460.03366800000003</v>
      </c>
      <c r="L67" s="279">
        <f t="shared" si="103"/>
        <v>469.23434136000003</v>
      </c>
      <c r="M67" s="279">
        <f t="shared" si="103"/>
        <v>478.61902818720006</v>
      </c>
      <c r="N67" s="279">
        <f t="shared" si="103"/>
        <v>488.19140875094405</v>
      </c>
      <c r="O67" s="279">
        <f t="shared" si="103"/>
        <v>497.95523692596294</v>
      </c>
      <c r="P67" s="279">
        <f t="shared" si="103"/>
        <v>507.91434166448221</v>
      </c>
      <c r="Q67" s="279">
        <f t="shared" si="103"/>
        <v>518.07262849777192</v>
      </c>
      <c r="R67" s="279">
        <f t="shared" si="103"/>
        <v>528.43408106772733</v>
      </c>
      <c r="S67" s="279">
        <f t="shared" si="103"/>
        <v>539.00276268908192</v>
      </c>
      <c r="T67" s="279">
        <f t="shared" si="103"/>
        <v>549.78281794286352</v>
      </c>
      <c r="U67" s="279">
        <f t="shared" si="103"/>
        <v>560.77847430172085</v>
      </c>
      <c r="V67" s="279">
        <f t="shared" si="103"/>
        <v>571.99404378775523</v>
      </c>
      <c r="W67" s="279">
        <f t="shared" si="103"/>
        <v>583.43392466351031</v>
      </c>
      <c r="X67" s="279">
        <f t="shared" si="103"/>
        <v>595.10260315678056</v>
      </c>
      <c r="Y67" s="279">
        <f t="shared" si="103"/>
        <v>607.00465521991623</v>
      </c>
      <c r="Z67" s="279">
        <f t="shared" si="103"/>
        <v>619.14474832431461</v>
      </c>
      <c r="AA67" s="279">
        <f t="shared" si="103"/>
        <v>631.52764329080094</v>
      </c>
      <c r="AB67" s="279">
        <f t="shared" si="103"/>
        <v>644.15819615661701</v>
      </c>
      <c r="AC67" s="279">
        <f t="shared" si="103"/>
        <v>657.04136007974932</v>
      </c>
      <c r="AD67" s="279">
        <f t="shared" si="103"/>
        <v>670.18218728134434</v>
      </c>
      <c r="AE67" s="279">
        <f t="shared" si="103"/>
        <v>683.58583102697128</v>
      </c>
      <c r="AF67" s="279">
        <f t="shared" si="103"/>
        <v>697.25754764751071</v>
      </c>
      <c r="AG67" s="279">
        <f t="shared" si="103"/>
        <v>711.20269860046096</v>
      </c>
      <c r="AH67" s="279">
        <f t="shared" si="103"/>
        <v>725.42675257247015</v>
      </c>
      <c r="AI67" s="279">
        <f t="shared" si="63"/>
        <v>739.93528762391952</v>
      </c>
      <c r="AJ67" s="279">
        <f t="shared" si="64"/>
        <v>754.73399337639796</v>
      </c>
      <c r="AK67" s="8"/>
      <c r="AL67" s="8"/>
      <c r="AM67" s="8"/>
      <c r="AN67" s="8"/>
      <c r="AO67" s="8"/>
      <c r="AP67" s="8"/>
    </row>
    <row r="68" spans="1:42" x14ac:dyDescent="0.15">
      <c r="A68" s="721">
        <v>5200</v>
      </c>
      <c r="B68" s="486">
        <f t="shared" si="60"/>
        <v>118.81188118811882</v>
      </c>
      <c r="C68" s="717" t="s">
        <v>166</v>
      </c>
      <c r="D68" s="141">
        <f ca="1">OFFSET('IE SUMMARY'!D44,0,MoveCount)</f>
        <v>23852.53</v>
      </c>
      <c r="E68" s="279">
        <v>12000</v>
      </c>
      <c r="F68" s="340">
        <f>E68/12</f>
        <v>1000</v>
      </c>
      <c r="G68" s="279">
        <f t="shared" ref="G68:AH68" si="104">F68*(1+GlobalInflation)</f>
        <v>1020</v>
      </c>
      <c r="H68" s="279">
        <f t="shared" si="104"/>
        <v>1040.4000000000001</v>
      </c>
      <c r="I68" s="279">
        <f t="shared" si="104"/>
        <v>1061.2080000000001</v>
      </c>
      <c r="J68" s="279">
        <f t="shared" si="104"/>
        <v>1082.4321600000001</v>
      </c>
      <c r="K68" s="279">
        <f t="shared" si="104"/>
        <v>1104.0808032</v>
      </c>
      <c r="L68" s="279">
        <f t="shared" si="104"/>
        <v>1126.1624192639999</v>
      </c>
      <c r="M68" s="279">
        <f t="shared" si="104"/>
        <v>1148.68566764928</v>
      </c>
      <c r="N68" s="279">
        <f t="shared" si="104"/>
        <v>1171.6593810022657</v>
      </c>
      <c r="O68" s="279">
        <f t="shared" si="104"/>
        <v>1195.0925686223111</v>
      </c>
      <c r="P68" s="279">
        <f t="shared" si="104"/>
        <v>1218.9944199947574</v>
      </c>
      <c r="Q68" s="279">
        <f t="shared" si="104"/>
        <v>1243.3743083946526</v>
      </c>
      <c r="R68" s="279">
        <f t="shared" si="104"/>
        <v>1268.2417945625457</v>
      </c>
      <c r="S68" s="279">
        <f t="shared" si="104"/>
        <v>1293.6066304537967</v>
      </c>
      <c r="T68" s="279">
        <f t="shared" si="104"/>
        <v>1319.4787630628728</v>
      </c>
      <c r="U68" s="279">
        <f t="shared" si="104"/>
        <v>1345.8683383241303</v>
      </c>
      <c r="V68" s="279">
        <f t="shared" si="104"/>
        <v>1372.785705090613</v>
      </c>
      <c r="W68" s="279">
        <f t="shared" si="104"/>
        <v>1400.2414191924252</v>
      </c>
      <c r="X68" s="279">
        <f t="shared" si="104"/>
        <v>1428.2462475762736</v>
      </c>
      <c r="Y68" s="279">
        <f t="shared" si="104"/>
        <v>1456.811172527799</v>
      </c>
      <c r="Z68" s="279">
        <f t="shared" si="104"/>
        <v>1485.947395978355</v>
      </c>
      <c r="AA68" s="279">
        <f t="shared" si="104"/>
        <v>1515.6663438979222</v>
      </c>
      <c r="AB68" s="279">
        <f t="shared" si="104"/>
        <v>1545.9796707758805</v>
      </c>
      <c r="AC68" s="279">
        <f t="shared" si="104"/>
        <v>1576.8992641913983</v>
      </c>
      <c r="AD68" s="279">
        <f t="shared" si="104"/>
        <v>1608.4372494752263</v>
      </c>
      <c r="AE68" s="279">
        <f t="shared" si="104"/>
        <v>1640.6059944647309</v>
      </c>
      <c r="AF68" s="279">
        <f t="shared" si="104"/>
        <v>1673.4181143540254</v>
      </c>
      <c r="AG68" s="279">
        <f t="shared" si="104"/>
        <v>1706.8864766411059</v>
      </c>
      <c r="AH68" s="279">
        <f t="shared" si="104"/>
        <v>1741.024206173928</v>
      </c>
      <c r="AI68" s="279">
        <f t="shared" si="63"/>
        <v>1775.8446902974065</v>
      </c>
      <c r="AJ68" s="279">
        <f t="shared" si="64"/>
        <v>1811.3615841033547</v>
      </c>
      <c r="AK68" s="8"/>
      <c r="AL68" s="8"/>
      <c r="AM68" s="8"/>
      <c r="AN68" s="8"/>
      <c r="AO68" s="8"/>
      <c r="AP68" s="8"/>
    </row>
    <row r="69" spans="1:42" x14ac:dyDescent="0.15">
      <c r="A69" s="721">
        <v>5301</v>
      </c>
      <c r="B69" s="486">
        <f t="shared" si="60"/>
        <v>667.31658415841571</v>
      </c>
      <c r="C69" s="717" t="s">
        <v>167</v>
      </c>
      <c r="D69" s="141">
        <f ca="1">OFFSET('IE SUMMARY'!D45,0,MoveCount)</f>
        <v>39744.04</v>
      </c>
      <c r="E69" s="279">
        <f>NewTaxes</f>
        <v>67398.974999999991</v>
      </c>
      <c r="F69" s="340">
        <f>E69/12</f>
        <v>5616.5812499999993</v>
      </c>
      <c r="G69" s="279">
        <f t="shared" ref="G69:AH69" si="105">F69*(1+GlobalInflation)</f>
        <v>5728.9128749999991</v>
      </c>
      <c r="H69" s="279">
        <f t="shared" si="105"/>
        <v>5843.4911324999994</v>
      </c>
      <c r="I69" s="279">
        <f t="shared" si="105"/>
        <v>5960.3609551499994</v>
      </c>
      <c r="J69" s="279">
        <f t="shared" si="105"/>
        <v>6079.5681742529996</v>
      </c>
      <c r="K69" s="279">
        <f t="shared" si="105"/>
        <v>6201.15953773806</v>
      </c>
      <c r="L69" s="279">
        <f t="shared" si="105"/>
        <v>6325.1827284928213</v>
      </c>
      <c r="M69" s="279">
        <f t="shared" si="105"/>
        <v>6451.686383062678</v>
      </c>
      <c r="N69" s="279">
        <f t="shared" si="105"/>
        <v>6580.7201107239316</v>
      </c>
      <c r="O69" s="279">
        <f t="shared" si="105"/>
        <v>6712.3345129384106</v>
      </c>
      <c r="P69" s="279">
        <f t="shared" si="105"/>
        <v>6846.5812031971791</v>
      </c>
      <c r="Q69" s="279">
        <f t="shared" si="105"/>
        <v>6983.5128272611228</v>
      </c>
      <c r="R69" s="279">
        <f t="shared" si="105"/>
        <v>7123.1830838063452</v>
      </c>
      <c r="S69" s="279">
        <f t="shared" si="105"/>
        <v>7265.6467454824724</v>
      </c>
      <c r="T69" s="279">
        <f t="shared" si="105"/>
        <v>7410.9596803921222</v>
      </c>
      <c r="U69" s="279">
        <f t="shared" si="105"/>
        <v>7559.1788739999647</v>
      </c>
      <c r="V69" s="279">
        <f t="shared" si="105"/>
        <v>7710.362451479964</v>
      </c>
      <c r="W69" s="279">
        <f t="shared" si="105"/>
        <v>7864.5697005095635</v>
      </c>
      <c r="X69" s="279">
        <f t="shared" si="105"/>
        <v>8021.8610945197552</v>
      </c>
      <c r="Y69" s="279">
        <f t="shared" si="105"/>
        <v>8182.2983164101506</v>
      </c>
      <c r="Z69" s="279">
        <f t="shared" si="105"/>
        <v>8345.9442827383536</v>
      </c>
      <c r="AA69" s="279">
        <f t="shared" si="105"/>
        <v>8512.8631683931217</v>
      </c>
      <c r="AB69" s="279">
        <f t="shared" si="105"/>
        <v>8683.1204317609845</v>
      </c>
      <c r="AC69" s="279">
        <f t="shared" si="105"/>
        <v>8856.7828403962048</v>
      </c>
      <c r="AD69" s="279">
        <f t="shared" si="105"/>
        <v>9033.9184972041294</v>
      </c>
      <c r="AE69" s="279">
        <f t="shared" si="105"/>
        <v>9214.5968671482115</v>
      </c>
      <c r="AF69" s="279">
        <f t="shared" si="105"/>
        <v>9398.8888044911764</v>
      </c>
      <c r="AG69" s="279">
        <f t="shared" si="105"/>
        <v>9586.8665805809997</v>
      </c>
      <c r="AH69" s="279">
        <f t="shared" si="105"/>
        <v>9778.6039121926206</v>
      </c>
      <c r="AI69" s="279">
        <f t="shared" si="63"/>
        <v>9974.1759904364735</v>
      </c>
      <c r="AJ69" s="279">
        <f t="shared" si="64"/>
        <v>10173.659510245203</v>
      </c>
      <c r="AK69" s="8"/>
      <c r="AL69" s="8"/>
      <c r="AM69" s="8"/>
      <c r="AN69" s="8"/>
      <c r="AO69" s="8"/>
      <c r="AP69" s="8"/>
    </row>
    <row r="70" spans="1:42" x14ac:dyDescent="0.15">
      <c r="A70" s="721">
        <v>5053</v>
      </c>
      <c r="B70" s="486">
        <f t="shared" si="60"/>
        <v>74.257425742574256</v>
      </c>
      <c r="C70" s="717" t="s">
        <v>168</v>
      </c>
      <c r="D70" s="141">
        <f ca="1">OFFSET('IE SUMMARY'!D46,0,MoveCount)</f>
        <v>7711.74</v>
      </c>
      <c r="E70" s="279">
        <v>7500</v>
      </c>
      <c r="F70" s="340">
        <f>E70/12</f>
        <v>625</v>
      </c>
      <c r="G70" s="279">
        <f t="shared" ref="G70:AH70" si="106">F70*(1+GlobalInflation)</f>
        <v>637.5</v>
      </c>
      <c r="H70" s="279">
        <f t="shared" si="106"/>
        <v>650.25</v>
      </c>
      <c r="I70" s="279">
        <f t="shared" si="106"/>
        <v>663.255</v>
      </c>
      <c r="J70" s="279">
        <f t="shared" si="106"/>
        <v>676.52009999999996</v>
      </c>
      <c r="K70" s="279">
        <f t="shared" si="106"/>
        <v>690.05050199999994</v>
      </c>
      <c r="L70" s="279">
        <f t="shared" si="106"/>
        <v>703.85151203999999</v>
      </c>
      <c r="M70" s="279">
        <f t="shared" si="106"/>
        <v>717.9285422808</v>
      </c>
      <c r="N70" s="279">
        <f t="shared" si="106"/>
        <v>732.28711312641599</v>
      </c>
      <c r="O70" s="279">
        <f t="shared" si="106"/>
        <v>746.93285538894429</v>
      </c>
      <c r="P70" s="279">
        <f t="shared" si="106"/>
        <v>761.8715124967232</v>
      </c>
      <c r="Q70" s="279">
        <f t="shared" si="106"/>
        <v>777.1089427466577</v>
      </c>
      <c r="R70" s="279">
        <f t="shared" si="106"/>
        <v>792.65112160159083</v>
      </c>
      <c r="S70" s="279">
        <f t="shared" si="106"/>
        <v>808.50414403362265</v>
      </c>
      <c r="T70" s="279">
        <f t="shared" si="106"/>
        <v>824.6742269142951</v>
      </c>
      <c r="U70" s="279">
        <f t="shared" si="106"/>
        <v>841.16771145258099</v>
      </c>
      <c r="V70" s="279">
        <f t="shared" si="106"/>
        <v>857.99106568163268</v>
      </c>
      <c r="W70" s="279">
        <f t="shared" si="106"/>
        <v>875.1508869952653</v>
      </c>
      <c r="X70" s="279">
        <f t="shared" si="106"/>
        <v>892.65390473517061</v>
      </c>
      <c r="Y70" s="279">
        <f t="shared" si="106"/>
        <v>910.506982829874</v>
      </c>
      <c r="Z70" s="279">
        <f t="shared" si="106"/>
        <v>928.71712248647145</v>
      </c>
      <c r="AA70" s="279">
        <f t="shared" si="106"/>
        <v>947.2914649362009</v>
      </c>
      <c r="AB70" s="279">
        <f t="shared" si="106"/>
        <v>966.23729423492489</v>
      </c>
      <c r="AC70" s="279">
        <f t="shared" si="106"/>
        <v>985.56204011962336</v>
      </c>
      <c r="AD70" s="279">
        <f t="shared" si="106"/>
        <v>1005.2732809220158</v>
      </c>
      <c r="AE70" s="279">
        <f t="shared" si="106"/>
        <v>1025.3787465404562</v>
      </c>
      <c r="AF70" s="279">
        <f t="shared" si="106"/>
        <v>1045.8863214712653</v>
      </c>
      <c r="AG70" s="279">
        <f t="shared" si="106"/>
        <v>1066.8040479006906</v>
      </c>
      <c r="AH70" s="279">
        <f t="shared" si="106"/>
        <v>1088.1401288587044</v>
      </c>
      <c r="AI70" s="279">
        <f t="shared" si="63"/>
        <v>1109.9029314358786</v>
      </c>
      <c r="AJ70" s="279">
        <f t="shared" si="64"/>
        <v>1132.1009900645961</v>
      </c>
      <c r="AK70" s="8"/>
      <c r="AL70" s="8"/>
      <c r="AM70" s="8"/>
      <c r="AN70" s="8"/>
      <c r="AO70" s="8"/>
      <c r="AP70" s="8"/>
    </row>
    <row r="71" spans="1:42" x14ac:dyDescent="0.15">
      <c r="A71" s="721">
        <v>5604</v>
      </c>
      <c r="B71" s="486">
        <f t="shared" si="60"/>
        <v>10.841584158415841</v>
      </c>
      <c r="C71" s="717" t="s">
        <v>169</v>
      </c>
      <c r="D71" s="141">
        <f ca="1">OFFSET('IE SUMMARY'!D47,0,MoveCount)</f>
        <v>0</v>
      </c>
      <c r="E71" s="279">
        <f>195+(75*12)</f>
        <v>1095</v>
      </c>
      <c r="F71" s="340">
        <f t="shared" si="101"/>
        <v>91.25</v>
      </c>
      <c r="G71" s="279">
        <f t="shared" ref="G71:AH71" si="107">F71*(1+GlobalInflation)</f>
        <v>93.075000000000003</v>
      </c>
      <c r="H71" s="279">
        <f t="shared" si="107"/>
        <v>94.936500000000009</v>
      </c>
      <c r="I71" s="279">
        <f t="shared" si="107"/>
        <v>96.83523000000001</v>
      </c>
      <c r="J71" s="279">
        <f t="shared" si="107"/>
        <v>98.771934600000009</v>
      </c>
      <c r="K71" s="279">
        <f t="shared" si="107"/>
        <v>100.74737329200001</v>
      </c>
      <c r="L71" s="279">
        <f t="shared" si="107"/>
        <v>102.76232075784</v>
      </c>
      <c r="M71" s="279">
        <f t="shared" si="107"/>
        <v>104.8175671729968</v>
      </c>
      <c r="N71" s="279">
        <f t="shared" si="107"/>
        <v>106.91391851645675</v>
      </c>
      <c r="O71" s="279">
        <f t="shared" si="107"/>
        <v>109.05219688678588</v>
      </c>
      <c r="P71" s="279">
        <f t="shared" si="107"/>
        <v>111.2332408245216</v>
      </c>
      <c r="Q71" s="279">
        <f t="shared" si="107"/>
        <v>113.45790564101203</v>
      </c>
      <c r="R71" s="279">
        <f t="shared" si="107"/>
        <v>115.72706375383227</v>
      </c>
      <c r="S71" s="279">
        <f t="shared" si="107"/>
        <v>118.04160502890892</v>
      </c>
      <c r="T71" s="279">
        <f t="shared" si="107"/>
        <v>120.4024371294871</v>
      </c>
      <c r="U71" s="279">
        <f t="shared" si="107"/>
        <v>122.81048587207684</v>
      </c>
      <c r="V71" s="279">
        <f t="shared" si="107"/>
        <v>125.26669558951838</v>
      </c>
      <c r="W71" s="279">
        <f t="shared" si="107"/>
        <v>127.77202950130875</v>
      </c>
      <c r="X71" s="279">
        <f t="shared" si="107"/>
        <v>130.32747009133493</v>
      </c>
      <c r="Y71" s="279">
        <f t="shared" si="107"/>
        <v>132.93401949316163</v>
      </c>
      <c r="Z71" s="279">
        <f t="shared" si="107"/>
        <v>135.59269988302486</v>
      </c>
      <c r="AA71" s="279">
        <f t="shared" si="107"/>
        <v>138.30455388068538</v>
      </c>
      <c r="AB71" s="279">
        <f t="shared" si="107"/>
        <v>141.07064495829908</v>
      </c>
      <c r="AC71" s="279">
        <f t="shared" si="107"/>
        <v>143.89205785746506</v>
      </c>
      <c r="AD71" s="279">
        <f t="shared" si="107"/>
        <v>146.76989901461437</v>
      </c>
      <c r="AE71" s="279">
        <f t="shared" si="107"/>
        <v>149.70529699490666</v>
      </c>
      <c r="AF71" s="279">
        <f t="shared" si="107"/>
        <v>152.69940293480479</v>
      </c>
      <c r="AG71" s="279">
        <f t="shared" si="107"/>
        <v>155.75339099350089</v>
      </c>
      <c r="AH71" s="279">
        <f t="shared" si="107"/>
        <v>158.86845881337089</v>
      </c>
      <c r="AI71" s="279">
        <f t="shared" si="63"/>
        <v>162.04582798963833</v>
      </c>
      <c r="AJ71" s="279">
        <f t="shared" si="64"/>
        <v>165.28674454943109</v>
      </c>
      <c r="AK71" s="8"/>
      <c r="AL71" s="8"/>
      <c r="AM71" s="8"/>
      <c r="AN71" s="8"/>
      <c r="AO71" s="8"/>
      <c r="AP71" s="8"/>
    </row>
    <row r="72" spans="1:42" x14ac:dyDescent="0.15">
      <c r="A72" s="721">
        <v>5062</v>
      </c>
      <c r="B72" s="486">
        <f t="shared" si="60"/>
        <v>24.752475247524753</v>
      </c>
      <c r="C72" s="717" t="s">
        <v>170</v>
      </c>
      <c r="D72" s="141">
        <f ca="1">OFFSET('IE SUMMARY'!D48,0,MoveCount)</f>
        <v>554.20000000000005</v>
      </c>
      <c r="E72" s="279">
        <v>2500</v>
      </c>
      <c r="F72" s="340">
        <f>E72/12</f>
        <v>208.33333333333334</v>
      </c>
      <c r="G72" s="279">
        <f t="shared" ref="G72:AH72" si="108">F72*(1+GlobalInflation)</f>
        <v>212.5</v>
      </c>
      <c r="H72" s="279">
        <f t="shared" si="108"/>
        <v>216.75</v>
      </c>
      <c r="I72" s="279">
        <f t="shared" si="108"/>
        <v>221.08500000000001</v>
      </c>
      <c r="J72" s="279">
        <f t="shared" si="108"/>
        <v>225.50670000000002</v>
      </c>
      <c r="K72" s="279">
        <f t="shared" si="108"/>
        <v>230.01683400000002</v>
      </c>
      <c r="L72" s="279">
        <f t="shared" si="108"/>
        <v>234.61717068000002</v>
      </c>
      <c r="M72" s="279">
        <f t="shared" si="108"/>
        <v>239.30951409360003</v>
      </c>
      <c r="N72" s="279">
        <f t="shared" si="108"/>
        <v>244.09570437547202</v>
      </c>
      <c r="O72" s="279">
        <f t="shared" si="108"/>
        <v>248.97761846298147</v>
      </c>
      <c r="P72" s="279">
        <f t="shared" si="108"/>
        <v>253.9571708322411</v>
      </c>
      <c r="Q72" s="279">
        <f t="shared" si="108"/>
        <v>259.03631424888596</v>
      </c>
      <c r="R72" s="279">
        <f t="shared" si="108"/>
        <v>264.21704053386367</v>
      </c>
      <c r="S72" s="279">
        <f t="shared" si="108"/>
        <v>269.50138134454096</v>
      </c>
      <c r="T72" s="279">
        <f t="shared" si="108"/>
        <v>274.89140897143176</v>
      </c>
      <c r="U72" s="279">
        <f t="shared" si="108"/>
        <v>280.38923715086042</v>
      </c>
      <c r="V72" s="279">
        <f t="shared" si="108"/>
        <v>285.99702189387762</v>
      </c>
      <c r="W72" s="279">
        <f t="shared" si="108"/>
        <v>291.71696233175516</v>
      </c>
      <c r="X72" s="279">
        <f t="shared" si="108"/>
        <v>297.55130157839028</v>
      </c>
      <c r="Y72" s="279">
        <f t="shared" si="108"/>
        <v>303.50232760995812</v>
      </c>
      <c r="Z72" s="279">
        <f t="shared" si="108"/>
        <v>309.5723741621573</v>
      </c>
      <c r="AA72" s="279">
        <f t="shared" si="108"/>
        <v>315.76382164540047</v>
      </c>
      <c r="AB72" s="279">
        <f t="shared" si="108"/>
        <v>322.0790980783085</v>
      </c>
      <c r="AC72" s="279">
        <f t="shared" si="108"/>
        <v>328.52068003987466</v>
      </c>
      <c r="AD72" s="279">
        <f t="shared" si="108"/>
        <v>335.09109364067217</v>
      </c>
      <c r="AE72" s="279">
        <f t="shared" si="108"/>
        <v>341.79291551348564</v>
      </c>
      <c r="AF72" s="279">
        <f t="shared" si="108"/>
        <v>348.62877382375535</v>
      </c>
      <c r="AG72" s="279">
        <f t="shared" si="108"/>
        <v>355.60134930023048</v>
      </c>
      <c r="AH72" s="279">
        <f t="shared" si="108"/>
        <v>362.71337628623507</v>
      </c>
      <c r="AI72" s="279">
        <f t="shared" si="63"/>
        <v>369.96764381195976</v>
      </c>
      <c r="AJ72" s="279">
        <f t="shared" si="64"/>
        <v>377.36699668819898</v>
      </c>
      <c r="AK72" s="8"/>
      <c r="AL72" s="8"/>
      <c r="AM72" s="8"/>
      <c r="AN72" s="8"/>
      <c r="AO72" s="8"/>
      <c r="AP72" s="8"/>
    </row>
    <row r="73" spans="1:42" x14ac:dyDescent="0.15">
      <c r="A73" s="721">
        <v>5302</v>
      </c>
      <c r="B73" s="486">
        <f t="shared" si="60"/>
        <v>16.831683168316832</v>
      </c>
      <c r="C73" s="717" t="s">
        <v>171</v>
      </c>
      <c r="D73" s="141">
        <f ca="1">OFFSET('IE SUMMARY'!D49,0,MoveCount)</f>
        <v>0</v>
      </c>
      <c r="E73" s="279">
        <v>1700</v>
      </c>
      <c r="F73" s="340">
        <f t="shared" si="101"/>
        <v>141.66666666666666</v>
      </c>
      <c r="G73" s="279">
        <f t="shared" ref="G73:AH73" si="109">F73*(1+GlobalInflation)</f>
        <v>144.5</v>
      </c>
      <c r="H73" s="279">
        <f t="shared" si="109"/>
        <v>147.39000000000001</v>
      </c>
      <c r="I73" s="279">
        <f t="shared" si="109"/>
        <v>150.33780000000002</v>
      </c>
      <c r="J73" s="279">
        <f t="shared" si="109"/>
        <v>153.34455600000001</v>
      </c>
      <c r="K73" s="279">
        <f t="shared" si="109"/>
        <v>156.41144712000002</v>
      </c>
      <c r="L73" s="279">
        <f t="shared" si="109"/>
        <v>159.53967606240002</v>
      </c>
      <c r="M73" s="279">
        <f t="shared" si="109"/>
        <v>162.73046958364802</v>
      </c>
      <c r="N73" s="279">
        <f t="shared" si="109"/>
        <v>165.98507897532099</v>
      </c>
      <c r="O73" s="279">
        <f t="shared" si="109"/>
        <v>169.3047805548274</v>
      </c>
      <c r="P73" s="279">
        <f t="shared" si="109"/>
        <v>172.69087616592395</v>
      </c>
      <c r="Q73" s="279">
        <f t="shared" si="109"/>
        <v>176.14469368924244</v>
      </c>
      <c r="R73" s="279">
        <f t="shared" si="109"/>
        <v>179.6675875630273</v>
      </c>
      <c r="S73" s="279">
        <f t="shared" si="109"/>
        <v>183.26093931428784</v>
      </c>
      <c r="T73" s="279">
        <f t="shared" si="109"/>
        <v>186.92615810057359</v>
      </c>
      <c r="U73" s="279">
        <f t="shared" si="109"/>
        <v>190.66468126258505</v>
      </c>
      <c r="V73" s="279">
        <f t="shared" si="109"/>
        <v>194.47797488783675</v>
      </c>
      <c r="W73" s="279">
        <f t="shared" si="109"/>
        <v>198.3675343855935</v>
      </c>
      <c r="X73" s="279">
        <f t="shared" si="109"/>
        <v>202.33488507330537</v>
      </c>
      <c r="Y73" s="279">
        <f t="shared" si="109"/>
        <v>206.38158277477149</v>
      </c>
      <c r="Z73" s="279">
        <f t="shared" si="109"/>
        <v>210.50921443026692</v>
      </c>
      <c r="AA73" s="279">
        <f t="shared" si="109"/>
        <v>214.71939871887227</v>
      </c>
      <c r="AB73" s="279">
        <f t="shared" si="109"/>
        <v>219.01378669324973</v>
      </c>
      <c r="AC73" s="279">
        <f t="shared" si="109"/>
        <v>223.39406242711473</v>
      </c>
      <c r="AD73" s="279">
        <f t="shared" si="109"/>
        <v>227.86194367565705</v>
      </c>
      <c r="AE73" s="279">
        <f t="shared" si="109"/>
        <v>232.41918254917019</v>
      </c>
      <c r="AF73" s="279">
        <f t="shared" si="109"/>
        <v>237.06756620015361</v>
      </c>
      <c r="AG73" s="279">
        <f t="shared" si="109"/>
        <v>241.80891752415667</v>
      </c>
      <c r="AH73" s="279">
        <f t="shared" si="109"/>
        <v>246.64509587463979</v>
      </c>
      <c r="AI73" s="279">
        <f t="shared" si="63"/>
        <v>251.57799779213261</v>
      </c>
      <c r="AJ73" s="279">
        <f t="shared" si="64"/>
        <v>256.60955774797526</v>
      </c>
      <c r="AK73" s="8"/>
      <c r="AL73" s="8"/>
      <c r="AM73" s="8"/>
      <c r="AN73" s="8"/>
      <c r="AO73" s="8"/>
      <c r="AP73" s="8"/>
    </row>
    <row r="74" spans="1:42" x14ac:dyDescent="0.15">
      <c r="A74" s="721">
        <v>5001</v>
      </c>
      <c r="B74" s="486">
        <f t="shared" si="60"/>
        <v>0</v>
      </c>
      <c r="C74" s="717" t="s">
        <v>172</v>
      </c>
      <c r="D74" s="141">
        <f ca="1">OFFSET('IE SUMMARY'!D50,0,MoveCount)</f>
        <v>0</v>
      </c>
      <c r="E74" s="279">
        <v>0</v>
      </c>
      <c r="F74" s="340">
        <f t="shared" si="101"/>
        <v>0</v>
      </c>
      <c r="G74" s="279">
        <f t="shared" ref="G74:AH74" si="110">F74*(1+GlobalInflation)</f>
        <v>0</v>
      </c>
      <c r="H74" s="279">
        <f t="shared" si="110"/>
        <v>0</v>
      </c>
      <c r="I74" s="279">
        <f t="shared" si="110"/>
        <v>0</v>
      </c>
      <c r="J74" s="279">
        <f t="shared" si="110"/>
        <v>0</v>
      </c>
      <c r="K74" s="279">
        <f t="shared" si="110"/>
        <v>0</v>
      </c>
      <c r="L74" s="279">
        <f t="shared" si="110"/>
        <v>0</v>
      </c>
      <c r="M74" s="279">
        <f t="shared" si="110"/>
        <v>0</v>
      </c>
      <c r="N74" s="279">
        <f t="shared" si="110"/>
        <v>0</v>
      </c>
      <c r="O74" s="279">
        <f t="shared" si="110"/>
        <v>0</v>
      </c>
      <c r="P74" s="279">
        <f t="shared" si="110"/>
        <v>0</v>
      </c>
      <c r="Q74" s="279">
        <f t="shared" si="110"/>
        <v>0</v>
      </c>
      <c r="R74" s="279">
        <f t="shared" si="110"/>
        <v>0</v>
      </c>
      <c r="S74" s="279">
        <f t="shared" si="110"/>
        <v>0</v>
      </c>
      <c r="T74" s="279">
        <f t="shared" si="110"/>
        <v>0</v>
      </c>
      <c r="U74" s="279">
        <f t="shared" si="110"/>
        <v>0</v>
      </c>
      <c r="V74" s="279">
        <f t="shared" si="110"/>
        <v>0</v>
      </c>
      <c r="W74" s="279">
        <f t="shared" si="110"/>
        <v>0</v>
      </c>
      <c r="X74" s="279">
        <f t="shared" si="110"/>
        <v>0</v>
      </c>
      <c r="Y74" s="279">
        <f t="shared" si="110"/>
        <v>0</v>
      </c>
      <c r="Z74" s="279">
        <f t="shared" si="110"/>
        <v>0</v>
      </c>
      <c r="AA74" s="279">
        <f t="shared" si="110"/>
        <v>0</v>
      </c>
      <c r="AB74" s="279">
        <f t="shared" si="110"/>
        <v>0</v>
      </c>
      <c r="AC74" s="279">
        <f t="shared" si="110"/>
        <v>0</v>
      </c>
      <c r="AD74" s="279">
        <f t="shared" si="110"/>
        <v>0</v>
      </c>
      <c r="AE74" s="279">
        <f t="shared" si="110"/>
        <v>0</v>
      </c>
      <c r="AF74" s="279">
        <f t="shared" si="110"/>
        <v>0</v>
      </c>
      <c r="AG74" s="279">
        <f t="shared" si="110"/>
        <v>0</v>
      </c>
      <c r="AH74" s="279">
        <f t="shared" si="110"/>
        <v>0</v>
      </c>
      <c r="AI74" s="279">
        <f t="shared" si="63"/>
        <v>0</v>
      </c>
      <c r="AJ74" s="279">
        <f t="shared" si="64"/>
        <v>0</v>
      </c>
      <c r="AK74" s="8"/>
      <c r="AL74" s="8"/>
      <c r="AM74" s="8"/>
      <c r="AN74" s="8"/>
      <c r="AO74" s="8"/>
      <c r="AP74" s="8"/>
    </row>
    <row r="75" spans="1:42" x14ac:dyDescent="0.15">
      <c r="A75" s="721">
        <v>5061</v>
      </c>
      <c r="B75" s="486">
        <f t="shared" si="60"/>
        <v>24.257425742574256</v>
      </c>
      <c r="C75" s="717" t="s">
        <v>173</v>
      </c>
      <c r="D75" s="141">
        <f ca="1">OFFSET('IE SUMMARY'!D51,0,MoveCount)</f>
        <v>2647.12</v>
      </c>
      <c r="E75" s="279">
        <v>2450</v>
      </c>
      <c r="F75" s="340">
        <f>E75/12</f>
        <v>204.16666666666666</v>
      </c>
      <c r="G75" s="279">
        <f t="shared" ref="G75:AH75" si="111">F75*(1+GlobalInflation)</f>
        <v>208.25</v>
      </c>
      <c r="H75" s="279">
        <f t="shared" si="111"/>
        <v>212.41499999999999</v>
      </c>
      <c r="I75" s="279">
        <f t="shared" si="111"/>
        <v>216.66329999999999</v>
      </c>
      <c r="J75" s="279">
        <f t="shared" si="111"/>
        <v>220.996566</v>
      </c>
      <c r="K75" s="279">
        <f t="shared" si="111"/>
        <v>225.41649732000002</v>
      </c>
      <c r="L75" s="279">
        <f t="shared" si="111"/>
        <v>229.92482726640003</v>
      </c>
      <c r="M75" s="279">
        <f t="shared" si="111"/>
        <v>234.52332381172803</v>
      </c>
      <c r="N75" s="279">
        <f t="shared" si="111"/>
        <v>239.21379028796261</v>
      </c>
      <c r="O75" s="279">
        <f t="shared" si="111"/>
        <v>243.99806609372186</v>
      </c>
      <c r="P75" s="279">
        <f t="shared" si="111"/>
        <v>248.87802741559631</v>
      </c>
      <c r="Q75" s="279">
        <f t="shared" si="111"/>
        <v>253.85558796390825</v>
      </c>
      <c r="R75" s="279">
        <f t="shared" si="111"/>
        <v>258.93269972318643</v>
      </c>
      <c r="S75" s="279">
        <f t="shared" si="111"/>
        <v>264.11135371765016</v>
      </c>
      <c r="T75" s="279">
        <f t="shared" si="111"/>
        <v>269.39358079200315</v>
      </c>
      <c r="U75" s="279">
        <f t="shared" si="111"/>
        <v>274.78145240784323</v>
      </c>
      <c r="V75" s="279">
        <f t="shared" si="111"/>
        <v>280.27708145600008</v>
      </c>
      <c r="W75" s="279">
        <f t="shared" si="111"/>
        <v>285.88262308512009</v>
      </c>
      <c r="X75" s="279">
        <f t="shared" si="111"/>
        <v>291.6002755468225</v>
      </c>
      <c r="Y75" s="279">
        <f t="shared" si="111"/>
        <v>297.43228105775898</v>
      </c>
      <c r="Z75" s="279">
        <f t="shared" si="111"/>
        <v>303.38092667891419</v>
      </c>
      <c r="AA75" s="279">
        <f t="shared" si="111"/>
        <v>309.44854521249249</v>
      </c>
      <c r="AB75" s="279">
        <f t="shared" si="111"/>
        <v>315.63751611674235</v>
      </c>
      <c r="AC75" s="279">
        <f t="shared" si="111"/>
        <v>321.95026643907721</v>
      </c>
      <c r="AD75" s="279">
        <f t="shared" si="111"/>
        <v>328.38927176785876</v>
      </c>
      <c r="AE75" s="279">
        <f t="shared" si="111"/>
        <v>334.95705720321592</v>
      </c>
      <c r="AF75" s="279">
        <f t="shared" si="111"/>
        <v>341.65619834728022</v>
      </c>
      <c r="AG75" s="279">
        <f t="shared" si="111"/>
        <v>348.48932231422583</v>
      </c>
      <c r="AH75" s="279">
        <f t="shared" si="111"/>
        <v>355.45910876051033</v>
      </c>
      <c r="AI75" s="279">
        <f t="shared" si="63"/>
        <v>362.56829093572054</v>
      </c>
      <c r="AJ75" s="279">
        <f t="shared" si="64"/>
        <v>369.81965675443496</v>
      </c>
      <c r="AK75" s="8"/>
      <c r="AL75" s="8"/>
      <c r="AM75" s="8"/>
      <c r="AN75" s="8"/>
      <c r="AO75" s="8"/>
      <c r="AP75" s="8"/>
    </row>
    <row r="76" spans="1:42" x14ac:dyDescent="0.15">
      <c r="A76" s="721">
        <v>5304</v>
      </c>
      <c r="B76" s="486">
        <f t="shared" ca="1" si="60"/>
        <v>32.50871287128713</v>
      </c>
      <c r="C76" s="717" t="s">
        <v>174</v>
      </c>
      <c r="D76" s="141">
        <f ca="1">OFFSET('IE SUMMARY'!D52,0,MoveCount)</f>
        <v>3219</v>
      </c>
      <c r="E76" s="279">
        <f ca="1">+D76*1.02</f>
        <v>3283.38</v>
      </c>
      <c r="F76" s="340">
        <f ca="1">E76/12</f>
        <v>273.61500000000001</v>
      </c>
      <c r="G76" s="279">
        <f t="shared" ref="G76:AH76" ca="1" si="112">F76*(1+GlobalInflation)</f>
        <v>279.08730000000003</v>
      </c>
      <c r="H76" s="279">
        <f t="shared" ca="1" si="112"/>
        <v>284.66904600000004</v>
      </c>
      <c r="I76" s="279">
        <f t="shared" ca="1" si="112"/>
        <v>290.36242692000002</v>
      </c>
      <c r="J76" s="279">
        <f t="shared" ca="1" si="112"/>
        <v>296.16967545840004</v>
      </c>
      <c r="K76" s="279">
        <f t="shared" ca="1" si="112"/>
        <v>302.09306896756806</v>
      </c>
      <c r="L76" s="279">
        <f t="shared" ca="1" si="112"/>
        <v>308.13493034691942</v>
      </c>
      <c r="M76" s="279">
        <f t="shared" ca="1" si="112"/>
        <v>314.29762895385784</v>
      </c>
      <c r="N76" s="279">
        <f t="shared" ca="1" si="112"/>
        <v>320.583581532935</v>
      </c>
      <c r="O76" s="279">
        <f t="shared" ca="1" si="112"/>
        <v>326.9952531635937</v>
      </c>
      <c r="P76" s="279">
        <f t="shared" ca="1" si="112"/>
        <v>333.53515822686558</v>
      </c>
      <c r="Q76" s="279">
        <f t="shared" ca="1" si="112"/>
        <v>340.20586139140289</v>
      </c>
      <c r="R76" s="279">
        <f t="shared" ca="1" si="112"/>
        <v>347.00997861923094</v>
      </c>
      <c r="S76" s="279">
        <f t="shared" ca="1" si="112"/>
        <v>353.95017819161558</v>
      </c>
      <c r="T76" s="279">
        <f t="shared" ca="1" si="112"/>
        <v>361.02918175544789</v>
      </c>
      <c r="U76" s="279">
        <f t="shared" ca="1" si="112"/>
        <v>368.24976539055683</v>
      </c>
      <c r="V76" s="279">
        <f t="shared" ca="1" si="112"/>
        <v>375.614760698368</v>
      </c>
      <c r="W76" s="279">
        <f t="shared" ca="1" si="112"/>
        <v>383.12705591233538</v>
      </c>
      <c r="X76" s="279">
        <f t="shared" ca="1" si="112"/>
        <v>390.78959703058212</v>
      </c>
      <c r="Y76" s="279">
        <f t="shared" ca="1" si="112"/>
        <v>398.60538897119375</v>
      </c>
      <c r="Z76" s="279">
        <f t="shared" ca="1" si="112"/>
        <v>406.57749675061763</v>
      </c>
      <c r="AA76" s="279">
        <f t="shared" ca="1" si="112"/>
        <v>414.70904668562997</v>
      </c>
      <c r="AB76" s="279">
        <f t="shared" ca="1" si="112"/>
        <v>423.00322761934257</v>
      </c>
      <c r="AC76" s="279">
        <f t="shared" ca="1" si="112"/>
        <v>431.46329217172945</v>
      </c>
      <c r="AD76" s="279">
        <f t="shared" ca="1" si="112"/>
        <v>440.09255801516406</v>
      </c>
      <c r="AE76" s="279">
        <f t="shared" ca="1" si="112"/>
        <v>448.89440917546733</v>
      </c>
      <c r="AF76" s="279">
        <f t="shared" ca="1" si="112"/>
        <v>457.87229735897671</v>
      </c>
      <c r="AG76" s="279">
        <f t="shared" ca="1" si="112"/>
        <v>467.02974330615626</v>
      </c>
      <c r="AH76" s="279">
        <f t="shared" ca="1" si="112"/>
        <v>476.37033817227939</v>
      </c>
      <c r="AI76" s="279">
        <f t="shared" ca="1" si="63"/>
        <v>485.89774493572497</v>
      </c>
      <c r="AJ76" s="279">
        <f t="shared" ca="1" si="64"/>
        <v>495.61569983443945</v>
      </c>
      <c r="AK76" s="8"/>
      <c r="AL76" s="8"/>
      <c r="AM76" s="8"/>
      <c r="AN76" s="8"/>
      <c r="AO76" s="8"/>
      <c r="AP76" s="8"/>
    </row>
    <row r="77" spans="1:42" x14ac:dyDescent="0.15">
      <c r="A77" s="721">
        <v>5064</v>
      </c>
      <c r="B77" s="486">
        <f t="shared" si="60"/>
        <v>0</v>
      </c>
      <c r="C77" s="717" t="s">
        <v>175</v>
      </c>
      <c r="D77" s="141">
        <f ca="1">OFFSET('IE SUMMARY'!D53,0,MoveCount)</f>
        <v>24</v>
      </c>
      <c r="E77" s="279">
        <v>0</v>
      </c>
      <c r="F77" s="340">
        <f>E77/12</f>
        <v>0</v>
      </c>
      <c r="G77" s="279">
        <f t="shared" ref="G77:AH77" si="113">F77*(1+GlobalInflation)</f>
        <v>0</v>
      </c>
      <c r="H77" s="279">
        <f t="shared" si="113"/>
        <v>0</v>
      </c>
      <c r="I77" s="279">
        <f t="shared" si="113"/>
        <v>0</v>
      </c>
      <c r="J77" s="279">
        <f t="shared" si="113"/>
        <v>0</v>
      </c>
      <c r="K77" s="279">
        <f t="shared" si="113"/>
        <v>0</v>
      </c>
      <c r="L77" s="279">
        <f t="shared" si="113"/>
        <v>0</v>
      </c>
      <c r="M77" s="279">
        <f t="shared" si="113"/>
        <v>0</v>
      </c>
      <c r="N77" s="279">
        <f t="shared" si="113"/>
        <v>0</v>
      </c>
      <c r="O77" s="279">
        <f t="shared" si="113"/>
        <v>0</v>
      </c>
      <c r="P77" s="279">
        <f t="shared" si="113"/>
        <v>0</v>
      </c>
      <c r="Q77" s="279">
        <f t="shared" si="113"/>
        <v>0</v>
      </c>
      <c r="R77" s="279">
        <f t="shared" si="113"/>
        <v>0</v>
      </c>
      <c r="S77" s="279">
        <f t="shared" si="113"/>
        <v>0</v>
      </c>
      <c r="T77" s="279">
        <f t="shared" si="113"/>
        <v>0</v>
      </c>
      <c r="U77" s="279">
        <f t="shared" si="113"/>
        <v>0</v>
      </c>
      <c r="V77" s="279">
        <f t="shared" si="113"/>
        <v>0</v>
      </c>
      <c r="W77" s="279">
        <f t="shared" si="113"/>
        <v>0</v>
      </c>
      <c r="X77" s="279">
        <f t="shared" si="113"/>
        <v>0</v>
      </c>
      <c r="Y77" s="279">
        <f t="shared" si="113"/>
        <v>0</v>
      </c>
      <c r="Z77" s="279">
        <f t="shared" si="113"/>
        <v>0</v>
      </c>
      <c r="AA77" s="279">
        <f t="shared" si="113"/>
        <v>0</v>
      </c>
      <c r="AB77" s="279">
        <f t="shared" si="113"/>
        <v>0</v>
      </c>
      <c r="AC77" s="279">
        <f t="shared" si="113"/>
        <v>0</v>
      </c>
      <c r="AD77" s="279">
        <f t="shared" si="113"/>
        <v>0</v>
      </c>
      <c r="AE77" s="279">
        <f t="shared" si="113"/>
        <v>0</v>
      </c>
      <c r="AF77" s="279">
        <f t="shared" si="113"/>
        <v>0</v>
      </c>
      <c r="AG77" s="279">
        <f t="shared" si="113"/>
        <v>0</v>
      </c>
      <c r="AH77" s="279">
        <f t="shared" si="113"/>
        <v>0</v>
      </c>
      <c r="AI77" s="279">
        <f t="shared" si="63"/>
        <v>0</v>
      </c>
      <c r="AJ77" s="279">
        <f t="shared" si="64"/>
        <v>0</v>
      </c>
      <c r="AK77" s="8"/>
      <c r="AL77" s="8"/>
      <c r="AM77" s="8"/>
      <c r="AN77" s="8"/>
      <c r="AO77" s="8"/>
      <c r="AP77" s="8"/>
    </row>
    <row r="78" spans="1:42" x14ac:dyDescent="0.15">
      <c r="A78" s="721">
        <v>5601</v>
      </c>
      <c r="B78" s="486">
        <f t="shared" si="60"/>
        <v>14.851485148514852</v>
      </c>
      <c r="C78" s="717" t="s">
        <v>176</v>
      </c>
      <c r="D78" s="141">
        <f ca="1">OFFSET('IE SUMMARY'!D54,0,MoveCount)</f>
        <v>8831.06</v>
      </c>
      <c r="E78" s="279">
        <v>1500</v>
      </c>
      <c r="F78" s="340">
        <f>E78/12</f>
        <v>125</v>
      </c>
      <c r="G78" s="279">
        <f t="shared" ref="G78:AH78" si="114">F78*(1+GlobalInflation)</f>
        <v>127.5</v>
      </c>
      <c r="H78" s="279">
        <f t="shared" si="114"/>
        <v>130.05000000000001</v>
      </c>
      <c r="I78" s="279">
        <f t="shared" si="114"/>
        <v>132.65100000000001</v>
      </c>
      <c r="J78" s="279">
        <f t="shared" si="114"/>
        <v>135.30402000000001</v>
      </c>
      <c r="K78" s="279">
        <f t="shared" si="114"/>
        <v>138.0101004</v>
      </c>
      <c r="L78" s="279">
        <f t="shared" si="114"/>
        <v>140.77030240799999</v>
      </c>
      <c r="M78" s="279">
        <f t="shared" si="114"/>
        <v>143.58570845616001</v>
      </c>
      <c r="N78" s="279">
        <f t="shared" si="114"/>
        <v>146.45742262528321</v>
      </c>
      <c r="O78" s="279">
        <f t="shared" si="114"/>
        <v>149.38657107778889</v>
      </c>
      <c r="P78" s="279">
        <f t="shared" si="114"/>
        <v>152.37430249934468</v>
      </c>
      <c r="Q78" s="279">
        <f t="shared" si="114"/>
        <v>155.42178854933158</v>
      </c>
      <c r="R78" s="279">
        <f t="shared" si="114"/>
        <v>158.53022432031821</v>
      </c>
      <c r="S78" s="279">
        <f t="shared" si="114"/>
        <v>161.70082880672459</v>
      </c>
      <c r="T78" s="279">
        <f t="shared" si="114"/>
        <v>164.93484538285909</v>
      </c>
      <c r="U78" s="279">
        <f t="shared" si="114"/>
        <v>168.23354229051628</v>
      </c>
      <c r="V78" s="279">
        <f t="shared" si="114"/>
        <v>171.59821313632662</v>
      </c>
      <c r="W78" s="279">
        <f t="shared" si="114"/>
        <v>175.03017739905314</v>
      </c>
      <c r="X78" s="279">
        <f t="shared" si="114"/>
        <v>178.5307809470342</v>
      </c>
      <c r="Y78" s="279">
        <f t="shared" si="114"/>
        <v>182.10139656597488</v>
      </c>
      <c r="Z78" s="279">
        <f t="shared" si="114"/>
        <v>185.74342449729437</v>
      </c>
      <c r="AA78" s="279">
        <f t="shared" si="114"/>
        <v>189.45829298724027</v>
      </c>
      <c r="AB78" s="279">
        <f t="shared" si="114"/>
        <v>193.24745884698507</v>
      </c>
      <c r="AC78" s="279">
        <f t="shared" si="114"/>
        <v>197.11240802392479</v>
      </c>
      <c r="AD78" s="279">
        <f t="shared" si="114"/>
        <v>201.05465618440329</v>
      </c>
      <c r="AE78" s="279">
        <f t="shared" si="114"/>
        <v>205.07574930809136</v>
      </c>
      <c r="AF78" s="279">
        <f t="shared" si="114"/>
        <v>209.17726429425318</v>
      </c>
      <c r="AG78" s="279">
        <f t="shared" si="114"/>
        <v>213.36080958013824</v>
      </c>
      <c r="AH78" s="279">
        <f t="shared" si="114"/>
        <v>217.62802577174099</v>
      </c>
      <c r="AI78" s="279">
        <f t="shared" si="63"/>
        <v>221.98058628717581</v>
      </c>
      <c r="AJ78" s="279">
        <f t="shared" si="64"/>
        <v>226.42019801291934</v>
      </c>
      <c r="AK78" s="8"/>
      <c r="AL78" s="8"/>
      <c r="AM78" s="8"/>
      <c r="AN78" s="8"/>
      <c r="AO78" s="8"/>
      <c r="AP78" s="8"/>
    </row>
    <row r="79" spans="1:42" x14ac:dyDescent="0.15">
      <c r="A79" s="721">
        <v>5000</v>
      </c>
      <c r="B79" s="486">
        <f t="shared" si="60"/>
        <v>240.04297029702974</v>
      </c>
      <c r="C79" s="717" t="str">
        <f>"Professional Mgmt ("&amp;TEXT(MgmtFeeLimit,"$0,0")&amp;"/mo or "&amp;TEXT(MgmtFee,"0.0%"&amp;")")</f>
        <v>Professional Mgmt ($2,000/mo or 5.0%)</v>
      </c>
      <c r="D79" s="141">
        <f ca="1">OFFSET('IE SUMMARY'!D55,0,MoveCount)</f>
        <v>0</v>
      </c>
      <c r="E79" s="279">
        <f>F79*12</f>
        <v>24244.340000000004</v>
      </c>
      <c r="F79" s="341">
        <f t="shared" ref="F79:AH79" si="115">IF(F53*MgmtFee&gt;MgmtFeeLimit,F53*MgmtFee,MgmtFeeLimit)</f>
        <v>2020.3616666666669</v>
      </c>
      <c r="G79" s="279">
        <f t="shared" ca="1" si="115"/>
        <v>2777.7347729025005</v>
      </c>
      <c r="H79" s="279">
        <f t="shared" ca="1" si="115"/>
        <v>3308.0350683605502</v>
      </c>
      <c r="I79" s="279">
        <f t="shared" ca="1" si="115"/>
        <v>3457.2713697277609</v>
      </c>
      <c r="J79" s="279">
        <f t="shared" ca="1" si="115"/>
        <v>3607.9982371223159</v>
      </c>
      <c r="K79" s="279">
        <f t="shared" ca="1" si="115"/>
        <v>3760.2723554647632</v>
      </c>
      <c r="L79" s="279">
        <f t="shared" ca="1" si="115"/>
        <v>3902.8894183180573</v>
      </c>
      <c r="M79" s="279">
        <f t="shared" ca="1" si="115"/>
        <v>4051.0552870581787</v>
      </c>
      <c r="N79" s="279">
        <f t="shared" ca="1" si="115"/>
        <v>4204.9887963880537</v>
      </c>
      <c r="O79" s="279">
        <f t="shared" ca="1" si="115"/>
        <v>4364.9174720480742</v>
      </c>
      <c r="P79" s="279">
        <f t="shared" ca="1" si="115"/>
        <v>4531.0778772105841</v>
      </c>
      <c r="Q79" s="279">
        <f t="shared" ca="1" si="115"/>
        <v>4703.7159727052076</v>
      </c>
      <c r="R79" s="279">
        <f t="shared" ca="1" si="115"/>
        <v>4883.0874916277398</v>
      </c>
      <c r="S79" s="279">
        <f t="shared" ca="1" si="115"/>
        <v>5069.458328907459</v>
      </c>
      <c r="T79" s="279">
        <f t="shared" ca="1" si="115"/>
        <v>5263.1049464306598</v>
      </c>
      <c r="U79" s="279">
        <f t="shared" ca="1" si="115"/>
        <v>5464.3147943421263</v>
      </c>
      <c r="V79" s="279">
        <f t="shared" ca="1" si="115"/>
        <v>5673.3867491711371</v>
      </c>
      <c r="W79" s="279">
        <f t="shared" ca="1" si="115"/>
        <v>5890.6315694544137</v>
      </c>
      <c r="X79" s="279">
        <f t="shared" ca="1" si="115"/>
        <v>6116.3723695553499</v>
      </c>
      <c r="Y79" s="279">
        <f t="shared" ca="1" si="115"/>
        <v>6350.9451124067791</v>
      </c>
      <c r="Z79" s="279">
        <f t="shared" ca="1" si="115"/>
        <v>6594.6991219336505</v>
      </c>
      <c r="AA79" s="279">
        <f t="shared" ca="1" si="115"/>
        <v>6847.9976159422076</v>
      </c>
      <c r="AB79" s="279">
        <f t="shared" ca="1" si="115"/>
        <v>7111.2182602937319</v>
      </c>
      <c r="AC79" s="279">
        <f t="shared" ca="1" si="115"/>
        <v>7384.7537452135948</v>
      </c>
      <c r="AD79" s="279">
        <f t="shared" ca="1" si="115"/>
        <v>7669.0123846204142</v>
      </c>
      <c r="AE79" s="279">
        <f t="shared" ca="1" si="115"/>
        <v>7964.4187393954708</v>
      </c>
      <c r="AF79" s="279">
        <f t="shared" ca="1" si="115"/>
        <v>8271.4142655493379</v>
      </c>
      <c r="AG79" s="279">
        <f t="shared" ca="1" si="115"/>
        <v>8590.4579882809157</v>
      </c>
      <c r="AH79" s="279">
        <f t="shared" ca="1" si="115"/>
        <v>8922.0272029639509</v>
      </c>
      <c r="AI79" s="279">
        <f t="shared" ref="AI79:AJ79" ca="1" si="116">IF(AI53*MgmtFee&gt;MgmtFeeLimit,AI53*MgmtFee,MgmtFeeLimit)</f>
        <v>9266.6182041373449</v>
      </c>
      <c r="AJ79" s="279">
        <f t="shared" ca="1" si="116"/>
        <v>9624.7470436187687</v>
      </c>
      <c r="AK79" s="8"/>
      <c r="AL79" s="8"/>
      <c r="AM79" s="8"/>
      <c r="AN79" s="8"/>
      <c r="AO79" s="8"/>
      <c r="AP79" s="8"/>
    </row>
    <row r="80" spans="1:42" ht="14" thickBot="1" x14ac:dyDescent="0.2">
      <c r="A80" s="708"/>
      <c r="B80" s="644">
        <f ca="1">SUM(B56:B79)</f>
        <v>3011.7674099009905</v>
      </c>
      <c r="C80" s="640" t="s">
        <v>177</v>
      </c>
      <c r="D80" s="641">
        <f ca="1">SUM(D56:D79)/12</f>
        <v>22364.441666666666</v>
      </c>
      <c r="E80" s="642">
        <f ca="1">F80</f>
        <v>25349.042366666672</v>
      </c>
      <c r="F80" s="646">
        <f t="shared" ref="F80:AH80" ca="1" si="117">SUM(F56:F79)</f>
        <v>25349.042366666672</v>
      </c>
      <c r="G80" s="646">
        <f t="shared" ca="1" si="117"/>
        <v>26572.989086902497</v>
      </c>
      <c r="H80" s="646">
        <f t="shared" ca="1" si="117"/>
        <v>27579.194468640551</v>
      </c>
      <c r="I80" s="646">
        <f t="shared" ca="1" si="117"/>
        <v>28213.853958013366</v>
      </c>
      <c r="J80" s="646">
        <f t="shared" ca="1" si="117"/>
        <v>28859.712477173634</v>
      </c>
      <c r="K80" s="646">
        <f t="shared" ca="1" si="117"/>
        <v>29517.020880317097</v>
      </c>
      <c r="L80" s="646">
        <f t="shared" ca="1" si="117"/>
        <v>30174.772913667442</v>
      </c>
      <c r="M80" s="646">
        <f t="shared" ca="1" si="117"/>
        <v>30848.376452314551</v>
      </c>
      <c r="N80" s="646">
        <f t="shared" ca="1" si="117"/>
        <v>31538.256384949553</v>
      </c>
      <c r="O80" s="646">
        <f t="shared" ca="1" si="117"/>
        <v>32244.850412380809</v>
      </c>
      <c r="P80" s="646">
        <f t="shared" ca="1" si="117"/>
        <v>32968.609476349979</v>
      </c>
      <c r="Q80" s="646">
        <f t="shared" ca="1" si="117"/>
        <v>33709.998203827388</v>
      </c>
      <c r="R80" s="646">
        <f t="shared" ca="1" si="117"/>
        <v>34469.495367372365</v>
      </c>
      <c r="S80" s="646">
        <f t="shared" ca="1" si="117"/>
        <v>35247.594362166972</v>
      </c>
      <c r="T80" s="646">
        <f t="shared" ca="1" si="117"/>
        <v>36044.803700355369</v>
      </c>
      <c r="U80" s="646">
        <f t="shared" ca="1" si="117"/>
        <v>36861.647523345324</v>
      </c>
      <c r="V80" s="646">
        <f t="shared" ca="1" si="117"/>
        <v>37698.666132754406</v>
      </c>
      <c r="W80" s="646">
        <f t="shared" ca="1" si="117"/>
        <v>38556.416540709353</v>
      </c>
      <c r="X80" s="646">
        <f t="shared" ca="1" si="117"/>
        <v>39435.473040235374</v>
      </c>
      <c r="Y80" s="646">
        <f t="shared" ca="1" si="117"/>
        <v>40336.427796500408</v>
      </c>
      <c r="Z80" s="646">
        <f t="shared" ca="1" si="117"/>
        <v>41259.891459709157</v>
      </c>
      <c r="AA80" s="646">
        <f t="shared" ca="1" si="117"/>
        <v>42206.493800473218</v>
      </c>
      <c r="AB80" s="646">
        <f t="shared" ca="1" si="117"/>
        <v>43176.88436851537</v>
      </c>
      <c r="AC80" s="646">
        <f t="shared" ca="1" si="117"/>
        <v>44171.733175599657</v>
      </c>
      <c r="AD80" s="646">
        <f t="shared" ca="1" si="117"/>
        <v>45191.73140361422</v>
      </c>
      <c r="AE80" s="646">
        <f t="shared" ca="1" si="117"/>
        <v>46237.592138769141</v>
      </c>
      <c r="AF80" s="646">
        <f t="shared" ca="1" si="117"/>
        <v>47310.051132910477</v>
      </c>
      <c r="AG80" s="646">
        <f t="shared" ca="1" si="117"/>
        <v>48409.867592989292</v>
      </c>
      <c r="AH80" s="646">
        <f t="shared" ca="1" si="117"/>
        <v>49537.824999766497</v>
      </c>
      <c r="AI80" s="646">
        <f t="shared" ref="AI80:AJ80" ca="1" si="118">SUM(AI56:AI79)</f>
        <v>50694.731956875934</v>
      </c>
      <c r="AJ80" s="646">
        <f t="shared" ca="1" si="118"/>
        <v>51881.423071412122</v>
      </c>
      <c r="AK80" s="708"/>
      <c r="AL80" s="708"/>
      <c r="AM80" s="708"/>
      <c r="AN80" s="708"/>
      <c r="AO80" s="708"/>
      <c r="AP80" s="708"/>
    </row>
    <row r="81" spans="2:78" ht="14" thickTop="1" x14ac:dyDescent="0.15">
      <c r="B81" s="704">
        <f ca="1">B69/B80</f>
        <v>0.22156976065437708</v>
      </c>
      <c r="C81" s="10"/>
      <c r="D81" s="289" t="str">
        <f ca="1">TEXT(SUM(D56:D79),"0,0")&amp;"  ("&amp;TEXT((SUM(D56:D79)/D52),"0%")&amp;")"</f>
        <v>268,373  (56%)</v>
      </c>
      <c r="E81" s="339">
        <f ca="1">E80*12</f>
        <v>304188.50840000005</v>
      </c>
      <c r="F81" s="300" t="str">
        <f t="shared" ref="F81:K81" ca="1" si="119">"Ratio= "&amp;TEXT(F80/F53,"0%")</f>
        <v>Ratio= 63%</v>
      </c>
      <c r="G81" s="300" t="str">
        <f t="shared" ca="1" si="119"/>
        <v>Ratio= 48%</v>
      </c>
      <c r="H81" s="300" t="str">
        <f t="shared" ca="1" si="119"/>
        <v>Ratio= 42%</v>
      </c>
      <c r="I81" s="300" t="str">
        <f t="shared" ca="1" si="119"/>
        <v>Ratio= 41%</v>
      </c>
      <c r="J81" s="300" t="str">
        <f t="shared" ca="1" si="119"/>
        <v>Ratio= 40%</v>
      </c>
      <c r="K81" s="300" t="str">
        <f t="shared" ca="1" si="119"/>
        <v>Ratio= 39%</v>
      </c>
      <c r="L81" s="342"/>
      <c r="M81" s="708"/>
      <c r="N81" s="708"/>
      <c r="O81" s="708"/>
      <c r="P81" s="708"/>
      <c r="Q81" s="708"/>
      <c r="R81" s="708"/>
      <c r="S81" s="708"/>
      <c r="T81" s="708"/>
      <c r="U81" s="708"/>
      <c r="V81" s="708"/>
      <c r="W81" s="708"/>
      <c r="X81" s="708"/>
      <c r="Y81" s="708"/>
      <c r="Z81" s="708"/>
      <c r="AA81" s="708"/>
      <c r="AB81" s="708"/>
      <c r="AC81" s="708"/>
      <c r="AD81" s="708"/>
      <c r="AE81" s="708"/>
      <c r="AF81" s="708"/>
      <c r="AG81" s="708"/>
      <c r="AH81" s="708"/>
      <c r="AI81" s="708"/>
      <c r="AJ81" s="708"/>
      <c r="AK81" s="708"/>
      <c r="AL81" s="708"/>
      <c r="AM81" s="708"/>
      <c r="AN81" s="708"/>
      <c r="AO81" s="708"/>
      <c r="AP81" s="708"/>
      <c r="AQ81" s="708"/>
      <c r="AR81" s="708"/>
      <c r="AS81" s="708"/>
      <c r="AT81" s="708"/>
      <c r="AU81" s="708"/>
      <c r="AV81" s="708"/>
      <c r="AW81" s="708"/>
      <c r="AX81" s="708"/>
      <c r="AY81" s="708"/>
      <c r="AZ81" s="708"/>
      <c r="BA81" s="708"/>
      <c r="BB81" s="708"/>
      <c r="BC81" s="708"/>
      <c r="BD81" s="708"/>
      <c r="BE81" s="708"/>
      <c r="BF81" s="708"/>
      <c r="BG81" s="708"/>
      <c r="BH81" s="708"/>
      <c r="BI81" s="708"/>
      <c r="BJ81" s="708"/>
      <c r="BK81" s="708"/>
      <c r="BL81" s="708"/>
      <c r="BM81" s="708"/>
      <c r="BN81" s="708"/>
      <c r="BO81" s="708"/>
      <c r="BP81" s="708"/>
      <c r="BQ81" s="708"/>
      <c r="BR81" s="708"/>
      <c r="BS81" s="708"/>
      <c r="BT81" s="708"/>
      <c r="BU81" s="708"/>
      <c r="BV81" s="708"/>
      <c r="BW81" s="708"/>
      <c r="BX81" s="708"/>
      <c r="BY81" s="708"/>
      <c r="BZ81" s="708"/>
    </row>
    <row r="82" spans="2:78" ht="6.75" customHeight="1" x14ac:dyDescent="0.15">
      <c r="C82" s="10"/>
      <c r="D82" s="146"/>
      <c r="E82" s="337"/>
      <c r="F82" s="343"/>
      <c r="G82" s="343"/>
      <c r="H82" s="343"/>
      <c r="I82" s="343"/>
      <c r="J82" s="343"/>
      <c r="K82" s="708"/>
      <c r="L82" s="342"/>
      <c r="M82" s="708"/>
      <c r="N82" s="708"/>
      <c r="O82" s="708"/>
      <c r="P82" s="708"/>
      <c r="Q82" s="708"/>
      <c r="R82" s="708"/>
      <c r="S82" s="708"/>
      <c r="T82" s="708"/>
      <c r="U82" s="708"/>
      <c r="V82" s="708"/>
      <c r="W82" s="708"/>
      <c r="X82" s="708"/>
      <c r="Y82" s="708"/>
      <c r="Z82" s="708"/>
      <c r="AA82" s="708"/>
      <c r="AB82" s="708"/>
      <c r="AC82" s="708"/>
      <c r="AD82" s="708"/>
      <c r="AE82" s="708"/>
      <c r="AF82" s="708"/>
      <c r="AG82" s="708"/>
      <c r="AH82" s="708"/>
      <c r="AI82" s="708"/>
      <c r="AJ82" s="708"/>
      <c r="AK82" s="708"/>
      <c r="AL82" s="708"/>
      <c r="AM82" s="708"/>
      <c r="AN82" s="708"/>
      <c r="AO82" s="708"/>
      <c r="AP82" s="708"/>
      <c r="AQ82" s="708"/>
      <c r="AR82" s="708"/>
      <c r="AS82" s="708"/>
      <c r="AT82" s="708"/>
      <c r="AU82" s="708"/>
      <c r="AV82" s="708"/>
      <c r="AW82" s="708"/>
      <c r="AX82" s="708"/>
      <c r="AY82" s="708"/>
      <c r="AZ82" s="708"/>
      <c r="BA82" s="708"/>
      <c r="BB82" s="708"/>
      <c r="BC82" s="708"/>
      <c r="BD82" s="708"/>
      <c r="BE82" s="708"/>
      <c r="BF82" s="708"/>
      <c r="BG82" s="708"/>
      <c r="BH82" s="708"/>
      <c r="BI82" s="708"/>
      <c r="BJ82" s="708"/>
      <c r="BK82" s="708"/>
      <c r="BL82" s="708"/>
      <c r="BM82" s="708"/>
      <c r="BN82" s="708"/>
      <c r="BO82" s="708"/>
      <c r="BP82" s="708"/>
      <c r="BQ82" s="708"/>
      <c r="BR82" s="708"/>
      <c r="BS82" s="708"/>
      <c r="BT82" s="708"/>
      <c r="BU82" s="708"/>
      <c r="BV82" s="708"/>
      <c r="BW82" s="708"/>
      <c r="BX82" s="708"/>
      <c r="BY82" s="708"/>
      <c r="BZ82" s="708"/>
    </row>
    <row r="83" spans="2:78" x14ac:dyDescent="0.15">
      <c r="C83" s="7" t="s">
        <v>178</v>
      </c>
      <c r="D83" s="140">
        <f ca="1">(D53)-D80</f>
        <v>17282.791666666664</v>
      </c>
      <c r="E83" s="337">
        <f t="shared" ref="E83:AH83" ca="1" si="120">E53-E80</f>
        <v>15058.190966666665</v>
      </c>
      <c r="F83" s="279">
        <f t="shared" ca="1" si="120"/>
        <v>15058.190966666665</v>
      </c>
      <c r="G83" s="279">
        <f t="shared" ca="1" si="120"/>
        <v>28981.706371147506</v>
      </c>
      <c r="H83" s="279">
        <f t="shared" ca="1" si="120"/>
        <v>38581.506898570457</v>
      </c>
      <c r="I83" s="279">
        <f t="shared" ca="1" si="120"/>
        <v>40931.573436541847</v>
      </c>
      <c r="J83" s="279">
        <f t="shared" ca="1" si="120"/>
        <v>43300.252265272684</v>
      </c>
      <c r="K83" s="279">
        <f t="shared" ca="1" si="120"/>
        <v>45688.426228978162</v>
      </c>
      <c r="L83" s="279">
        <f t="shared" ca="1" si="120"/>
        <v>47883.015452693697</v>
      </c>
      <c r="M83" s="279">
        <f t="shared" ca="1" si="120"/>
        <v>50172.729288849019</v>
      </c>
      <c r="N83" s="279">
        <f t="shared" ca="1" si="120"/>
        <v>52561.519542811526</v>
      </c>
      <c r="O83" s="279">
        <f t="shared" ca="1" si="120"/>
        <v>55053.499028580671</v>
      </c>
      <c r="P83" s="279">
        <f t="shared" ca="1" si="120"/>
        <v>57652.948067861704</v>
      </c>
      <c r="Q83" s="279">
        <f t="shared" ca="1" si="120"/>
        <v>60364.321250276756</v>
      </c>
      <c r="R83" s="279">
        <f t="shared" ca="1" si="120"/>
        <v>63192.254465182428</v>
      </c>
      <c r="S83" s="279">
        <f t="shared" ca="1" si="120"/>
        <v>66141.572215982203</v>
      </c>
      <c r="T83" s="279">
        <f t="shared" ca="1" si="120"/>
        <v>69217.295228257804</v>
      </c>
      <c r="U83" s="279">
        <f t="shared" ca="1" si="120"/>
        <v>72424.648363497196</v>
      </c>
      <c r="V83" s="279">
        <f t="shared" ca="1" si="120"/>
        <v>75769.068850668322</v>
      </c>
      <c r="W83" s="279">
        <f t="shared" ca="1" si="120"/>
        <v>79256.214848378921</v>
      </c>
      <c r="X83" s="279">
        <f t="shared" ca="1" si="120"/>
        <v>82891.97435087162</v>
      </c>
      <c r="Y83" s="279">
        <f t="shared" ca="1" si="120"/>
        <v>86682.474451635178</v>
      </c>
      <c r="Z83" s="279">
        <f t="shared" ca="1" si="120"/>
        <v>90634.090978963854</v>
      </c>
      <c r="AA83" s="279">
        <f t="shared" ca="1" si="120"/>
        <v>94753.458518370928</v>
      </c>
      <c r="AB83" s="279">
        <f t="shared" ca="1" si="120"/>
        <v>99047.480837359268</v>
      </c>
      <c r="AC83" s="279">
        <f t="shared" ca="1" si="120"/>
        <v>103523.34172867224</v>
      </c>
      <c r="AD83" s="279">
        <f t="shared" ca="1" si="120"/>
        <v>108188.51628879405</v>
      </c>
      <c r="AE83" s="279">
        <f t="shared" ca="1" si="120"/>
        <v>113050.78264914028</v>
      </c>
      <c r="AF83" s="279">
        <f t="shared" ca="1" si="120"/>
        <v>118118.23417807627</v>
      </c>
      <c r="AG83" s="279">
        <f t="shared" ca="1" si="120"/>
        <v>123399.29217262901</v>
      </c>
      <c r="AH83" s="279">
        <f t="shared" ca="1" si="120"/>
        <v>128902.7190595125</v>
      </c>
      <c r="AI83" s="279">
        <f t="shared" ref="AI83:AJ83" ca="1" si="121">AI53-AI80</f>
        <v>134637.63212587094</v>
      </c>
      <c r="AJ83" s="279">
        <f t="shared" ca="1" si="121"/>
        <v>140613.51780096325</v>
      </c>
      <c r="AK83" s="729"/>
      <c r="AL83" s="729"/>
      <c r="AM83" s="729"/>
      <c r="AN83" s="729"/>
      <c r="AO83" s="729"/>
      <c r="AP83" s="729"/>
      <c r="AQ83" s="729"/>
      <c r="AR83" s="729"/>
      <c r="AS83" s="729"/>
      <c r="AT83" s="729"/>
      <c r="AU83" s="729"/>
      <c r="AV83" s="729"/>
      <c r="AW83" s="729"/>
      <c r="AX83" s="729"/>
      <c r="AY83" s="729"/>
      <c r="AZ83" s="729"/>
      <c r="BA83" s="729"/>
      <c r="BB83" s="729"/>
      <c r="BC83" s="729"/>
      <c r="BD83" s="729"/>
      <c r="BE83" s="729"/>
      <c r="BF83" s="729"/>
      <c r="BG83" s="729"/>
      <c r="BH83" s="729"/>
      <c r="BI83" s="729"/>
      <c r="BJ83" s="729"/>
      <c r="BK83" s="729"/>
      <c r="BL83" s="729"/>
      <c r="BM83" s="729"/>
      <c r="BN83" s="729"/>
      <c r="BO83" s="729"/>
      <c r="BP83" s="729"/>
      <c r="BQ83" s="729"/>
      <c r="BR83" s="729"/>
      <c r="BS83" s="729"/>
      <c r="BT83" s="729"/>
      <c r="BU83" s="729"/>
      <c r="BV83" s="729"/>
      <c r="BW83" s="729"/>
      <c r="BX83" s="729"/>
      <c r="BY83" s="729"/>
      <c r="BZ83" s="729"/>
    </row>
    <row r="84" spans="2:78" ht="4.5" customHeight="1" x14ac:dyDescent="0.15">
      <c r="C84" s="708"/>
      <c r="D84" s="140"/>
      <c r="E84" s="344"/>
      <c r="F84" s="279"/>
      <c r="G84" s="279"/>
      <c r="H84" s="279"/>
      <c r="I84" s="279"/>
      <c r="J84" s="279"/>
      <c r="K84" s="279"/>
      <c r="L84" s="279"/>
      <c r="M84" s="279"/>
      <c r="N84" s="279"/>
      <c r="O84" s="279"/>
      <c r="P84" s="279"/>
      <c r="Q84" s="279"/>
      <c r="R84" s="279"/>
      <c r="S84" s="279"/>
      <c r="T84" s="279"/>
      <c r="U84" s="279"/>
      <c r="V84" s="279"/>
      <c r="W84" s="279"/>
      <c r="X84" s="279"/>
      <c r="Y84" s="279"/>
      <c r="Z84" s="279"/>
      <c r="AA84" s="279"/>
      <c r="AB84" s="279"/>
      <c r="AC84" s="279"/>
      <c r="AD84" s="279"/>
      <c r="AE84" s="279"/>
      <c r="AF84" s="279"/>
      <c r="AG84" s="279"/>
      <c r="AH84" s="279"/>
      <c r="AI84" s="279"/>
      <c r="AJ84" s="279"/>
      <c r="AK84" s="729"/>
      <c r="AL84" s="729"/>
      <c r="AM84" s="729"/>
      <c r="AN84" s="729"/>
      <c r="AO84" s="729"/>
      <c r="AP84" s="729"/>
      <c r="AQ84" s="729"/>
      <c r="AR84" s="729"/>
      <c r="AS84" s="729"/>
      <c r="AT84" s="729"/>
      <c r="AU84" s="729"/>
      <c r="AV84" s="729"/>
      <c r="AW84" s="729"/>
      <c r="AX84" s="729"/>
      <c r="AY84" s="729"/>
      <c r="AZ84" s="729"/>
      <c r="BA84" s="729"/>
      <c r="BB84" s="729"/>
      <c r="BC84" s="729"/>
      <c r="BD84" s="729"/>
      <c r="BE84" s="729"/>
      <c r="BF84" s="729"/>
      <c r="BG84" s="729"/>
      <c r="BH84" s="729"/>
      <c r="BI84" s="729"/>
      <c r="BJ84" s="729"/>
      <c r="BK84" s="729"/>
      <c r="BL84" s="729"/>
      <c r="BM84" s="729"/>
      <c r="BN84" s="729"/>
      <c r="BO84" s="729"/>
      <c r="BP84" s="729"/>
      <c r="BQ84" s="729"/>
      <c r="BR84" s="729"/>
      <c r="BS84" s="729"/>
      <c r="BT84" s="729"/>
      <c r="BU84" s="729"/>
      <c r="BV84" s="729"/>
      <c r="BW84" s="729"/>
      <c r="BX84" s="729"/>
      <c r="BY84" s="729"/>
      <c r="BZ84" s="729"/>
    </row>
    <row r="85" spans="2:78" ht="14" thickBot="1" x14ac:dyDescent="0.2">
      <c r="B85" s="644">
        <f ca="1">E85/NoOfSpaces</f>
        <v>1789.0919960396038</v>
      </c>
      <c r="C85" s="635" t="s">
        <v>179</v>
      </c>
      <c r="D85" s="647">
        <f t="shared" ref="D85:AH85" ca="1" si="122">D83*12</f>
        <v>207393.49999999997</v>
      </c>
      <c r="E85" s="648">
        <f t="shared" ca="1" si="122"/>
        <v>180698.2916</v>
      </c>
      <c r="F85" s="649">
        <f t="shared" ca="1" si="122"/>
        <v>180698.2916</v>
      </c>
      <c r="G85" s="649">
        <f t="shared" ca="1" si="122"/>
        <v>347780.47645377007</v>
      </c>
      <c r="H85" s="649">
        <f t="shared" ca="1" si="122"/>
        <v>462978.08278284548</v>
      </c>
      <c r="I85" s="649">
        <f t="shared" ca="1" si="122"/>
        <v>491178.88123850216</v>
      </c>
      <c r="J85" s="649">
        <f t="shared" ca="1" si="122"/>
        <v>519603.02718327218</v>
      </c>
      <c r="K85" s="649">
        <f t="shared" ca="1" si="122"/>
        <v>548261.114747738</v>
      </c>
      <c r="L85" s="649">
        <f t="shared" ca="1" si="122"/>
        <v>574596.18543232442</v>
      </c>
      <c r="M85" s="649">
        <f t="shared" ca="1" si="122"/>
        <v>602072.75146618823</v>
      </c>
      <c r="N85" s="649">
        <f t="shared" ca="1" si="122"/>
        <v>630738.23451373831</v>
      </c>
      <c r="O85" s="649">
        <f t="shared" ca="1" si="122"/>
        <v>660641.98834296805</v>
      </c>
      <c r="P85" s="649">
        <f t="shared" ca="1" si="122"/>
        <v>691835.37681434047</v>
      </c>
      <c r="Q85" s="649">
        <f t="shared" ca="1" si="122"/>
        <v>724371.85500332108</v>
      </c>
      <c r="R85" s="649">
        <f t="shared" ca="1" si="122"/>
        <v>758307.05358218914</v>
      </c>
      <c r="S85" s="649">
        <f t="shared" ca="1" si="122"/>
        <v>793698.8665917865</v>
      </c>
      <c r="T85" s="649">
        <f t="shared" ca="1" si="122"/>
        <v>830607.54273909365</v>
      </c>
      <c r="U85" s="649">
        <f t="shared" ca="1" si="122"/>
        <v>869095.78036196635</v>
      </c>
      <c r="V85" s="649">
        <f t="shared" ca="1" si="122"/>
        <v>909228.82620801986</v>
      </c>
      <c r="W85" s="649">
        <f t="shared" ca="1" si="122"/>
        <v>951074.57818054711</v>
      </c>
      <c r="X85" s="649">
        <f t="shared" ca="1" si="122"/>
        <v>994703.69221045938</v>
      </c>
      <c r="Y85" s="649">
        <f t="shared" ca="1" si="122"/>
        <v>1040189.6934196221</v>
      </c>
      <c r="Z85" s="649">
        <f t="shared" ca="1" si="122"/>
        <v>1087609.0917475661</v>
      </c>
      <c r="AA85" s="649">
        <f t="shared" ca="1" si="122"/>
        <v>1137041.5022204511</v>
      </c>
      <c r="AB85" s="649">
        <f t="shared" ca="1" si="122"/>
        <v>1188569.7700483112</v>
      </c>
      <c r="AC85" s="649">
        <f t="shared" ca="1" si="122"/>
        <v>1242280.1007440668</v>
      </c>
      <c r="AD85" s="649">
        <f t="shared" ca="1" si="122"/>
        <v>1298262.1954655286</v>
      </c>
      <c r="AE85" s="649">
        <f t="shared" ca="1" si="122"/>
        <v>1356609.3917896834</v>
      </c>
      <c r="AF85" s="649">
        <f t="shared" ca="1" si="122"/>
        <v>1417418.8101369152</v>
      </c>
      <c r="AG85" s="649">
        <f t="shared" ca="1" si="122"/>
        <v>1480791.506071548</v>
      </c>
      <c r="AH85" s="649">
        <f t="shared" ca="1" si="122"/>
        <v>1546832.6287141501</v>
      </c>
      <c r="AI85" s="649">
        <f t="shared" ref="AI85:AJ85" ca="1" si="123">AI83*12</f>
        <v>1615651.5855104513</v>
      </c>
      <c r="AJ85" s="649">
        <f t="shared" ca="1" si="123"/>
        <v>1687362.213611559</v>
      </c>
      <c r="AK85" s="729"/>
      <c r="AL85" s="729"/>
      <c r="AM85" s="729"/>
      <c r="AN85" s="729"/>
      <c r="AO85" s="729"/>
      <c r="AP85" s="729"/>
      <c r="AQ85" s="729"/>
      <c r="AR85" s="729"/>
      <c r="AS85" s="729"/>
      <c r="AT85" s="729"/>
      <c r="AU85" s="729"/>
      <c r="AV85" s="729"/>
      <c r="AW85" s="729"/>
      <c r="AX85" s="729"/>
      <c r="AY85" s="729"/>
      <c r="AZ85" s="729"/>
      <c r="BA85" s="729"/>
      <c r="BB85" s="729"/>
      <c r="BC85" s="729"/>
      <c r="BD85" s="729"/>
      <c r="BE85" s="729"/>
      <c r="BF85" s="729"/>
      <c r="BG85" s="729"/>
      <c r="BH85" s="729"/>
      <c r="BI85" s="729"/>
      <c r="BJ85" s="729"/>
      <c r="BK85" s="729"/>
      <c r="BL85" s="729"/>
      <c r="BM85" s="729"/>
      <c r="BN85" s="729"/>
      <c r="BO85" s="729"/>
      <c r="BP85" s="729"/>
      <c r="BQ85" s="729"/>
      <c r="BR85" s="729"/>
      <c r="BS85" s="729"/>
      <c r="BT85" s="729"/>
      <c r="BU85" s="729"/>
      <c r="BV85" s="729"/>
      <c r="BW85" s="729"/>
      <c r="BX85" s="729"/>
      <c r="BY85" s="729"/>
      <c r="BZ85" s="729"/>
    </row>
    <row r="86" spans="2:78" ht="14" thickTop="1" x14ac:dyDescent="0.15">
      <c r="C86" s="10"/>
      <c r="D86" s="708"/>
      <c r="E86" s="708"/>
      <c r="F86" s="284"/>
      <c r="G86" s="12"/>
      <c r="H86" s="12"/>
      <c r="I86" s="12"/>
      <c r="J86" s="798">
        <f ca="1">+J85-E85</f>
        <v>338904.73558327218</v>
      </c>
      <c r="K86" s="12">
        <f ca="1">+J86/E85</f>
        <v>1.8755281667714017</v>
      </c>
      <c r="L86" s="12"/>
      <c r="M86" s="12"/>
      <c r="N86" s="12"/>
      <c r="O86" s="12"/>
      <c r="P86" s="12"/>
      <c r="Q86" s="12"/>
      <c r="R86" s="12"/>
      <c r="S86" s="729"/>
      <c r="T86" s="729"/>
      <c r="U86" s="729"/>
      <c r="V86" s="729"/>
      <c r="W86" s="729"/>
      <c r="X86" s="729"/>
      <c r="Y86" s="729"/>
      <c r="Z86" s="729"/>
      <c r="AA86" s="729"/>
      <c r="AB86" s="729"/>
      <c r="AC86" s="729"/>
      <c r="AD86" s="729"/>
      <c r="AE86" s="729"/>
      <c r="AF86" s="729"/>
      <c r="AG86" s="729"/>
      <c r="AH86" s="729"/>
      <c r="AI86" s="729"/>
      <c r="AJ86" s="729"/>
      <c r="AK86" s="729"/>
      <c r="AL86" s="729"/>
      <c r="AM86" s="729"/>
      <c r="AN86" s="729"/>
      <c r="AO86" s="729"/>
      <c r="AP86" s="729"/>
      <c r="AQ86" s="729"/>
      <c r="AR86" s="729"/>
      <c r="AS86" s="729"/>
      <c r="AT86" s="729"/>
      <c r="AU86" s="729"/>
      <c r="AV86" s="729"/>
      <c r="AW86" s="729"/>
      <c r="AX86" s="729"/>
      <c r="AY86" s="729"/>
      <c r="AZ86" s="729"/>
      <c r="BA86" s="729"/>
      <c r="BB86" s="729"/>
      <c r="BC86" s="729"/>
      <c r="BD86" s="729"/>
      <c r="BE86" s="729"/>
      <c r="BF86" s="729"/>
      <c r="BG86" s="729"/>
      <c r="BH86" s="729"/>
      <c r="BI86" s="729"/>
      <c r="BJ86" s="729"/>
      <c r="BK86" s="729"/>
      <c r="BL86" s="729"/>
      <c r="BM86" s="729"/>
      <c r="BN86" s="729"/>
      <c r="BO86" s="729"/>
      <c r="BP86" s="729"/>
      <c r="BQ86" s="729"/>
      <c r="BR86" s="729"/>
      <c r="BS86" s="729"/>
      <c r="BT86" s="729"/>
      <c r="BU86" s="729"/>
      <c r="BV86" s="729"/>
      <c r="BW86" s="729"/>
      <c r="BX86" s="729"/>
      <c r="BY86" s="729"/>
      <c r="BZ86" s="729"/>
    </row>
    <row r="87" spans="2:78" x14ac:dyDescent="0.15">
      <c r="C87" s="10"/>
      <c r="D87" s="708"/>
      <c r="E87" s="330" t="s">
        <v>180</v>
      </c>
      <c r="F87" s="326">
        <f t="shared" ref="F87:M87" ca="1" si="124">+F85/$D$6</f>
        <v>2.8190061092043681E-2</v>
      </c>
      <c r="G87" s="326">
        <f t="shared" ca="1" si="124"/>
        <v>5.425592456377068E-2</v>
      </c>
      <c r="H87" s="326">
        <f t="shared" ca="1" si="124"/>
        <v>7.2227470012924413E-2</v>
      </c>
      <c r="I87" s="326">
        <f t="shared" ca="1" si="124"/>
        <v>7.6626970552028412E-2</v>
      </c>
      <c r="J87" s="326">
        <f t="shared" ca="1" si="124"/>
        <v>8.1061314693178191E-2</v>
      </c>
      <c r="K87" s="326">
        <f t="shared" ca="1" si="124"/>
        <v>8.55321551868546E-2</v>
      </c>
      <c r="L87" s="326">
        <f t="shared" ca="1" si="124"/>
        <v>8.9640590551064658E-2</v>
      </c>
      <c r="M87" s="326">
        <f t="shared" ca="1" si="124"/>
        <v>9.392710631297789E-2</v>
      </c>
      <c r="N87" s="12"/>
      <c r="O87" s="12"/>
      <c r="P87" s="12"/>
      <c r="Q87" s="12"/>
      <c r="R87" s="12"/>
      <c r="S87" s="729"/>
      <c r="T87" s="729"/>
      <c r="U87" s="729"/>
      <c r="V87" s="729"/>
      <c r="W87" s="729"/>
      <c r="X87" s="729"/>
      <c r="Y87" s="729"/>
      <c r="Z87" s="729"/>
      <c r="AA87" s="729"/>
      <c r="AB87" s="729"/>
      <c r="AC87" s="729"/>
      <c r="AD87" s="729"/>
      <c r="AE87" s="729"/>
      <c r="AF87" s="729"/>
      <c r="AG87" s="729"/>
      <c r="AH87" s="729"/>
      <c r="AI87" s="729"/>
      <c r="AJ87" s="729"/>
      <c r="AK87" s="729"/>
      <c r="AL87" s="729"/>
      <c r="AM87" s="729"/>
      <c r="AN87" s="729"/>
      <c r="AO87" s="729"/>
      <c r="AP87" s="729"/>
      <c r="AQ87" s="729"/>
      <c r="AR87" s="729"/>
      <c r="AS87" s="729"/>
      <c r="AT87" s="729"/>
      <c r="AU87" s="729"/>
      <c r="AV87" s="729"/>
      <c r="AW87" s="729"/>
      <c r="AX87" s="729"/>
      <c r="AY87" s="729"/>
      <c r="AZ87" s="729"/>
      <c r="BA87" s="729"/>
      <c r="BB87" s="729"/>
      <c r="BC87" s="729"/>
      <c r="BD87" s="729"/>
      <c r="BE87" s="729"/>
      <c r="BF87" s="729"/>
      <c r="BG87" s="729"/>
      <c r="BH87" s="729"/>
      <c r="BI87" s="729"/>
      <c r="BJ87" s="729"/>
      <c r="BK87" s="729"/>
      <c r="BL87" s="729"/>
      <c r="BM87" s="729"/>
      <c r="BN87" s="729"/>
      <c r="BO87" s="729"/>
      <c r="BP87" s="729"/>
      <c r="BQ87" s="729"/>
      <c r="BR87" s="729"/>
      <c r="BS87" s="729"/>
      <c r="BT87" s="729"/>
      <c r="BU87" s="729"/>
      <c r="BV87" s="729"/>
      <c r="BW87" s="729"/>
      <c r="BX87" s="729"/>
      <c r="BY87" s="729"/>
      <c r="BZ87" s="729"/>
    </row>
    <row r="88" spans="2:78" s="56" customFormat="1" ht="12" hidden="1" x14ac:dyDescent="0.15">
      <c r="B88" s="483"/>
      <c r="C88" s="292"/>
      <c r="E88" s="330" t="s">
        <v>180</v>
      </c>
      <c r="F88" s="326">
        <f ca="1">+F85/($D$6-SUM(F85-F85))</f>
        <v>2.8190061092043681E-2</v>
      </c>
      <c r="G88" s="326">
        <f ca="1">+G85/($D$6-SUM($F$85:F85))</f>
        <v>5.5829769167353063E-2</v>
      </c>
      <c r="H88" s="326">
        <f ca="1">+H85/($D$6-SUM($F$85:G85))</f>
        <v>7.8717403971632571E-2</v>
      </c>
      <c r="I88" s="326">
        <f ca="1">+I85/($D$6-SUM($F$85:H85))</f>
        <v>9.0647775189229521E-2</v>
      </c>
      <c r="J88" s="326">
        <f ca="1">+J85/($D$6-SUM($F$85:I85))</f>
        <v>0.10545252977655305</v>
      </c>
      <c r="K88" s="326">
        <f ca="1">+K85/($D$6-SUM($F$85:J85))</f>
        <v>0.12438539312884662</v>
      </c>
      <c r="L88" s="326">
        <f ca="1">+L85/($D$6-SUM($F$85:K85))</f>
        <v>0.14887839530368155</v>
      </c>
      <c r="M88" s="326">
        <f ca="1">+M85/($D$6-SUM($F$85:L85))</f>
        <v>0.18328473598021411</v>
      </c>
      <c r="N88" s="293"/>
      <c r="O88" s="294"/>
      <c r="P88" s="293"/>
      <c r="Q88" s="293"/>
      <c r="R88" s="293"/>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c r="BA88" s="55"/>
      <c r="BB88" s="55"/>
      <c r="BC88" s="55"/>
      <c r="BD88" s="55"/>
      <c r="BE88" s="55"/>
      <c r="BF88" s="55"/>
      <c r="BG88" s="55"/>
      <c r="BH88" s="55"/>
      <c r="BI88" s="55"/>
      <c r="BJ88" s="55"/>
      <c r="BK88" s="55"/>
      <c r="BL88" s="55"/>
      <c r="BM88" s="55"/>
      <c r="BN88" s="55"/>
      <c r="BO88" s="55"/>
      <c r="BP88" s="55"/>
      <c r="BQ88" s="55"/>
      <c r="BR88" s="55"/>
      <c r="BS88" s="55"/>
      <c r="BT88" s="55"/>
      <c r="BU88" s="55"/>
      <c r="BV88" s="55"/>
      <c r="BW88" s="55"/>
      <c r="BX88" s="55"/>
      <c r="BY88" s="55"/>
      <c r="BZ88" s="55"/>
    </row>
    <row r="89" spans="2:78" x14ac:dyDescent="0.15">
      <c r="C89" s="10"/>
      <c r="D89" s="230" t="s">
        <v>181</v>
      </c>
      <c r="E89" s="230" t="s">
        <v>182</v>
      </c>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729"/>
      <c r="AL89" s="729"/>
      <c r="AM89" s="729"/>
      <c r="AN89" s="729"/>
      <c r="AO89" s="729"/>
      <c r="AP89" s="729"/>
      <c r="AQ89" s="729"/>
      <c r="AR89" s="729"/>
      <c r="AS89" s="729"/>
      <c r="AT89" s="729"/>
      <c r="AU89" s="729"/>
      <c r="AV89" s="729"/>
      <c r="AW89" s="729"/>
      <c r="AX89" s="729"/>
      <c r="AY89" s="729"/>
      <c r="AZ89" s="729"/>
      <c r="BA89" s="729"/>
      <c r="BB89" s="729"/>
      <c r="BC89" s="729"/>
      <c r="BD89" s="729"/>
      <c r="BE89" s="729"/>
      <c r="BF89" s="729"/>
      <c r="BG89" s="729"/>
      <c r="BH89" s="729"/>
      <c r="BI89" s="729"/>
      <c r="BJ89" s="729"/>
      <c r="BK89" s="729"/>
      <c r="BL89" s="729"/>
      <c r="BM89" s="729"/>
      <c r="BN89" s="729"/>
      <c r="BO89" s="729"/>
      <c r="BP89" s="729"/>
      <c r="BQ89" s="729"/>
      <c r="BR89" s="729"/>
      <c r="BS89" s="729"/>
      <c r="BT89" s="729"/>
      <c r="BU89" s="729"/>
      <c r="BV89" s="729"/>
      <c r="BW89" s="729"/>
      <c r="BX89" s="729"/>
      <c r="BY89" s="729"/>
      <c r="BZ89" s="729"/>
    </row>
    <row r="90" spans="2:78" x14ac:dyDescent="0.15">
      <c r="C90" s="282"/>
      <c r="D90" s="814" t="s">
        <v>183</v>
      </c>
      <c r="E90" s="815" t="s">
        <v>183</v>
      </c>
      <c r="F90" s="228">
        <v>1</v>
      </c>
      <c r="G90" s="228">
        <f t="shared" ref="G90:AH90" si="125">F90+1</f>
        <v>2</v>
      </c>
      <c r="H90" s="228">
        <f t="shared" si="125"/>
        <v>3</v>
      </c>
      <c r="I90" s="228">
        <f t="shared" si="125"/>
        <v>4</v>
      </c>
      <c r="J90" s="228">
        <f t="shared" si="125"/>
        <v>5</v>
      </c>
      <c r="K90" s="228">
        <f t="shared" si="125"/>
        <v>6</v>
      </c>
      <c r="L90" s="228">
        <f t="shared" si="125"/>
        <v>7</v>
      </c>
      <c r="M90" s="228">
        <f t="shared" si="125"/>
        <v>8</v>
      </c>
      <c r="N90" s="228">
        <f t="shared" si="125"/>
        <v>9</v>
      </c>
      <c r="O90" s="228">
        <f t="shared" si="125"/>
        <v>10</v>
      </c>
      <c r="P90" s="228">
        <f t="shared" si="125"/>
        <v>11</v>
      </c>
      <c r="Q90" s="228">
        <f t="shared" si="125"/>
        <v>12</v>
      </c>
      <c r="R90" s="228">
        <f t="shared" si="125"/>
        <v>13</v>
      </c>
      <c r="S90" s="228">
        <f t="shared" si="125"/>
        <v>14</v>
      </c>
      <c r="T90" s="228">
        <f t="shared" si="125"/>
        <v>15</v>
      </c>
      <c r="U90" s="228">
        <f t="shared" si="125"/>
        <v>16</v>
      </c>
      <c r="V90" s="228">
        <f t="shared" si="125"/>
        <v>17</v>
      </c>
      <c r="W90" s="228">
        <f t="shared" si="125"/>
        <v>18</v>
      </c>
      <c r="X90" s="228">
        <f t="shared" si="125"/>
        <v>19</v>
      </c>
      <c r="Y90" s="228">
        <f t="shared" si="125"/>
        <v>20</v>
      </c>
      <c r="Z90" s="228">
        <f t="shared" si="125"/>
        <v>21</v>
      </c>
      <c r="AA90" s="228">
        <f t="shared" si="125"/>
        <v>22</v>
      </c>
      <c r="AB90" s="228">
        <f t="shared" si="125"/>
        <v>23</v>
      </c>
      <c r="AC90" s="228">
        <f t="shared" si="125"/>
        <v>24</v>
      </c>
      <c r="AD90" s="228">
        <f t="shared" si="125"/>
        <v>25</v>
      </c>
      <c r="AE90" s="228">
        <f t="shared" si="125"/>
        <v>26</v>
      </c>
      <c r="AF90" s="228">
        <f t="shared" si="125"/>
        <v>27</v>
      </c>
      <c r="AG90" s="228">
        <f t="shared" si="125"/>
        <v>28</v>
      </c>
      <c r="AH90" s="228">
        <f t="shared" si="125"/>
        <v>29</v>
      </c>
      <c r="AI90" s="228">
        <f t="shared" ref="AI90" si="126">AH90+1</f>
        <v>30</v>
      </c>
      <c r="AJ90" s="228">
        <f t="shared" ref="AJ90" si="127">AI90+1</f>
        <v>31</v>
      </c>
      <c r="AK90" s="729"/>
      <c r="AL90" s="729"/>
      <c r="AM90" s="729"/>
      <c r="AN90" s="729"/>
      <c r="AO90" s="729"/>
      <c r="AP90" s="729"/>
      <c r="AQ90" s="729"/>
      <c r="AR90" s="729"/>
      <c r="AS90" s="729"/>
      <c r="AT90" s="729"/>
      <c r="AU90" s="729"/>
      <c r="AV90" s="729"/>
      <c r="AW90" s="729"/>
      <c r="AX90" s="729"/>
      <c r="AY90" s="729"/>
      <c r="AZ90" s="729"/>
      <c r="BA90" s="729"/>
      <c r="BB90" s="729"/>
      <c r="BC90" s="729"/>
      <c r="BD90" s="729"/>
      <c r="BE90" s="729"/>
      <c r="BF90" s="729"/>
      <c r="BG90" s="729"/>
      <c r="BH90" s="729"/>
      <c r="BI90" s="729"/>
      <c r="BJ90" s="729"/>
      <c r="BK90" s="729"/>
      <c r="BL90" s="729"/>
      <c r="BM90" s="729"/>
      <c r="BN90" s="729"/>
      <c r="BO90" s="729"/>
      <c r="BP90" s="729"/>
      <c r="BQ90" s="729"/>
      <c r="BR90" s="729"/>
      <c r="BS90" s="729"/>
      <c r="BT90" s="729"/>
      <c r="BU90" s="729"/>
      <c r="BV90" s="729"/>
      <c r="BW90" s="729"/>
      <c r="BX90" s="729"/>
      <c r="BY90" s="729"/>
      <c r="BZ90" s="729"/>
    </row>
    <row r="91" spans="2:78" x14ac:dyDescent="0.15">
      <c r="C91" s="7" t="s">
        <v>184</v>
      </c>
      <c r="D91" s="299">
        <v>0.6</v>
      </c>
      <c r="E91" s="299">
        <v>0.6</v>
      </c>
      <c r="F91" s="229" t="str">
        <f>IF(F93&gt;0,SUM(F92:F93),"")</f>
        <v/>
      </c>
      <c r="G91" s="229" t="str">
        <f t="shared" ref="G91" si="128">IF(G93&lt;&gt;0,SUM(G92:G93),IF(H93&lt;&gt;0,"Refinance",""))</f>
        <v/>
      </c>
      <c r="H91" s="229" t="str">
        <f t="shared" ref="H91" si="129">IF(H93&lt;&gt;0,SUM(H92:H93),IF(I93&lt;&gt;0,"Refinance",""))</f>
        <v/>
      </c>
      <c r="I91" s="229" t="str">
        <f t="shared" ref="I91" si="130">IF(I93&lt;&gt;0,SUM(I92:I93),IF(J93&lt;&gt;0,"Refinance",""))</f>
        <v/>
      </c>
      <c r="J91" s="229" t="str">
        <f ca="1">IF(J93&lt;&gt;0,SUM(J92:J93),IF(K93&lt;&gt;0,"Refinance",""))</f>
        <v>Refinance</v>
      </c>
      <c r="K91" s="229">
        <f t="shared" ref="K91" ca="1" si="131">IF(K93&lt;&gt;0,SUM(K92:K93),IF(L93&lt;&gt;0,"Refinance",""))</f>
        <v>6235236.3261992652</v>
      </c>
      <c r="L91" s="229" t="str">
        <f t="shared" ref="L91" si="132">IF(L93&lt;&gt;0,SUM(L92:L93),IF(M93&lt;&gt;0,"Refinance",""))</f>
        <v/>
      </c>
      <c r="M91" s="229" t="str">
        <f t="shared" ref="M91" si="133">IF(M93&lt;&gt;0,SUM(M92:M93),IF(N93&lt;&gt;0,"Refinance",""))</f>
        <v/>
      </c>
      <c r="N91" s="229" t="str">
        <f t="shared" ref="N91" si="134">IF(N93&lt;&gt;0,SUM(N92:N93),IF(O93&lt;&gt;0,"Refinance",""))</f>
        <v/>
      </c>
      <c r="O91" s="229" t="str">
        <f t="shared" ref="O91" si="135">IF(O93&lt;&gt;0,SUM(O92:O93),IF(P93&lt;&gt;0,"Refinance",""))</f>
        <v/>
      </c>
      <c r="P91" s="229" t="str">
        <f t="shared" ref="P91" si="136">IF(P93&lt;&gt;0,SUM(P92:P93),IF(Q93&lt;&gt;0,"Refinance",""))</f>
        <v/>
      </c>
      <c r="Q91" s="229" t="str">
        <f t="shared" ref="Q91" si="137">IF(Q93&lt;&gt;0,SUM(Q92:Q93),IF(R93&lt;&gt;0,"Refinance",""))</f>
        <v/>
      </c>
      <c r="R91" s="229" t="str">
        <f t="shared" ref="R91" si="138">IF(R93&lt;&gt;0,SUM(R92:R93),IF(S93&lt;&gt;0,"Refinance",""))</f>
        <v/>
      </c>
      <c r="S91" s="229" t="str">
        <f t="shared" ref="S91" si="139">IF(S93&lt;&gt;0,SUM(S92:S93),IF(T93&lt;&gt;0,"Refinance",""))</f>
        <v/>
      </c>
      <c r="T91" s="229" t="str">
        <f t="shared" ref="T91" si="140">IF(T93&lt;&gt;0,SUM(T92:T93),IF(U93&lt;&gt;0,"Refinance",""))</f>
        <v/>
      </c>
      <c r="U91" s="229" t="str">
        <f t="shared" ref="U91" si="141">IF(U93&lt;&gt;0,SUM(U92:U93),IF(V93&lt;&gt;0,"Refinance",""))</f>
        <v/>
      </c>
      <c r="V91" s="229" t="str">
        <f t="shared" ref="V91" si="142">IF(V93&lt;&gt;0,SUM(V92:V93),IF(W93&lt;&gt;0,"Refinance",""))</f>
        <v/>
      </c>
      <c r="W91" s="229" t="str">
        <f t="shared" ref="W91" si="143">IF(W93&lt;&gt;0,SUM(W92:W93),IF(X93&lt;&gt;0,"Refinance",""))</f>
        <v/>
      </c>
      <c r="X91" s="229" t="str">
        <f t="shared" ref="X91" si="144">IF(X93&lt;&gt;0,SUM(X92:X93),IF(Y93&lt;&gt;0,"Refinance",""))</f>
        <v/>
      </c>
      <c r="Y91" s="229" t="str">
        <f t="shared" ref="Y91" si="145">IF(Y93&lt;&gt;0,SUM(Y92:Y93),IF(Z93&lt;&gt;0,"Refinance",""))</f>
        <v/>
      </c>
      <c r="Z91" s="229" t="str">
        <f t="shared" ref="Z91" si="146">IF(Z93&lt;&gt;0,SUM(Z92:Z93),IF(AA93&lt;&gt;0,"Refinance",""))</f>
        <v/>
      </c>
      <c r="AA91" s="229" t="str">
        <f t="shared" ref="AA91" si="147">IF(AA93&lt;&gt;0,SUM(AA92:AA93),IF(AB93&lt;&gt;0,"Refinance",""))</f>
        <v/>
      </c>
      <c r="AB91" s="229" t="str">
        <f t="shared" ref="AB91" si="148">IF(AB93&lt;&gt;0,SUM(AB92:AB93),IF(AC93&lt;&gt;0,"Refinance",""))</f>
        <v/>
      </c>
      <c r="AC91" s="229" t="str">
        <f t="shared" ref="AC91" si="149">IF(AC93&lt;&gt;0,SUM(AC92:AC93),IF(AD93&lt;&gt;0,"Refinance",""))</f>
        <v/>
      </c>
      <c r="AD91" s="229" t="str">
        <f t="shared" ref="AD91" si="150">IF(AD93&lt;&gt;0,SUM(AD92:AD93),IF(AE93&lt;&gt;0,"Refinance",""))</f>
        <v/>
      </c>
      <c r="AE91" s="229" t="str">
        <f t="shared" ref="AE91" si="151">IF(AE93&lt;&gt;0,SUM(AE92:AE93),IF(AF93&lt;&gt;0,"Refinance",""))</f>
        <v/>
      </c>
      <c r="AF91" s="229" t="str">
        <f t="shared" ref="AF91" si="152">IF(AF93&lt;&gt;0,SUM(AF92:AF93),IF(AG93&lt;&gt;0,"Refinance",""))</f>
        <v/>
      </c>
      <c r="AG91" s="229" t="str">
        <f t="shared" ref="AG91" si="153">IF(AG93&lt;&gt;0,SUM(AG92:AG93),IF(AH93&lt;&gt;0,"Refinance",""))</f>
        <v/>
      </c>
      <c r="AH91" s="229" t="str">
        <f>IF(AH93&lt;&gt;0,SUM(AH92:AH93),IF(AJ93&lt;&gt;0,"Refinance",""))</f>
        <v/>
      </c>
      <c r="AI91" s="229" t="str">
        <f t="shared" ref="AI91:AJ91" si="154">IF(AI93&lt;&gt;0,SUM(AI92:AI93),IF(AK93&lt;&gt;0,"Refinance",""))</f>
        <v/>
      </c>
      <c r="AJ91" s="229" t="str">
        <f t="shared" si="154"/>
        <v/>
      </c>
      <c r="AK91" s="729"/>
      <c r="AL91" s="729"/>
      <c r="AM91" s="729"/>
      <c r="AN91" s="729"/>
      <c r="AO91" s="729"/>
      <c r="AP91" s="729"/>
      <c r="AQ91" s="729"/>
      <c r="AR91" s="729"/>
      <c r="AS91" s="729"/>
      <c r="AT91" s="729"/>
      <c r="AU91" s="729"/>
      <c r="AV91" s="729"/>
      <c r="AW91" s="729"/>
      <c r="AX91" s="729"/>
      <c r="AY91" s="729"/>
      <c r="AZ91" s="729"/>
      <c r="BA91" s="729"/>
      <c r="BB91" s="729"/>
      <c r="BC91" s="729"/>
      <c r="BD91" s="729"/>
      <c r="BE91" s="729"/>
      <c r="BF91" s="729"/>
      <c r="BG91" s="729"/>
      <c r="BH91" s="729"/>
      <c r="BI91" s="729"/>
      <c r="BJ91" s="729"/>
      <c r="BK91" s="729"/>
      <c r="BL91" s="729"/>
      <c r="BM91" s="729"/>
      <c r="BN91" s="729"/>
      <c r="BO91" s="729"/>
      <c r="BP91" s="729"/>
      <c r="BQ91" s="729"/>
      <c r="BR91" s="729"/>
      <c r="BS91" s="729"/>
      <c r="BT91" s="729"/>
      <c r="BU91" s="729"/>
      <c r="BV91" s="729"/>
      <c r="BW91" s="729"/>
      <c r="BX91" s="729"/>
      <c r="BY91" s="729"/>
      <c r="BZ91" s="729"/>
    </row>
    <row r="92" spans="2:78" x14ac:dyDescent="0.15">
      <c r="C92" s="28" t="s">
        <v>185</v>
      </c>
      <c r="D92" s="814" t="s">
        <v>186</v>
      </c>
      <c r="E92" s="814" t="s">
        <v>186</v>
      </c>
      <c r="F92" s="29">
        <f>D4*D91</f>
        <v>3450000</v>
      </c>
      <c r="G92" s="29">
        <f t="shared" ref="G92" si="155">F97</f>
        <v>3450000</v>
      </c>
      <c r="H92" s="29">
        <f t="shared" ref="H92" si="156">G97</f>
        <v>3450000</v>
      </c>
      <c r="I92" s="29">
        <f t="shared" ref="I92" si="157">H97</f>
        <v>3408515.3495480865</v>
      </c>
      <c r="J92" s="29">
        <f t="shared" ref="J92" si="158">I97</f>
        <v>3364555.8285618383</v>
      </c>
      <c r="K92" s="29">
        <f t="shared" ref="K92" si="159">J97</f>
        <v>3317973.7924523531</v>
      </c>
      <c r="L92" s="29">
        <f t="shared" ref="L92" ca="1" si="160">K97</f>
        <v>6161987.8053423343</v>
      </c>
      <c r="M92" s="29">
        <f t="shared" ref="M92" ca="1" si="161">L97</f>
        <v>6084280.2807782376</v>
      </c>
      <c r="N92" s="29">
        <f t="shared" ref="N92" ca="1" si="162">M97</f>
        <v>6001842.3106563017</v>
      </c>
      <c r="O92" s="29">
        <f t="shared" ref="O92" ca="1" si="163">N97</f>
        <v>5914385.9291031929</v>
      </c>
      <c r="P92" s="29">
        <f t="shared" ref="P92" ca="1" si="164">O97</f>
        <v>5821605.6403230382</v>
      </c>
      <c r="Q92" s="29">
        <f t="shared" ref="Q92" ca="1" si="165">P97</f>
        <v>5723177.3514633914</v>
      </c>
      <c r="R92" s="29">
        <f t="shared" ref="R92" ca="1" si="166">Q97</f>
        <v>5618757.2405194137</v>
      </c>
      <c r="S92" s="29">
        <f t="shared" ref="S92" ca="1" si="167">R97</f>
        <v>5507980.5553217214</v>
      </c>
      <c r="T92" s="29">
        <f t="shared" ref="T92" ca="1" si="168">S97</f>
        <v>5390460.3394126203</v>
      </c>
      <c r="U92" s="29">
        <f t="shared" ref="U92" ca="1" si="169">T97</f>
        <v>5265786.0803600522</v>
      </c>
      <c r="V92" s="29">
        <f t="shared" ref="V92" ca="1" si="170">U97</f>
        <v>5133522.275787659</v>
      </c>
      <c r="W92" s="29">
        <f t="shared" ref="W92" ca="1" si="171">V97</f>
        <v>4993206.9121119212</v>
      </c>
      <c r="X92" s="29">
        <f t="shared" ref="X92" ca="1" si="172">W97</f>
        <v>4844349.8506724229</v>
      </c>
      <c r="Y92" s="29">
        <f t="shared" ref="Y92" ca="1" si="173">X97</f>
        <v>4686431.1156177949</v>
      </c>
      <c r="Z92" s="29">
        <f t="shared" ref="Z92" ca="1" si="174">Y97</f>
        <v>4518899.0775667168</v>
      </c>
      <c r="AA92" s="29">
        <f t="shared" ref="AA92" ca="1" si="175">Z97</f>
        <v>4341168.5266992794</v>
      </c>
      <c r="AB92" s="29">
        <f t="shared" ref="AB92" ca="1" si="176">AA97</f>
        <v>4152618.6285477867</v>
      </c>
      <c r="AC92" s="29">
        <f t="shared" ref="AC92" ca="1" si="177">AB97</f>
        <v>3952590.755346322</v>
      </c>
      <c r="AD92" s="29">
        <f t="shared" ref="AD92" ca="1" si="178">AC97</f>
        <v>3740386.1853637178</v>
      </c>
      <c r="AE92" s="29">
        <f t="shared" ref="AE92" ca="1" si="179">AD97</f>
        <v>3515263.6621834231</v>
      </c>
      <c r="AF92" s="29">
        <f t="shared" ref="AF92" ca="1" si="180">AE97</f>
        <v>3276436.8054045276</v>
      </c>
      <c r="AG92" s="29">
        <f t="shared" ref="AG92" ca="1" si="181">AF97</f>
        <v>3023071.363719217</v>
      </c>
      <c r="AH92" s="29">
        <f t="shared" ref="AH92" ca="1" si="182">AG97</f>
        <v>2754282.3007713128</v>
      </c>
      <c r="AI92" s="29">
        <f t="shared" ref="AI92" ca="1" si="183">AH97</f>
        <v>2469130.7036164552</v>
      </c>
      <c r="AJ92" s="29">
        <f t="shared" ref="AJ92" ca="1" si="184">AI97</f>
        <v>2166620.5029847957</v>
      </c>
      <c r="AK92" s="729"/>
      <c r="AL92" s="729"/>
      <c r="AM92" s="729"/>
      <c r="AN92" s="729"/>
      <c r="AO92" s="729"/>
      <c r="AP92" s="729"/>
      <c r="AQ92" s="729"/>
      <c r="AR92" s="729"/>
      <c r="AS92" s="729"/>
      <c r="AT92" s="729"/>
      <c r="AU92" s="729"/>
      <c r="AV92" s="729"/>
      <c r="AW92" s="729"/>
      <c r="AX92" s="729"/>
      <c r="AY92" s="729"/>
      <c r="AZ92" s="729"/>
      <c r="BA92" s="729"/>
      <c r="BB92" s="729"/>
      <c r="BC92" s="729"/>
      <c r="BD92" s="729"/>
      <c r="BE92" s="729"/>
      <c r="BF92" s="729"/>
      <c r="BG92" s="729"/>
      <c r="BH92" s="729"/>
      <c r="BI92" s="729"/>
      <c r="BJ92" s="729"/>
      <c r="BK92" s="729"/>
      <c r="BL92" s="729"/>
      <c r="BM92" s="729"/>
      <c r="BN92" s="729"/>
      <c r="BO92" s="729"/>
      <c r="BP92" s="729"/>
      <c r="BQ92" s="729"/>
      <c r="BR92" s="729"/>
      <c r="BS92" s="729"/>
      <c r="BT92" s="729"/>
      <c r="BU92" s="729"/>
      <c r="BV92" s="729"/>
      <c r="BW92" s="729"/>
      <c r="BX92" s="729"/>
      <c r="BY92" s="729"/>
      <c r="BZ92" s="729"/>
    </row>
    <row r="93" spans="2:78" x14ac:dyDescent="0.15">
      <c r="C93" s="717" t="s">
        <v>185</v>
      </c>
      <c r="D93" s="295">
        <v>360</v>
      </c>
      <c r="E93" s="295">
        <v>360</v>
      </c>
      <c r="F93" s="29">
        <f>IF(F90*12=$D$97,(E102*$E$91)-F92,0)</f>
        <v>0</v>
      </c>
      <c r="G93" s="288">
        <f>IF(G90=$D$97+1,(F102*$E$91)-G92,IF(G90=$E$97+1,(F102*$E$91)-G92,0))</f>
        <v>0</v>
      </c>
      <c r="H93" s="288">
        <f t="shared" ref="H93:M93" si="185">IF(H90=$D$97+1,(G102*$E$91)-H92,IF(H90=$E$97+1,(G102*$E$91)-H92,0))</f>
        <v>0</v>
      </c>
      <c r="I93" s="288">
        <f t="shared" si="185"/>
        <v>0</v>
      </c>
      <c r="J93" s="288">
        <f t="shared" si="185"/>
        <v>0</v>
      </c>
      <c r="K93" s="288">
        <f t="shared" ca="1" si="185"/>
        <v>2917262.5337469121</v>
      </c>
      <c r="L93" s="288">
        <f t="shared" si="185"/>
        <v>0</v>
      </c>
      <c r="M93" s="288">
        <f t="shared" si="185"/>
        <v>0</v>
      </c>
      <c r="N93" s="288">
        <f t="shared" ref="N93" si="186">IF(N90=$D$97+1,(M102*$E$91)-N92,IF(N90=$E$97+1,(M102*$E$91)-N92,0))</f>
        <v>0</v>
      </c>
      <c r="O93" s="288">
        <f t="shared" ref="O93" si="187">IF(O90=$D$97+1,(N102*$E$91)-O92,IF(O90=$E$97+1,(N102*$E$91)-O92,0))</f>
        <v>0</v>
      </c>
      <c r="P93" s="288">
        <f t="shared" ref="P93" si="188">IF(P90=$D$97+1,(O102*$E$91)-P92,IF(P90=$E$97+1,(O102*$E$91)-P92,0))</f>
        <v>0</v>
      </c>
      <c r="Q93" s="288">
        <f t="shared" ref="Q93" si="189">IF(Q90=$D$97+1,(P102*$E$91)-Q92,IF(Q90=$E$97+1,(P102*$E$91)-Q92,0))</f>
        <v>0</v>
      </c>
      <c r="R93" s="288">
        <f t="shared" ref="R93" si="190">IF(R90=$D$97+1,(Q102*$E$91)-R92,IF(R90=$E$97+1,(Q102*$E$91)-R92,0))</f>
        <v>0</v>
      </c>
      <c r="S93" s="288">
        <f t="shared" ref="S93" si="191">IF(S90=$D$97+1,(R102*$E$91)-S92,IF(S90=$E$97+1,(R102*$E$91)-S92,0))</f>
        <v>0</v>
      </c>
      <c r="T93" s="288">
        <f t="shared" ref="T93" si="192">IF(T90=$D$97+1,(S102*$E$91)-T92,IF(T90=$E$97+1,(S102*$E$91)-T92,0))</f>
        <v>0</v>
      </c>
      <c r="U93" s="288">
        <f t="shared" ref="U93" si="193">IF(U90=$D$97+1,(T102*$E$91)-U92,IF(U90=$E$97+1,(T102*$E$91)-U92,0))</f>
        <v>0</v>
      </c>
      <c r="V93" s="288">
        <f t="shared" ref="V93" si="194">IF(V90=$D$97+1,(U102*$E$91)-V92,IF(V90=$E$97+1,(U102*$E$91)-V92,0))</f>
        <v>0</v>
      </c>
      <c r="W93" s="288">
        <f t="shared" ref="W93" si="195">IF(W90=$D$97+1,(V102*$E$91)-W92,IF(W90=$E$97+1,(V102*$E$91)-W92,0))</f>
        <v>0</v>
      </c>
      <c r="X93" s="288">
        <f t="shared" ref="X93" si="196">IF(X90=$D$97+1,(W102*$E$91)-X92,IF(X90=$E$97+1,(W102*$E$91)-X92,0))</f>
        <v>0</v>
      </c>
      <c r="Y93" s="288">
        <f t="shared" ref="Y93" si="197">IF(Y90=$D$97+1,(X102*$E$91)-Y92,IF(Y90=$E$97+1,(X102*$E$91)-Y92,0))</f>
        <v>0</v>
      </c>
      <c r="Z93" s="288">
        <f t="shared" ref="Z93" si="198">IF(Z90=$D$97+1,(Y102*$E$91)-Z92,IF(Z90=$E$97+1,(Y102*$E$91)-Z92,0))</f>
        <v>0</v>
      </c>
      <c r="AA93" s="288">
        <f t="shared" ref="AA93" si="199">IF(AA90=$D$97+1,(Z102*$E$91)-AA92,IF(AA90=$E$97+1,(Z102*$E$91)-AA92,0))</f>
        <v>0</v>
      </c>
      <c r="AB93" s="288">
        <f t="shared" ref="AB93" si="200">IF(AB90=$D$97+1,(AA102*$E$91)-AB92,IF(AB90=$E$97+1,(AA102*$E$91)-AB92,0))</f>
        <v>0</v>
      </c>
      <c r="AC93" s="288">
        <f t="shared" ref="AC93" si="201">IF(AC90=$D$97+1,(AB102*$E$91)-AC92,IF(AC90=$E$97+1,(AB102*$E$91)-AC92,0))</f>
        <v>0</v>
      </c>
      <c r="AD93" s="288">
        <f t="shared" ref="AD93" si="202">IF(AD90=$D$97+1,(AC102*$E$91)-AD92,IF(AD90=$E$97+1,(AC102*$E$91)-AD92,0))</f>
        <v>0</v>
      </c>
      <c r="AE93" s="288">
        <f t="shared" ref="AE93" si="203">IF(AE90=$D$97+1,(AD102*$E$91)-AE92,IF(AE90=$E$97+1,(AD102*$E$91)-AE92,0))</f>
        <v>0</v>
      </c>
      <c r="AF93" s="288">
        <f t="shared" ref="AF93" si="204">IF(AF90=$D$97+1,(AE102*$E$91)-AF92,IF(AF90=$E$97+1,(AE102*$E$91)-AF92,0))</f>
        <v>0</v>
      </c>
      <c r="AG93" s="288">
        <f t="shared" ref="AG93" si="205">IF(AG90=$D$97+1,(AF102*$E$91)-AG92,IF(AG90=$E$97+1,(AF102*$E$91)-AG92,0))</f>
        <v>0</v>
      </c>
      <c r="AH93" s="288">
        <f t="shared" ref="AH93" si="206">IF(AH90=$D$97+1,(AG102*$E$91)-AH92,IF(AH90=$E$97+1,(AG102*$E$91)-AH92,0))</f>
        <v>0</v>
      </c>
      <c r="AI93" s="288">
        <f t="shared" ref="AI93" si="207">IF(AI90=$D$97+1,(AH102*$E$91)-AI92,IF(AI90=$E$97+1,(AH102*$E$91)-AI92,0))</f>
        <v>0</v>
      </c>
      <c r="AJ93" s="288">
        <f t="shared" ref="AJ93" si="208">IF(AJ90=$D$97+1,(AI102*$E$91)-AJ92,IF(AJ90=$E$97+1,(AI102*$E$91)-AJ92,0))</f>
        <v>0</v>
      </c>
      <c r="AK93" s="729"/>
      <c r="AL93" s="729"/>
      <c r="AM93" s="729"/>
      <c r="AN93" s="729"/>
      <c r="AO93" s="729"/>
      <c r="AP93" s="729"/>
      <c r="AQ93" s="729"/>
      <c r="AR93" s="729"/>
      <c r="AS93" s="729"/>
      <c r="AT93" s="729"/>
      <c r="AU93" s="729"/>
      <c r="AV93" s="729"/>
      <c r="AW93" s="729"/>
      <c r="AX93" s="729"/>
      <c r="AY93" s="729"/>
      <c r="AZ93" s="729"/>
      <c r="BA93" s="729"/>
      <c r="BB93" s="729"/>
      <c r="BC93" s="729"/>
      <c r="BD93" s="729"/>
      <c r="BE93" s="729"/>
      <c r="BF93" s="729"/>
      <c r="BG93" s="729"/>
      <c r="BH93" s="729"/>
      <c r="BI93" s="729"/>
      <c r="BJ93" s="729"/>
      <c r="BK93" s="729"/>
      <c r="BL93" s="729"/>
      <c r="BM93" s="729"/>
      <c r="BN93" s="729"/>
      <c r="BO93" s="729"/>
      <c r="BP93" s="729"/>
      <c r="BQ93" s="729"/>
      <c r="BR93" s="729"/>
      <c r="BS93" s="729"/>
      <c r="BT93" s="729"/>
      <c r="BU93" s="729"/>
      <c r="BV93" s="729"/>
      <c r="BW93" s="729"/>
      <c r="BX93" s="729"/>
      <c r="BY93" s="729"/>
      <c r="BZ93" s="729"/>
    </row>
    <row r="94" spans="2:78" x14ac:dyDescent="0.15">
      <c r="C94" s="28" t="s">
        <v>187</v>
      </c>
      <c r="D94" s="814" t="s">
        <v>188</v>
      </c>
      <c r="E94" s="814" t="s">
        <v>188</v>
      </c>
      <c r="F94" s="29">
        <f>IF(D100&lt;F90,-PMT((($D$95/360)*365.25/12),$D$93,$D$4*$D$91,,0)*12,F96)</f>
        <v>205818.375</v>
      </c>
      <c r="G94" s="288">
        <f t="shared" ref="G94:AH94" si="209">IF(G90&gt;$E$97,-PMT((($E$95/360)*365.25/12),$E$93,INDEX($F$91:$AH$91,1,$E$97+1),,0)*12,IF(G90&gt;$D$97,-PMT((($E$95/360)*365.25/12),$E$93,INDEX($F$91:$AH$91,1,$D$97+1),,0)*12,IF($D$100&gt;=G90,G96,-PMT((($D$95/360)*365.25/12),$D$93,$D$4*$D$91,,0)*12)))</f>
        <v>205818.375</v>
      </c>
      <c r="H94" s="288">
        <f t="shared" si="209"/>
        <v>247303.02545191324</v>
      </c>
      <c r="I94" s="288">
        <f t="shared" si="209"/>
        <v>247303.02545191324</v>
      </c>
      <c r="J94" s="288">
        <f t="shared" si="209"/>
        <v>247303.02545191324</v>
      </c>
      <c r="K94" s="288">
        <f t="shared" ca="1" si="209"/>
        <v>452818.5322143113</v>
      </c>
      <c r="L94" s="288">
        <f t="shared" ca="1" si="209"/>
        <v>452818.5322143113</v>
      </c>
      <c r="M94" s="288">
        <f t="shared" ca="1" si="209"/>
        <v>452818.5322143113</v>
      </c>
      <c r="N94" s="288">
        <f t="shared" ca="1" si="209"/>
        <v>452818.5322143113</v>
      </c>
      <c r="O94" s="288">
        <f t="shared" ca="1" si="209"/>
        <v>452818.5322143113</v>
      </c>
      <c r="P94" s="288">
        <f t="shared" ca="1" si="209"/>
        <v>452818.5322143113</v>
      </c>
      <c r="Q94" s="288">
        <f t="shared" ca="1" si="209"/>
        <v>452818.5322143113</v>
      </c>
      <c r="R94" s="288">
        <f t="shared" ca="1" si="209"/>
        <v>452818.5322143113</v>
      </c>
      <c r="S94" s="288">
        <f t="shared" ca="1" si="209"/>
        <v>452818.5322143113</v>
      </c>
      <c r="T94" s="288">
        <f t="shared" ca="1" si="209"/>
        <v>452818.5322143113</v>
      </c>
      <c r="U94" s="288">
        <f t="shared" ca="1" si="209"/>
        <v>452818.5322143113</v>
      </c>
      <c r="V94" s="288">
        <f t="shared" ca="1" si="209"/>
        <v>452818.5322143113</v>
      </c>
      <c r="W94" s="288">
        <f t="shared" ca="1" si="209"/>
        <v>452818.5322143113</v>
      </c>
      <c r="X94" s="288">
        <f t="shared" ca="1" si="209"/>
        <v>452818.5322143113</v>
      </c>
      <c r="Y94" s="288">
        <f t="shared" ca="1" si="209"/>
        <v>452818.5322143113</v>
      </c>
      <c r="Z94" s="288">
        <f t="shared" ca="1" si="209"/>
        <v>452818.5322143113</v>
      </c>
      <c r="AA94" s="288">
        <f t="shared" ca="1" si="209"/>
        <v>452818.5322143113</v>
      </c>
      <c r="AB94" s="288">
        <f t="shared" ca="1" si="209"/>
        <v>452818.5322143113</v>
      </c>
      <c r="AC94" s="288">
        <f t="shared" ca="1" si="209"/>
        <v>452818.5322143113</v>
      </c>
      <c r="AD94" s="288">
        <f t="shared" ca="1" si="209"/>
        <v>452818.5322143113</v>
      </c>
      <c r="AE94" s="288">
        <f t="shared" ca="1" si="209"/>
        <v>452818.5322143113</v>
      </c>
      <c r="AF94" s="288">
        <f t="shared" ca="1" si="209"/>
        <v>452818.5322143113</v>
      </c>
      <c r="AG94" s="288">
        <f t="shared" ca="1" si="209"/>
        <v>452818.5322143113</v>
      </c>
      <c r="AH94" s="288">
        <f t="shared" ca="1" si="209"/>
        <v>452818.5322143113</v>
      </c>
      <c r="AI94" s="288">
        <f t="shared" ref="AI94:AJ94" ca="1" si="210">IF(AI90&gt;$E$97,-PMT((($E$95/360)*365.25/12),$E$93,INDEX($F$91:$AH$91,1,$E$97+1),,0)*12,IF(AI90&gt;$D$97,-PMT((($E$95/360)*365.25/12),$E$93,INDEX($F$91:$AH$91,1,$D$97+1),,0)*12,IF($D$100&gt;=AI90,AI96,-PMT((($D$95/360)*365.25/12),$D$93,$D$4*$D$91,,0)*12)))</f>
        <v>452818.5322143113</v>
      </c>
      <c r="AJ94" s="288">
        <f t="shared" ca="1" si="210"/>
        <v>452818.5322143113</v>
      </c>
      <c r="AK94" s="729"/>
      <c r="AL94" s="729"/>
      <c r="AM94" s="729"/>
      <c r="AN94" s="729"/>
      <c r="AO94" s="729"/>
      <c r="AP94" s="729"/>
      <c r="AQ94" s="729"/>
      <c r="AR94" s="729"/>
      <c r="AS94" s="729"/>
      <c r="AT94" s="729"/>
      <c r="AU94" s="729"/>
      <c r="AV94" s="729"/>
      <c r="AW94" s="729"/>
      <c r="AX94" s="729"/>
      <c r="AY94" s="729"/>
      <c r="AZ94" s="729"/>
      <c r="BA94" s="729"/>
      <c r="BB94" s="729"/>
      <c r="BC94" s="729"/>
      <c r="BD94" s="729"/>
      <c r="BE94" s="729"/>
      <c r="BF94" s="729"/>
      <c r="BG94" s="729"/>
      <c r="BH94" s="729"/>
      <c r="BI94" s="729"/>
      <c r="BJ94" s="729"/>
      <c r="BK94" s="729"/>
      <c r="BL94" s="729"/>
      <c r="BM94" s="729"/>
      <c r="BN94" s="729"/>
      <c r="BO94" s="729"/>
      <c r="BP94" s="729"/>
      <c r="BQ94" s="729"/>
      <c r="BR94" s="729"/>
      <c r="BS94" s="729"/>
      <c r="BT94" s="729"/>
      <c r="BU94" s="729"/>
      <c r="BV94" s="729"/>
      <c r="BW94" s="729"/>
      <c r="BX94" s="729"/>
      <c r="BY94" s="729"/>
      <c r="BZ94" s="729"/>
    </row>
    <row r="95" spans="2:78" x14ac:dyDescent="0.15">
      <c r="B95" s="703"/>
      <c r="C95" s="28" t="s">
        <v>189</v>
      </c>
      <c r="D95" s="297">
        <v>5.8799999999999998E-2</v>
      </c>
      <c r="E95" s="298">
        <v>0.06</v>
      </c>
      <c r="F95" s="29">
        <f t="shared" ref="F95" si="211">F94-F96</f>
        <v>0</v>
      </c>
      <c r="G95" s="29">
        <f t="shared" ref="G95:AH95" si="212">G94-G96</f>
        <v>0</v>
      </c>
      <c r="H95" s="29">
        <f t="shared" si="212"/>
        <v>41484.650451913243</v>
      </c>
      <c r="I95" s="29">
        <f t="shared" si="212"/>
        <v>43959.520986248273</v>
      </c>
      <c r="J95" s="29">
        <f t="shared" si="212"/>
        <v>46582.036109485372</v>
      </c>
      <c r="K95" s="29">
        <f t="shared" ca="1" si="212"/>
        <v>73248.520856931049</v>
      </c>
      <c r="L95" s="29">
        <f t="shared" ca="1" si="212"/>
        <v>77707.524564096704</v>
      </c>
      <c r="M95" s="29">
        <f t="shared" ca="1" si="212"/>
        <v>82437.970121936116</v>
      </c>
      <c r="N95" s="29">
        <f t="shared" ca="1" si="212"/>
        <v>87456.38155310892</v>
      </c>
      <c r="O95" s="29">
        <f t="shared" ca="1" si="212"/>
        <v>92780.288780154428</v>
      </c>
      <c r="P95" s="29">
        <f t="shared" ca="1" si="212"/>
        <v>98428.28885964636</v>
      </c>
      <c r="Q95" s="29">
        <f t="shared" ca="1" si="212"/>
        <v>104420.11094397737</v>
      </c>
      <c r="R95" s="29">
        <f t="shared" ca="1" si="212"/>
        <v>110776.68519769202</v>
      </c>
      <c r="S95" s="29">
        <f t="shared" ca="1" si="212"/>
        <v>117520.21590910153</v>
      </c>
      <c r="T95" s="29">
        <f t="shared" ca="1" si="212"/>
        <v>124674.25905256806</v>
      </c>
      <c r="U95" s="29">
        <f t="shared" ca="1" si="212"/>
        <v>132263.80457239313</v>
      </c>
      <c r="V95" s="29">
        <f t="shared" ca="1" si="212"/>
        <v>140315.36367573758</v>
      </c>
      <c r="W95" s="29">
        <f t="shared" ca="1" si="212"/>
        <v>148857.06143949809</v>
      </c>
      <c r="X95" s="29">
        <f t="shared" ca="1" si="212"/>
        <v>157918.73505462758</v>
      </c>
      <c r="Y95" s="29">
        <f t="shared" ca="1" si="212"/>
        <v>167532.03805107804</v>
      </c>
      <c r="Z95" s="29">
        <f t="shared" ca="1" si="212"/>
        <v>177730.55086743744</v>
      </c>
      <c r="AA95" s="29">
        <f t="shared" ca="1" si="212"/>
        <v>188549.8981514927</v>
      </c>
      <c r="AB95" s="29">
        <f t="shared" ca="1" si="212"/>
        <v>200027.8732014648</v>
      </c>
      <c r="AC95" s="29">
        <f t="shared" ca="1" si="212"/>
        <v>212204.56998260395</v>
      </c>
      <c r="AD95" s="29">
        <f t="shared" ca="1" si="212"/>
        <v>225122.52318029499</v>
      </c>
      <c r="AE95" s="29">
        <f t="shared" ca="1" si="212"/>
        <v>238826.85677889542</v>
      </c>
      <c r="AF95" s="29">
        <f t="shared" ca="1" si="212"/>
        <v>253365.44168531068</v>
      </c>
      <c r="AG95" s="29">
        <f t="shared" ca="1" si="212"/>
        <v>268789.06294790399</v>
      </c>
      <c r="AH95" s="29">
        <f t="shared" ca="1" si="212"/>
        <v>285151.59715485765</v>
      </c>
      <c r="AI95" s="29">
        <f t="shared" ref="AI95:AJ95" ca="1" si="213">AI94-AI96</f>
        <v>302510.20063165959</v>
      </c>
      <c r="AJ95" s="29">
        <f t="shared" ca="1" si="213"/>
        <v>320925.50909511186</v>
      </c>
      <c r="AK95" s="729"/>
      <c r="AL95" s="729"/>
      <c r="AM95" s="729"/>
      <c r="AN95" s="729"/>
      <c r="AO95" s="729"/>
      <c r="AP95" s="729"/>
      <c r="AQ95" s="729"/>
      <c r="AR95" s="729"/>
      <c r="AS95" s="729"/>
      <c r="AT95" s="729"/>
      <c r="AU95" s="729"/>
      <c r="AV95" s="729"/>
      <c r="AW95" s="729"/>
      <c r="AX95" s="729"/>
      <c r="AY95" s="729"/>
      <c r="AZ95" s="729"/>
      <c r="BA95" s="729"/>
      <c r="BB95" s="729"/>
      <c r="BC95" s="729"/>
      <c r="BD95" s="729"/>
      <c r="BE95" s="729"/>
      <c r="BF95" s="729"/>
      <c r="BG95" s="729"/>
      <c r="BH95" s="729"/>
      <c r="BI95" s="729"/>
      <c r="BJ95" s="729"/>
      <c r="BK95" s="729"/>
      <c r="BL95" s="729"/>
      <c r="BM95" s="729"/>
      <c r="BN95" s="729"/>
      <c r="BO95" s="729"/>
      <c r="BP95" s="729"/>
      <c r="BQ95" s="729"/>
      <c r="BR95" s="729"/>
      <c r="BS95" s="729"/>
      <c r="BT95" s="729"/>
      <c r="BU95" s="729"/>
      <c r="BV95" s="729"/>
      <c r="BW95" s="729"/>
      <c r="BX95" s="729"/>
      <c r="BY95" s="729"/>
      <c r="BZ95" s="729"/>
    </row>
    <row r="96" spans="2:78" x14ac:dyDescent="0.15">
      <c r="C96" s="28" t="s">
        <v>190</v>
      </c>
      <c r="D96" s="814" t="s">
        <v>191</v>
      </c>
      <c r="E96" s="814" t="s">
        <v>192</v>
      </c>
      <c r="F96" s="29">
        <f>IF(F90&gt;=$D$97+1,(F92+F93)*(($E$95/360)*365.25),(F92+F93)*(($D$95/360)*365.25))</f>
        <v>205818.375</v>
      </c>
      <c r="G96" s="29">
        <f t="shared" ref="G96:AH96" si="214">IF(G90&gt;=$D$97+1,(G92+G93)*(($E$95/360)*365.25),(G92+G93)*(($D$95/360)*365.25))</f>
        <v>205818.375</v>
      </c>
      <c r="H96" s="29">
        <f t="shared" si="214"/>
        <v>205818.375</v>
      </c>
      <c r="I96" s="29">
        <f t="shared" si="214"/>
        <v>203343.50446566497</v>
      </c>
      <c r="J96" s="29">
        <f t="shared" si="214"/>
        <v>200720.98934242787</v>
      </c>
      <c r="K96" s="29">
        <f t="shared" ca="1" si="214"/>
        <v>379570.01135738025</v>
      </c>
      <c r="L96" s="29">
        <f t="shared" ca="1" si="214"/>
        <v>375111.0076502146</v>
      </c>
      <c r="M96" s="29">
        <f t="shared" ca="1" si="214"/>
        <v>370380.56209237518</v>
      </c>
      <c r="N96" s="29">
        <f t="shared" ca="1" si="214"/>
        <v>365362.15066120238</v>
      </c>
      <c r="O96" s="29">
        <f t="shared" ca="1" si="214"/>
        <v>360038.24343415687</v>
      </c>
      <c r="P96" s="29">
        <f t="shared" ca="1" si="214"/>
        <v>354390.24335466494</v>
      </c>
      <c r="Q96" s="29">
        <f t="shared" ca="1" si="214"/>
        <v>348398.42127033393</v>
      </c>
      <c r="R96" s="29">
        <f t="shared" ca="1" si="214"/>
        <v>342041.84701661929</v>
      </c>
      <c r="S96" s="29">
        <f t="shared" ca="1" si="214"/>
        <v>335298.31630520977</v>
      </c>
      <c r="T96" s="29">
        <f t="shared" ca="1" si="214"/>
        <v>328144.27316174324</v>
      </c>
      <c r="U96" s="29">
        <f t="shared" ca="1" si="214"/>
        <v>320554.72764191817</v>
      </c>
      <c r="V96" s="29">
        <f t="shared" ca="1" si="214"/>
        <v>312503.16853857372</v>
      </c>
      <c r="W96" s="29">
        <f t="shared" ca="1" si="214"/>
        <v>303961.47077481321</v>
      </c>
      <c r="X96" s="29">
        <f t="shared" ca="1" si="214"/>
        <v>294899.79715968372</v>
      </c>
      <c r="Y96" s="29">
        <f t="shared" ca="1" si="214"/>
        <v>285286.49416323326</v>
      </c>
      <c r="Z96" s="29">
        <f t="shared" ca="1" si="214"/>
        <v>275087.98134687386</v>
      </c>
      <c r="AA96" s="29">
        <f t="shared" ca="1" si="214"/>
        <v>264268.6340628186</v>
      </c>
      <c r="AB96" s="29">
        <f t="shared" ca="1" si="214"/>
        <v>252790.6590128465</v>
      </c>
      <c r="AC96" s="29">
        <f t="shared" ca="1" si="214"/>
        <v>240613.96223170735</v>
      </c>
      <c r="AD96" s="29">
        <f t="shared" ca="1" si="214"/>
        <v>227696.00903401632</v>
      </c>
      <c r="AE96" s="29">
        <f t="shared" ca="1" si="214"/>
        <v>213991.67543541588</v>
      </c>
      <c r="AF96" s="29">
        <f t="shared" ca="1" si="214"/>
        <v>199453.09052900062</v>
      </c>
      <c r="AG96" s="29">
        <f t="shared" ca="1" si="214"/>
        <v>184029.46926640734</v>
      </c>
      <c r="AH96" s="29">
        <f t="shared" ca="1" si="214"/>
        <v>167666.93505945365</v>
      </c>
      <c r="AI96" s="29">
        <f t="shared" ref="AI96:AJ96" ca="1" si="215">IF(AI90&gt;=$D$97+1,(AI92+AI93)*(($E$95/360)*365.25),(AI92+AI93)*(($D$95/360)*365.25))</f>
        <v>150308.33158265171</v>
      </c>
      <c r="AJ96" s="29">
        <f t="shared" ca="1" si="215"/>
        <v>131893.02311919944</v>
      </c>
      <c r="AK96" s="729"/>
      <c r="AL96" s="729"/>
      <c r="AM96" s="729"/>
      <c r="AN96" s="729"/>
      <c r="AO96" s="729"/>
      <c r="AP96" s="729"/>
      <c r="AQ96" s="729"/>
      <c r="AR96" s="729"/>
      <c r="AS96" s="729"/>
      <c r="AT96" s="729"/>
      <c r="AU96" s="729"/>
      <c r="AV96" s="729"/>
      <c r="AW96" s="729"/>
      <c r="AX96" s="729"/>
      <c r="AY96" s="729"/>
      <c r="AZ96" s="729"/>
      <c r="BA96" s="729"/>
      <c r="BB96" s="729"/>
      <c r="BC96" s="729"/>
      <c r="BD96" s="729"/>
      <c r="BE96" s="729"/>
      <c r="BF96" s="729"/>
      <c r="BG96" s="729"/>
      <c r="BH96" s="729"/>
      <c r="BI96" s="729"/>
      <c r="BJ96" s="729"/>
      <c r="BK96" s="729"/>
      <c r="BL96" s="729"/>
      <c r="BM96" s="729"/>
      <c r="BN96" s="729"/>
      <c r="BO96" s="729"/>
      <c r="BP96" s="729"/>
      <c r="BQ96" s="729"/>
      <c r="BR96" s="729"/>
      <c r="BS96" s="729"/>
      <c r="BT96" s="729"/>
      <c r="BU96" s="729"/>
      <c r="BV96" s="729"/>
      <c r="BW96" s="729"/>
      <c r="BX96" s="729"/>
      <c r="BY96" s="729"/>
      <c r="BZ96" s="729"/>
    </row>
    <row r="97" spans="3:78" ht="14" thickBot="1" x14ac:dyDescent="0.2">
      <c r="C97" s="28" t="s">
        <v>193</v>
      </c>
      <c r="D97" s="296">
        <v>5</v>
      </c>
      <c r="E97" s="295">
        <v>31</v>
      </c>
      <c r="F97" s="650">
        <f t="shared" ref="F97:AH97" si="216">F92-F95+F93</f>
        <v>3450000</v>
      </c>
      <c r="G97" s="651">
        <f t="shared" si="216"/>
        <v>3450000</v>
      </c>
      <c r="H97" s="651">
        <f t="shared" si="216"/>
        <v>3408515.3495480865</v>
      </c>
      <c r="I97" s="651">
        <f t="shared" si="216"/>
        <v>3364555.8285618383</v>
      </c>
      <c r="J97" s="651">
        <f t="shared" si="216"/>
        <v>3317973.7924523531</v>
      </c>
      <c r="K97" s="652">
        <f t="shared" ca="1" si="216"/>
        <v>6161987.8053423343</v>
      </c>
      <c r="L97" s="652">
        <f t="shared" ca="1" si="216"/>
        <v>6084280.2807782376</v>
      </c>
      <c r="M97" s="652">
        <f t="shared" ca="1" si="216"/>
        <v>6001842.3106563017</v>
      </c>
      <c r="N97" s="652">
        <f t="shared" ca="1" si="216"/>
        <v>5914385.9291031929</v>
      </c>
      <c r="O97" s="652">
        <f t="shared" ca="1" si="216"/>
        <v>5821605.6403230382</v>
      </c>
      <c r="P97" s="652">
        <f t="shared" ca="1" si="216"/>
        <v>5723177.3514633914</v>
      </c>
      <c r="Q97" s="652">
        <f t="shared" ca="1" si="216"/>
        <v>5618757.2405194137</v>
      </c>
      <c r="R97" s="652">
        <f t="shared" ca="1" si="216"/>
        <v>5507980.5553217214</v>
      </c>
      <c r="S97" s="652">
        <f t="shared" ca="1" si="216"/>
        <v>5390460.3394126203</v>
      </c>
      <c r="T97" s="652">
        <f t="shared" ca="1" si="216"/>
        <v>5265786.0803600522</v>
      </c>
      <c r="U97" s="652">
        <f t="shared" ca="1" si="216"/>
        <v>5133522.275787659</v>
      </c>
      <c r="V97" s="652">
        <f t="shared" ca="1" si="216"/>
        <v>4993206.9121119212</v>
      </c>
      <c r="W97" s="652">
        <f t="shared" ca="1" si="216"/>
        <v>4844349.8506724229</v>
      </c>
      <c r="X97" s="652">
        <f t="shared" ca="1" si="216"/>
        <v>4686431.1156177949</v>
      </c>
      <c r="Y97" s="652">
        <f t="shared" ca="1" si="216"/>
        <v>4518899.0775667168</v>
      </c>
      <c r="Z97" s="652">
        <f t="shared" ca="1" si="216"/>
        <v>4341168.5266992794</v>
      </c>
      <c r="AA97" s="652">
        <f t="shared" ca="1" si="216"/>
        <v>4152618.6285477867</v>
      </c>
      <c r="AB97" s="652">
        <f t="shared" ca="1" si="216"/>
        <v>3952590.755346322</v>
      </c>
      <c r="AC97" s="652">
        <f t="shared" ca="1" si="216"/>
        <v>3740386.1853637178</v>
      </c>
      <c r="AD97" s="652">
        <f t="shared" ca="1" si="216"/>
        <v>3515263.6621834231</v>
      </c>
      <c r="AE97" s="652">
        <f t="shared" ca="1" si="216"/>
        <v>3276436.8054045276</v>
      </c>
      <c r="AF97" s="652">
        <f t="shared" ca="1" si="216"/>
        <v>3023071.363719217</v>
      </c>
      <c r="AG97" s="652">
        <f t="shared" ca="1" si="216"/>
        <v>2754282.3007713128</v>
      </c>
      <c r="AH97" s="652">
        <f t="shared" ca="1" si="216"/>
        <v>2469130.7036164552</v>
      </c>
      <c r="AI97" s="652">
        <f t="shared" ref="AI97:AJ97" ca="1" si="217">AI92-AI95+AI93</f>
        <v>2166620.5029847957</v>
      </c>
      <c r="AJ97" s="652">
        <f t="shared" ca="1" si="217"/>
        <v>1845694.9938896839</v>
      </c>
      <c r="AK97" s="729"/>
      <c r="AL97" s="729"/>
      <c r="AM97" s="729"/>
      <c r="AN97" s="729"/>
      <c r="AO97" s="729"/>
      <c r="AP97" s="729"/>
      <c r="AQ97" s="729"/>
      <c r="AR97" s="729"/>
      <c r="AS97" s="729"/>
      <c r="AT97" s="729"/>
      <c r="AU97" s="729"/>
      <c r="AV97" s="729"/>
      <c r="AW97" s="729"/>
      <c r="AX97" s="729"/>
      <c r="AY97" s="729"/>
      <c r="AZ97" s="729"/>
      <c r="BA97" s="729"/>
      <c r="BB97" s="729"/>
      <c r="BC97" s="729"/>
      <c r="BD97" s="729"/>
      <c r="BE97" s="729"/>
      <c r="BF97" s="729"/>
      <c r="BG97" s="729"/>
      <c r="BH97" s="729"/>
      <c r="BI97" s="729"/>
      <c r="BJ97" s="729"/>
      <c r="BK97" s="729"/>
      <c r="BL97" s="729"/>
      <c r="BM97" s="729"/>
      <c r="BN97" s="729"/>
      <c r="BO97" s="729"/>
      <c r="BP97" s="729"/>
      <c r="BQ97" s="729"/>
      <c r="BR97" s="729"/>
      <c r="BS97" s="729"/>
      <c r="BT97" s="729"/>
      <c r="BU97" s="729"/>
      <c r="BV97" s="729"/>
      <c r="BW97" s="729"/>
      <c r="BX97" s="729"/>
      <c r="BY97" s="729"/>
      <c r="BZ97" s="729"/>
    </row>
    <row r="98" spans="3:78" ht="14" thickTop="1" x14ac:dyDescent="0.15">
      <c r="C98" s="708"/>
      <c r="D98" s="814" t="s">
        <v>194</v>
      </c>
      <c r="E98" s="231" t="s">
        <v>195</v>
      </c>
      <c r="F98" s="232">
        <f t="shared" ref="F98:L98" ca="1" si="218">F83/(F94/12)</f>
        <v>0.87795023937974426</v>
      </c>
      <c r="G98" s="232">
        <f t="shared" ca="1" si="218"/>
        <v>1.6897445451785831</v>
      </c>
      <c r="H98" s="232">
        <f t="shared" ca="1" si="218"/>
        <v>1.8721084464567905</v>
      </c>
      <c r="I98" s="232">
        <f t="shared" ca="1" si="218"/>
        <v>1.9861418207114059</v>
      </c>
      <c r="J98" s="232">
        <f t="shared" ca="1" si="218"/>
        <v>2.101078327827842</v>
      </c>
      <c r="K98" s="232">
        <f ca="1">J83/(K94/12)</f>
        <v>1.1474862228857563</v>
      </c>
      <c r="L98" s="232">
        <f t="shared" ca="1" si="218"/>
        <v>1.2689325735466537</v>
      </c>
      <c r="M98" s="232">
        <f ca="1">L83/(M94/12)</f>
        <v>1.2689325735466537</v>
      </c>
      <c r="N98" s="232">
        <f t="shared" ref="N98:AH98" ca="1" si="219">N83/(N94/12)</f>
        <v>1.3929161234399758</v>
      </c>
      <c r="O98" s="232">
        <f t="shared" ca="1" si="219"/>
        <v>1.4589552797505589</v>
      </c>
      <c r="P98" s="232">
        <f t="shared" ca="1" si="219"/>
        <v>1.5278424525410248</v>
      </c>
      <c r="Q98" s="232">
        <f t="shared" ca="1" si="219"/>
        <v>1.5996956914751188</v>
      </c>
      <c r="R98" s="232">
        <f t="shared" ca="1" si="219"/>
        <v>1.6746378507832258</v>
      </c>
      <c r="S98" s="232">
        <f t="shared" ca="1" si="219"/>
        <v>1.7527967830966384</v>
      </c>
      <c r="T98" s="232">
        <f t="shared" ca="1" si="219"/>
        <v>1.8343055410682292</v>
      </c>
      <c r="U98" s="232">
        <f t="shared" ca="1" si="219"/>
        <v>1.9193025870916389</v>
      </c>
      <c r="V98" s="232">
        <f t="shared" ca="1" si="219"/>
        <v>2.0079320114435983</v>
      </c>
      <c r="W98" s="232">
        <f t="shared" ca="1" si="219"/>
        <v>2.1003437591870018</v>
      </c>
      <c r="X98" s="232">
        <f t="shared" ca="1" si="219"/>
        <v>2.1966938661858548</v>
      </c>
      <c r="Y98" s="232">
        <f t="shared" ca="1" si="219"/>
        <v>2.2971447045972893</v>
      </c>
      <c r="Z98" s="232">
        <f t="shared" ca="1" si="219"/>
        <v>2.4018652382204611</v>
      </c>
      <c r="AA98" s="232">
        <f t="shared" ca="1" si="219"/>
        <v>2.5110312880973447</v>
      </c>
      <c r="AB98" s="232">
        <f t="shared" ca="1" si="219"/>
        <v>2.6248258087762659</v>
      </c>
      <c r="AC98" s="232">
        <f t="shared" ca="1" si="219"/>
        <v>2.7434391756654448</v>
      </c>
      <c r="AD98" s="232">
        <f t="shared" ca="1" si="219"/>
        <v>2.8670694839209525</v>
      </c>
      <c r="AE98" s="232">
        <f t="shared" ca="1" si="219"/>
        <v>2.9959228593312592</v>
      </c>
      <c r="AF98" s="232">
        <f t="shared" ca="1" si="219"/>
        <v>3.1302137816790481</v>
      </c>
      <c r="AG98" s="232">
        <f t="shared" ca="1" si="219"/>
        <v>3.2701654210802369</v>
      </c>
      <c r="AH98" s="232">
        <f t="shared" ca="1" si="219"/>
        <v>3.4160099878201549</v>
      </c>
      <c r="AI98" s="232">
        <f t="shared" ref="AI98:AJ98" ca="1" si="220">AI83/(AI94/12)</f>
        <v>3.5679890962276049</v>
      </c>
      <c r="AJ98" s="232">
        <f t="shared" ca="1" si="220"/>
        <v>3.7263541431492455</v>
      </c>
      <c r="AK98" s="729"/>
      <c r="AL98" s="729"/>
      <c r="AM98" s="729"/>
      <c r="AN98" s="729"/>
      <c r="AO98" s="729"/>
      <c r="AP98" s="729"/>
      <c r="AQ98" s="729"/>
      <c r="AR98" s="729"/>
      <c r="AS98" s="729"/>
      <c r="AT98" s="729"/>
      <c r="AU98" s="729"/>
      <c r="AV98" s="729"/>
      <c r="AW98" s="729"/>
      <c r="AX98" s="729"/>
      <c r="AY98" s="729"/>
      <c r="AZ98" s="729"/>
      <c r="BA98" s="729"/>
      <c r="BB98" s="729"/>
      <c r="BC98" s="729"/>
      <c r="BD98" s="729"/>
      <c r="BE98" s="729"/>
      <c r="BF98" s="729"/>
      <c r="BG98" s="729"/>
      <c r="BH98" s="729"/>
      <c r="BI98" s="729"/>
      <c r="BJ98" s="729"/>
      <c r="BK98" s="729"/>
      <c r="BL98" s="729"/>
      <c r="BM98" s="729"/>
      <c r="BN98" s="729"/>
      <c r="BO98" s="729"/>
      <c r="BP98" s="729"/>
      <c r="BQ98" s="729"/>
      <c r="BR98" s="729"/>
      <c r="BS98" s="729"/>
      <c r="BT98" s="729"/>
      <c r="BU98" s="729"/>
      <c r="BV98" s="729"/>
      <c r="BW98" s="729"/>
      <c r="BX98" s="729"/>
      <c r="BY98" s="729"/>
      <c r="BZ98" s="729"/>
    </row>
    <row r="99" spans="3:78" hidden="1" x14ac:dyDescent="0.15">
      <c r="C99" s="283" t="s">
        <v>196</v>
      </c>
      <c r="D99" s="347"/>
      <c r="E99" s="231" t="s">
        <v>197</v>
      </c>
      <c r="F99" s="232">
        <f t="shared" ref="F99:AH99" ca="1" si="221">(F83+((F106+F107)/12))/(F94/12)</f>
        <v>0.87795023937974426</v>
      </c>
      <c r="G99" s="232">
        <f t="shared" ca="1" si="221"/>
        <v>1.6897445451785831</v>
      </c>
      <c r="H99" s="232">
        <f t="shared" ca="1" si="221"/>
        <v>1.8721084464567905</v>
      </c>
      <c r="I99" s="232">
        <f t="shared" ca="1" si="221"/>
        <v>1.9861418207114059</v>
      </c>
      <c r="J99" s="232">
        <f t="shared" ca="1" si="221"/>
        <v>2.101078327827842</v>
      </c>
      <c r="K99" s="232">
        <f t="shared" ca="1" si="221"/>
        <v>1.2107744620493035</v>
      </c>
      <c r="L99" s="232">
        <f t="shared" ca="1" si="221"/>
        <v>1.2689325735466537</v>
      </c>
      <c r="M99" s="232">
        <f t="shared" ca="1" si="221"/>
        <v>1.3296115521642067</v>
      </c>
      <c r="N99" s="232">
        <f t="shared" ca="1" si="221"/>
        <v>1.3929161234399758</v>
      </c>
      <c r="O99" s="232">
        <f t="shared" ca="1" si="221"/>
        <v>1.4589552797505589</v>
      </c>
      <c r="P99" s="232">
        <f t="shared" ca="1" si="221"/>
        <v>1.5278424525410248</v>
      </c>
      <c r="Q99" s="232">
        <f t="shared" ca="1" si="221"/>
        <v>1.5996956914751188</v>
      </c>
      <c r="R99" s="232">
        <f t="shared" ca="1" si="221"/>
        <v>1.6746378507832258</v>
      </c>
      <c r="S99" s="232">
        <f t="shared" ca="1" si="221"/>
        <v>1.7527967830966384</v>
      </c>
      <c r="T99" s="232">
        <f t="shared" ca="1" si="221"/>
        <v>1.8343055410682292</v>
      </c>
      <c r="U99" s="232">
        <f t="shared" ca="1" si="221"/>
        <v>1.9193025870916389</v>
      </c>
      <c r="V99" s="232">
        <f t="shared" ca="1" si="221"/>
        <v>2.0079320114435983</v>
      </c>
      <c r="W99" s="232">
        <f t="shared" ca="1" si="221"/>
        <v>2.1003437591870018</v>
      </c>
      <c r="X99" s="232">
        <f t="shared" ca="1" si="221"/>
        <v>2.1966938661858548</v>
      </c>
      <c r="Y99" s="232">
        <f t="shared" ca="1" si="221"/>
        <v>2.2971447045972893</v>
      </c>
      <c r="Z99" s="232">
        <f t="shared" ca="1" si="221"/>
        <v>2.4018652382204611</v>
      </c>
      <c r="AA99" s="232">
        <f t="shared" ca="1" si="221"/>
        <v>2.5110312880973447</v>
      </c>
      <c r="AB99" s="232">
        <f t="shared" ca="1" si="221"/>
        <v>2.6248258087762659</v>
      </c>
      <c r="AC99" s="232">
        <f t="shared" ca="1" si="221"/>
        <v>2.7434391756654448</v>
      </c>
      <c r="AD99" s="232">
        <f t="shared" ca="1" si="221"/>
        <v>2.8670694839209525</v>
      </c>
      <c r="AE99" s="232">
        <f t="shared" ca="1" si="221"/>
        <v>2.9959228593312592</v>
      </c>
      <c r="AF99" s="232">
        <f t="shared" ca="1" si="221"/>
        <v>3.1302137816790481</v>
      </c>
      <c r="AG99" s="232">
        <f t="shared" ca="1" si="221"/>
        <v>3.2701654210802369</v>
      </c>
      <c r="AH99" s="232">
        <f t="shared" ca="1" si="221"/>
        <v>3.4160099878201549</v>
      </c>
      <c r="AI99" s="232">
        <f t="shared" ref="AI99:AJ99" ca="1" si="222">(AI83+((AI106+AI107)/12))/(AI94/12)</f>
        <v>3.5679890962276049</v>
      </c>
      <c r="AJ99" s="232">
        <f t="shared" ca="1" si="222"/>
        <v>3.7263541431492455</v>
      </c>
      <c r="AK99" s="729"/>
      <c r="AL99" s="729"/>
      <c r="AM99" s="729"/>
      <c r="AN99" s="729"/>
      <c r="AO99" s="729"/>
      <c r="AP99" s="729"/>
      <c r="AQ99" s="729"/>
      <c r="AR99" s="729"/>
      <c r="AS99" s="729"/>
      <c r="AT99" s="729"/>
      <c r="AU99" s="729"/>
      <c r="AV99" s="729"/>
      <c r="AW99" s="729"/>
      <c r="AX99" s="729"/>
      <c r="AY99" s="729"/>
      <c r="AZ99" s="729"/>
      <c r="BA99" s="729"/>
      <c r="BB99" s="729"/>
      <c r="BC99" s="729"/>
      <c r="BD99" s="729"/>
      <c r="BE99" s="729"/>
      <c r="BF99" s="729"/>
      <c r="BG99" s="729"/>
      <c r="BH99" s="729"/>
      <c r="BI99" s="729"/>
      <c r="BJ99" s="729"/>
      <c r="BK99" s="729"/>
      <c r="BL99" s="729"/>
      <c r="BM99" s="729"/>
      <c r="BN99" s="729"/>
      <c r="BO99" s="729"/>
      <c r="BP99" s="729"/>
      <c r="BQ99" s="729"/>
      <c r="BR99" s="729"/>
      <c r="BS99" s="729"/>
      <c r="BT99" s="729"/>
      <c r="BU99" s="729"/>
      <c r="BV99" s="729"/>
      <c r="BW99" s="729"/>
      <c r="BX99" s="729"/>
      <c r="BY99" s="729"/>
      <c r="BZ99" s="729"/>
    </row>
    <row r="100" spans="3:78" x14ac:dyDescent="0.15">
      <c r="C100" s="348" t="str">
        <f>IF(D100&gt;D97,"IO Years cannont be greater than 1st Refi Year","")</f>
        <v/>
      </c>
      <c r="D100" s="295">
        <v>2</v>
      </c>
      <c r="E100" s="231"/>
      <c r="F100" s="232"/>
      <c r="G100" s="232"/>
      <c r="H100" s="232"/>
      <c r="I100" s="232"/>
      <c r="J100" s="232"/>
      <c r="K100" s="232"/>
      <c r="L100" s="232"/>
      <c r="M100" s="232"/>
      <c r="N100" s="232"/>
      <c r="O100" s="232"/>
      <c r="P100" s="232"/>
      <c r="Q100" s="232"/>
      <c r="R100" s="232"/>
      <c r="S100" s="232"/>
      <c r="T100" s="232"/>
      <c r="U100" s="232"/>
      <c r="V100" s="232"/>
      <c r="W100" s="232"/>
      <c r="X100" s="232"/>
      <c r="Y100" s="232"/>
      <c r="Z100" s="232"/>
      <c r="AA100" s="232"/>
      <c r="AB100" s="232"/>
      <c r="AC100" s="232"/>
      <c r="AD100" s="232"/>
      <c r="AE100" s="232"/>
      <c r="AF100" s="232"/>
      <c r="AG100" s="232"/>
      <c r="AH100" s="232"/>
      <c r="AI100" s="232"/>
      <c r="AJ100" s="232"/>
      <c r="AK100" s="729"/>
      <c r="AL100" s="729"/>
      <c r="AM100" s="729"/>
      <c r="AN100" s="729"/>
      <c r="AO100" s="729"/>
      <c r="AP100" s="729"/>
      <c r="AQ100" s="729"/>
      <c r="AR100" s="729"/>
      <c r="AS100" s="729"/>
      <c r="AT100" s="729"/>
      <c r="AU100" s="729"/>
      <c r="AV100" s="729"/>
      <c r="AW100" s="729"/>
      <c r="AX100" s="729"/>
      <c r="AY100" s="729"/>
      <c r="AZ100" s="729"/>
      <c r="BA100" s="729"/>
      <c r="BB100" s="729"/>
      <c r="BC100" s="729"/>
      <c r="BD100" s="729"/>
      <c r="BE100" s="729"/>
      <c r="BF100" s="729"/>
      <c r="BG100" s="729"/>
      <c r="BH100" s="729"/>
      <c r="BI100" s="729"/>
      <c r="BJ100" s="729"/>
      <c r="BK100" s="729"/>
      <c r="BL100" s="729"/>
      <c r="BM100" s="729"/>
      <c r="BN100" s="729"/>
      <c r="BO100" s="729"/>
      <c r="BP100" s="729"/>
      <c r="BQ100" s="729"/>
      <c r="BR100" s="729"/>
      <c r="BS100" s="729"/>
      <c r="BT100" s="729"/>
      <c r="BU100" s="729"/>
      <c r="BV100" s="729"/>
      <c r="BW100" s="729"/>
      <c r="BX100" s="729"/>
      <c r="BY100" s="729"/>
      <c r="BZ100" s="729"/>
    </row>
    <row r="101" spans="3:78" x14ac:dyDescent="0.15">
      <c r="C101" s="708"/>
      <c r="D101" s="24"/>
      <c r="E101" s="10"/>
      <c r="F101" s="30"/>
      <c r="G101" s="30"/>
      <c r="H101" s="30"/>
      <c r="I101" s="30"/>
      <c r="J101" s="30"/>
      <c r="K101" s="30"/>
      <c r="L101" s="30"/>
      <c r="M101" s="30"/>
      <c r="N101" s="30"/>
      <c r="O101" s="30"/>
      <c r="P101" s="30"/>
      <c r="Q101" s="30"/>
      <c r="R101" s="30"/>
      <c r="S101" s="30"/>
      <c r="T101" s="30"/>
      <c r="U101" s="30"/>
      <c r="V101" s="30"/>
      <c r="W101" s="30"/>
      <c r="X101" s="30"/>
      <c r="Y101" s="30"/>
      <c r="Z101" s="30"/>
      <c r="AA101" s="30"/>
      <c r="AB101" s="30"/>
      <c r="AC101" s="30"/>
      <c r="AD101" s="30"/>
      <c r="AE101" s="30"/>
      <c r="AF101" s="30"/>
      <c r="AG101" s="30"/>
      <c r="AH101" s="30"/>
      <c r="AI101" s="30"/>
      <c r="AJ101" s="30"/>
      <c r="AK101" s="729"/>
      <c r="AL101" s="729"/>
      <c r="AM101" s="729"/>
      <c r="AN101" s="729"/>
      <c r="AO101" s="729"/>
      <c r="AP101" s="729"/>
      <c r="AQ101" s="729"/>
      <c r="AR101" s="729"/>
      <c r="AS101" s="729"/>
      <c r="AT101" s="729"/>
      <c r="AU101" s="729"/>
      <c r="AV101" s="729"/>
      <c r="AW101" s="729"/>
      <c r="AX101" s="729"/>
      <c r="AY101" s="729"/>
      <c r="AZ101" s="729"/>
      <c r="BA101" s="729"/>
      <c r="BB101" s="729"/>
      <c r="BC101" s="729"/>
      <c r="BD101" s="729"/>
      <c r="BE101" s="729"/>
      <c r="BF101" s="729"/>
      <c r="BG101" s="729"/>
      <c r="BH101" s="729"/>
      <c r="BI101" s="729"/>
      <c r="BJ101" s="729"/>
      <c r="BK101" s="729"/>
      <c r="BL101" s="729"/>
      <c r="BM101" s="729"/>
      <c r="BN101" s="729"/>
      <c r="BO101" s="729"/>
      <c r="BP101" s="729"/>
      <c r="BQ101" s="729"/>
      <c r="BR101" s="729"/>
      <c r="BS101" s="729"/>
      <c r="BT101" s="729"/>
      <c r="BU101" s="729"/>
      <c r="BV101" s="729"/>
      <c r="BW101" s="729"/>
      <c r="BX101" s="729"/>
      <c r="BY101" s="729"/>
      <c r="BZ101" s="729"/>
    </row>
    <row r="102" spans="3:78" x14ac:dyDescent="0.15">
      <c r="C102" s="32" t="s">
        <v>198</v>
      </c>
      <c r="D102" s="653" t="s">
        <v>199</v>
      </c>
      <c r="E102" s="654">
        <v>0.05</v>
      </c>
      <c r="F102" s="147">
        <f t="shared" ref="F102:AH102" ca="1" si="223">(F85/$E$102)</f>
        <v>3613965.8319999999</v>
      </c>
      <c r="G102" s="147">
        <f t="shared" ca="1" si="223"/>
        <v>6955609.5290754009</v>
      </c>
      <c r="H102" s="147">
        <f t="shared" ca="1" si="223"/>
        <v>9259561.6556569096</v>
      </c>
      <c r="I102" s="147">
        <f t="shared" ca="1" si="223"/>
        <v>9823577.6247700434</v>
      </c>
      <c r="J102" s="147">
        <f t="shared" ca="1" si="223"/>
        <v>10392060.543665443</v>
      </c>
      <c r="K102" s="147">
        <f t="shared" ca="1" si="223"/>
        <v>10965222.29495476</v>
      </c>
      <c r="L102" s="147">
        <f t="shared" ca="1" si="223"/>
        <v>11491923.708646487</v>
      </c>
      <c r="M102" s="147">
        <f t="shared" ca="1" si="223"/>
        <v>12041455.029323764</v>
      </c>
      <c r="N102" s="147">
        <f t="shared" ca="1" si="223"/>
        <v>12614764.690274766</v>
      </c>
      <c r="O102" s="147">
        <f t="shared" ca="1" si="223"/>
        <v>13212839.76685936</v>
      </c>
      <c r="P102" s="147">
        <f t="shared" ca="1" si="223"/>
        <v>13836707.536286809</v>
      </c>
      <c r="Q102" s="147">
        <f t="shared" ca="1" si="223"/>
        <v>14487437.100066422</v>
      </c>
      <c r="R102" s="147">
        <f t="shared" ca="1" si="223"/>
        <v>15166141.071643783</v>
      </c>
      <c r="S102" s="147">
        <f t="shared" ca="1" si="223"/>
        <v>15873977.33183573</v>
      </c>
      <c r="T102" s="147">
        <f t="shared" ca="1" si="223"/>
        <v>16612150.854781872</v>
      </c>
      <c r="U102" s="147">
        <f t="shared" ca="1" si="223"/>
        <v>17381915.607239325</v>
      </c>
      <c r="V102" s="147">
        <f t="shared" ca="1" si="223"/>
        <v>18184576.524160396</v>
      </c>
      <c r="W102" s="147">
        <f t="shared" ca="1" si="223"/>
        <v>19021491.563610941</v>
      </c>
      <c r="X102" s="147">
        <f t="shared" ca="1" si="223"/>
        <v>19894073.844209187</v>
      </c>
      <c r="Y102" s="147">
        <f t="shared" ca="1" si="223"/>
        <v>20803793.868392441</v>
      </c>
      <c r="Z102" s="147">
        <f t="shared" ca="1" si="223"/>
        <v>21752181.834951323</v>
      </c>
      <c r="AA102" s="147">
        <f t="shared" ca="1" si="223"/>
        <v>22740830.044409022</v>
      </c>
      <c r="AB102" s="147">
        <f t="shared" ca="1" si="223"/>
        <v>23771395.400966223</v>
      </c>
      <c r="AC102" s="147">
        <f t="shared" ca="1" si="223"/>
        <v>24845602.014881335</v>
      </c>
      <c r="AD102" s="147">
        <f t="shared" ca="1" si="223"/>
        <v>25965243.909310572</v>
      </c>
      <c r="AE102" s="147">
        <f t="shared" ca="1" si="223"/>
        <v>27132187.835793667</v>
      </c>
      <c r="AF102" s="147">
        <f t="shared" ca="1" si="223"/>
        <v>28348376.202738304</v>
      </c>
      <c r="AG102" s="147">
        <f t="shared" ca="1" si="223"/>
        <v>29615830.12143096</v>
      </c>
      <c r="AH102" s="147">
        <f t="shared" ca="1" si="223"/>
        <v>30936652.574283</v>
      </c>
      <c r="AI102" s="147">
        <f t="shared" ref="AI102:AJ102" ca="1" si="224">(AI85/$E$102)</f>
        <v>32313031.710209027</v>
      </c>
      <c r="AJ102" s="147">
        <f t="shared" ca="1" si="224"/>
        <v>33747244.272231176</v>
      </c>
      <c r="AK102" s="729"/>
      <c r="AL102" s="729"/>
      <c r="AM102" s="729"/>
      <c r="AN102" s="729"/>
      <c r="AO102" s="729"/>
      <c r="AP102" s="729"/>
      <c r="AQ102" s="729"/>
      <c r="AR102" s="729"/>
      <c r="AS102" s="729"/>
      <c r="AT102" s="729"/>
      <c r="AU102" s="729"/>
      <c r="AV102" s="729"/>
      <c r="AW102" s="729"/>
      <c r="AX102" s="729"/>
      <c r="AY102" s="729"/>
      <c r="AZ102" s="729"/>
      <c r="BA102" s="729"/>
      <c r="BB102" s="729"/>
      <c r="BC102" s="729"/>
      <c r="BD102" s="729"/>
      <c r="BE102" s="729"/>
      <c r="BF102" s="729"/>
      <c r="BG102" s="729"/>
      <c r="BH102" s="729"/>
      <c r="BI102" s="729"/>
      <c r="BJ102" s="729"/>
      <c r="BK102" s="729"/>
      <c r="BL102" s="729"/>
      <c r="BM102" s="729"/>
      <c r="BN102" s="729"/>
      <c r="BO102" s="729"/>
      <c r="BP102" s="729"/>
      <c r="BQ102" s="729"/>
      <c r="BR102" s="729"/>
      <c r="BS102" s="729"/>
      <c r="BT102" s="729"/>
      <c r="BU102" s="729"/>
      <c r="BV102" s="729"/>
      <c r="BW102" s="729"/>
      <c r="BX102" s="729"/>
      <c r="BY102" s="729"/>
      <c r="BZ102" s="729"/>
    </row>
    <row r="103" spans="3:78" x14ac:dyDescent="0.15">
      <c r="C103" s="31"/>
      <c r="D103" s="24"/>
      <c r="E103" s="708"/>
      <c r="F103" s="329" t="str">
        <f t="shared" ref="F103:AH103" ca="1" si="225">"$/Sp="&amp;TEXT(ROUND((F102/NoOfSpaces),-2),"$0,0")</f>
        <v>$/Sp=$35,800</v>
      </c>
      <c r="G103" s="329" t="str">
        <f t="shared" ca="1" si="225"/>
        <v>$/Sp=$68,900</v>
      </c>
      <c r="H103" s="329" t="str">
        <f t="shared" ca="1" si="225"/>
        <v>$/Sp=$91,700</v>
      </c>
      <c r="I103" s="329" t="str">
        <f t="shared" ca="1" si="225"/>
        <v>$/Sp=$97,300</v>
      </c>
      <c r="J103" s="329" t="str">
        <f t="shared" ca="1" si="225"/>
        <v>$/Sp=$102,900</v>
      </c>
      <c r="K103" s="329" t="str">
        <f t="shared" ca="1" si="225"/>
        <v>$/Sp=$108,600</v>
      </c>
      <c r="L103" s="329" t="str">
        <f t="shared" ca="1" si="225"/>
        <v>$/Sp=$113,800</v>
      </c>
      <c r="M103" s="329" t="str">
        <f t="shared" ca="1" si="225"/>
        <v>$/Sp=$119,200</v>
      </c>
      <c r="N103" s="329" t="str">
        <f t="shared" ca="1" si="225"/>
        <v>$/Sp=$124,900</v>
      </c>
      <c r="O103" s="329" t="str">
        <f t="shared" ca="1" si="225"/>
        <v>$/Sp=$130,800</v>
      </c>
      <c r="P103" s="329" t="str">
        <f t="shared" ca="1" si="225"/>
        <v>$/Sp=$137,000</v>
      </c>
      <c r="Q103" s="329" t="str">
        <f t="shared" ca="1" si="225"/>
        <v>$/Sp=$143,400</v>
      </c>
      <c r="R103" s="329" t="str">
        <f t="shared" ca="1" si="225"/>
        <v>$/Sp=$150,200</v>
      </c>
      <c r="S103" s="329" t="str">
        <f t="shared" ca="1" si="225"/>
        <v>$/Sp=$157,200</v>
      </c>
      <c r="T103" s="329" t="str">
        <f t="shared" ca="1" si="225"/>
        <v>$/Sp=$164,500</v>
      </c>
      <c r="U103" s="329" t="str">
        <f t="shared" ca="1" si="225"/>
        <v>$/Sp=$172,100</v>
      </c>
      <c r="V103" s="329" t="str">
        <f t="shared" ca="1" si="225"/>
        <v>$/Sp=$180,000</v>
      </c>
      <c r="W103" s="329" t="str">
        <f t="shared" ca="1" si="225"/>
        <v>$/Sp=$188,300</v>
      </c>
      <c r="X103" s="329" t="str">
        <f t="shared" ca="1" si="225"/>
        <v>$/Sp=$197,000</v>
      </c>
      <c r="Y103" s="329" t="str">
        <f t="shared" ca="1" si="225"/>
        <v>$/Sp=$206,000</v>
      </c>
      <c r="Z103" s="329" t="str">
        <f t="shared" ca="1" si="225"/>
        <v>$/Sp=$215,400</v>
      </c>
      <c r="AA103" s="329" t="str">
        <f t="shared" ca="1" si="225"/>
        <v>$/Sp=$225,200</v>
      </c>
      <c r="AB103" s="329" t="str">
        <f t="shared" ca="1" si="225"/>
        <v>$/Sp=$235,400</v>
      </c>
      <c r="AC103" s="329" t="str">
        <f t="shared" ca="1" si="225"/>
        <v>$/Sp=$246,000</v>
      </c>
      <c r="AD103" s="329" t="str">
        <f t="shared" ca="1" si="225"/>
        <v>$/Sp=$257,100</v>
      </c>
      <c r="AE103" s="329" t="str">
        <f t="shared" ca="1" si="225"/>
        <v>$/Sp=$268,600</v>
      </c>
      <c r="AF103" s="329" t="str">
        <f t="shared" ca="1" si="225"/>
        <v>$/Sp=$280,700</v>
      </c>
      <c r="AG103" s="329" t="str">
        <f t="shared" ca="1" si="225"/>
        <v>$/Sp=$293,200</v>
      </c>
      <c r="AH103" s="329" t="str">
        <f t="shared" ca="1" si="225"/>
        <v>$/Sp=$306,300</v>
      </c>
      <c r="AI103" s="329" t="str">
        <f t="shared" ref="AI103:AJ103" ca="1" si="226">"$/Sp="&amp;TEXT(ROUND((AI102/NoOfSpaces),-2),"$0,0")</f>
        <v>$/Sp=$319,900</v>
      </c>
      <c r="AJ103" s="329" t="str">
        <f t="shared" ca="1" si="226"/>
        <v>$/Sp=$334,100</v>
      </c>
      <c r="AK103" s="729"/>
      <c r="AL103" s="729"/>
      <c r="AM103" s="729"/>
      <c r="AN103" s="729"/>
      <c r="AO103" s="729"/>
      <c r="AP103" s="729"/>
      <c r="AQ103" s="729"/>
      <c r="AR103" s="729"/>
      <c r="AS103" s="729"/>
      <c r="AT103" s="729"/>
      <c r="AU103" s="729"/>
      <c r="AV103" s="729"/>
      <c r="AW103" s="729"/>
      <c r="AX103" s="729"/>
      <c r="AY103" s="729"/>
      <c r="AZ103" s="729"/>
      <c r="BA103" s="729"/>
      <c r="BB103" s="729"/>
      <c r="BC103" s="729"/>
      <c r="BD103" s="729"/>
      <c r="BE103" s="729"/>
      <c r="BF103" s="729"/>
      <c r="BG103" s="729"/>
      <c r="BH103" s="729"/>
      <c r="BI103" s="729"/>
      <c r="BJ103" s="729"/>
      <c r="BK103" s="729"/>
      <c r="BL103" s="729"/>
      <c r="BM103" s="729"/>
      <c r="BN103" s="729"/>
      <c r="BO103" s="729"/>
      <c r="BP103" s="729"/>
      <c r="BQ103" s="729"/>
      <c r="BR103" s="729"/>
      <c r="BS103" s="729"/>
      <c r="BT103" s="729"/>
      <c r="BU103" s="729"/>
      <c r="BV103" s="729"/>
      <c r="BW103" s="729"/>
      <c r="BX103" s="729"/>
      <c r="BY103" s="729"/>
      <c r="BZ103" s="729"/>
    </row>
    <row r="104" spans="3:78" x14ac:dyDescent="0.15">
      <c r="C104" s="717" t="s">
        <v>59</v>
      </c>
      <c r="D104" s="24"/>
      <c r="E104" s="708"/>
      <c r="F104" s="8">
        <f t="shared" ref="F104:AH104" ca="1" si="227">F85-F94</f>
        <v>-25120.083400000003</v>
      </c>
      <c r="G104" s="8">
        <f t="shared" ca="1" si="227"/>
        <v>141962.10145377007</v>
      </c>
      <c r="H104" s="8">
        <f t="shared" ca="1" si="227"/>
        <v>215675.05733093224</v>
      </c>
      <c r="I104" s="8">
        <f t="shared" ca="1" si="227"/>
        <v>243875.85578658892</v>
      </c>
      <c r="J104" s="8">
        <f t="shared" ca="1" si="227"/>
        <v>272300.00173135893</v>
      </c>
      <c r="K104" s="8">
        <f t="shared" ca="1" si="227"/>
        <v>95442.582533426699</v>
      </c>
      <c r="L104" s="8">
        <f t="shared" ca="1" si="227"/>
        <v>121777.65321801312</v>
      </c>
      <c r="M104" s="8">
        <f t="shared" ca="1" si="227"/>
        <v>149254.21925187693</v>
      </c>
      <c r="N104" s="8">
        <f t="shared" ca="1" si="227"/>
        <v>177919.70229942701</v>
      </c>
      <c r="O104" s="8">
        <f t="shared" ca="1" si="227"/>
        <v>207823.45612865675</v>
      </c>
      <c r="P104" s="8">
        <f t="shared" ca="1" si="227"/>
        <v>239016.84460002917</v>
      </c>
      <c r="Q104" s="8">
        <f t="shared" ca="1" si="227"/>
        <v>271553.32278900978</v>
      </c>
      <c r="R104" s="8">
        <f t="shared" ca="1" si="227"/>
        <v>305488.52136787784</v>
      </c>
      <c r="S104" s="8">
        <f t="shared" ca="1" si="227"/>
        <v>340880.3343774752</v>
      </c>
      <c r="T104" s="8">
        <f t="shared" ca="1" si="227"/>
        <v>377789.01052478235</v>
      </c>
      <c r="U104" s="8">
        <f t="shared" ca="1" si="227"/>
        <v>416277.24814765505</v>
      </c>
      <c r="V104" s="8">
        <f t="shared" ca="1" si="227"/>
        <v>456410.29399370856</v>
      </c>
      <c r="W104" s="8">
        <f t="shared" ca="1" si="227"/>
        <v>498256.0459662358</v>
      </c>
      <c r="X104" s="8">
        <f t="shared" ca="1" si="227"/>
        <v>541885.15999614808</v>
      </c>
      <c r="Y104" s="8">
        <f t="shared" ca="1" si="227"/>
        <v>587371.16120531084</v>
      </c>
      <c r="Z104" s="8">
        <f t="shared" ca="1" si="227"/>
        <v>634790.55953325483</v>
      </c>
      <c r="AA104" s="8">
        <f t="shared" ca="1" si="227"/>
        <v>684222.97000613983</v>
      </c>
      <c r="AB104" s="8">
        <f t="shared" ca="1" si="227"/>
        <v>735751.23783399991</v>
      </c>
      <c r="AC104" s="8">
        <f t="shared" ca="1" si="227"/>
        <v>789461.56852975546</v>
      </c>
      <c r="AD104" s="8">
        <f t="shared" ca="1" si="227"/>
        <v>845443.66325121734</v>
      </c>
      <c r="AE104" s="8">
        <f t="shared" ca="1" si="227"/>
        <v>903790.85957537207</v>
      </c>
      <c r="AF104" s="8">
        <f t="shared" ca="1" si="227"/>
        <v>964600.27792260388</v>
      </c>
      <c r="AG104" s="8">
        <f t="shared" ca="1" si="227"/>
        <v>1027972.9738572367</v>
      </c>
      <c r="AH104" s="8">
        <f t="shared" ca="1" si="227"/>
        <v>1094014.0964998389</v>
      </c>
      <c r="AI104" s="8">
        <f t="shared" ref="AI104:AJ104" ca="1" si="228">AI85-AI94</f>
        <v>1162833.0532961399</v>
      </c>
      <c r="AJ104" s="8">
        <f t="shared" ca="1" si="228"/>
        <v>1234543.6813972476</v>
      </c>
      <c r="AK104" s="729"/>
      <c r="AL104" s="729"/>
      <c r="AM104" s="729"/>
      <c r="AN104" s="729"/>
      <c r="AO104" s="729"/>
      <c r="AP104" s="729"/>
      <c r="AQ104" s="729"/>
      <c r="AR104" s="729"/>
      <c r="AS104" s="729"/>
      <c r="AT104" s="729"/>
      <c r="AU104" s="729"/>
      <c r="AV104" s="729"/>
      <c r="AW104" s="729"/>
      <c r="AX104" s="729"/>
      <c r="AY104" s="729"/>
      <c r="AZ104" s="729"/>
      <c r="BA104" s="729"/>
      <c r="BB104" s="729"/>
      <c r="BC104" s="729"/>
      <c r="BD104" s="729"/>
      <c r="BE104" s="729"/>
      <c r="BF104" s="729"/>
      <c r="BG104" s="729"/>
      <c r="BH104" s="729"/>
      <c r="BI104" s="729"/>
      <c r="BJ104" s="729"/>
      <c r="BK104" s="729"/>
      <c r="BL104" s="729"/>
      <c r="BM104" s="729"/>
      <c r="BN104" s="729"/>
      <c r="BO104" s="729"/>
      <c r="BP104" s="729"/>
      <c r="BQ104" s="729"/>
      <c r="BR104" s="729"/>
      <c r="BS104" s="729"/>
      <c r="BT104" s="729"/>
      <c r="BU104" s="729"/>
      <c r="BV104" s="729"/>
      <c r="BW104" s="729"/>
      <c r="BX104" s="729"/>
      <c r="BY104" s="729"/>
      <c r="BZ104" s="729"/>
    </row>
    <row r="105" spans="3:78" x14ac:dyDescent="0.15">
      <c r="C105" s="717" t="s">
        <v>60</v>
      </c>
      <c r="D105" s="655" t="s">
        <v>200</v>
      </c>
      <c r="E105" s="656"/>
      <c r="F105" s="148">
        <v>70000</v>
      </c>
      <c r="G105" s="148">
        <v>0</v>
      </c>
      <c r="H105" s="148">
        <v>0</v>
      </c>
      <c r="I105" s="148">
        <v>0</v>
      </c>
      <c r="J105" s="148">
        <v>0</v>
      </c>
      <c r="K105" s="148">
        <v>0</v>
      </c>
      <c r="L105" s="148">
        <v>0</v>
      </c>
      <c r="M105" s="148">
        <v>0</v>
      </c>
      <c r="N105" s="148">
        <v>0</v>
      </c>
      <c r="O105" s="148">
        <v>0</v>
      </c>
      <c r="P105" s="148">
        <v>0</v>
      </c>
      <c r="Q105" s="148">
        <v>0</v>
      </c>
      <c r="R105" s="148">
        <v>0</v>
      </c>
      <c r="S105" s="148">
        <v>0</v>
      </c>
      <c r="T105" s="148">
        <v>0</v>
      </c>
      <c r="U105" s="148">
        <v>0</v>
      </c>
      <c r="V105" s="148">
        <v>0</v>
      </c>
      <c r="W105" s="148">
        <v>0</v>
      </c>
      <c r="X105" s="148">
        <v>0</v>
      </c>
      <c r="Y105" s="148">
        <v>0</v>
      </c>
      <c r="Z105" s="148">
        <v>0</v>
      </c>
      <c r="AA105" s="148">
        <v>0</v>
      </c>
      <c r="AB105" s="148">
        <v>0</v>
      </c>
      <c r="AC105" s="148">
        <v>0</v>
      </c>
      <c r="AD105" s="148">
        <v>0</v>
      </c>
      <c r="AE105" s="148">
        <v>0</v>
      </c>
      <c r="AF105" s="148">
        <v>0</v>
      </c>
      <c r="AG105" s="148">
        <v>0</v>
      </c>
      <c r="AH105" s="148">
        <v>0</v>
      </c>
      <c r="AI105" s="148">
        <v>0</v>
      </c>
      <c r="AJ105" s="148">
        <v>0</v>
      </c>
      <c r="AK105" s="729"/>
      <c r="AL105" s="729"/>
      <c r="AM105" s="729"/>
      <c r="AN105" s="729"/>
      <c r="AO105" s="729"/>
      <c r="AP105" s="729"/>
      <c r="AQ105" s="729"/>
      <c r="AR105" s="729"/>
      <c r="AS105" s="729"/>
      <c r="AT105" s="729"/>
      <c r="AU105" s="729"/>
      <c r="AV105" s="729"/>
      <c r="AW105" s="729"/>
      <c r="AX105" s="729"/>
      <c r="AY105" s="729"/>
      <c r="AZ105" s="729"/>
      <c r="BA105" s="729"/>
      <c r="BB105" s="729"/>
      <c r="BC105" s="729"/>
      <c r="BD105" s="729"/>
      <c r="BE105" s="729"/>
      <c r="BF105" s="729"/>
      <c r="BG105" s="729"/>
      <c r="BH105" s="729"/>
      <c r="BI105" s="729"/>
      <c r="BJ105" s="729"/>
      <c r="BK105" s="729"/>
      <c r="BL105" s="729"/>
      <c r="BM105" s="729"/>
      <c r="BN105" s="729"/>
      <c r="BO105" s="729"/>
      <c r="BP105" s="729"/>
      <c r="BQ105" s="729"/>
      <c r="BR105" s="729"/>
      <c r="BS105" s="729"/>
      <c r="BT105" s="729"/>
      <c r="BU105" s="729"/>
      <c r="BV105" s="729"/>
      <c r="BW105" s="729"/>
      <c r="BX105" s="729"/>
      <c r="BY105" s="729"/>
      <c r="BZ105" s="729"/>
    </row>
    <row r="106" spans="3:78" x14ac:dyDescent="0.15">
      <c r="C106" s="717" t="s">
        <v>201</v>
      </c>
      <c r="D106" s="24"/>
      <c r="E106" s="708"/>
      <c r="F106" s="148">
        <f>O23</f>
        <v>0</v>
      </c>
      <c r="G106" s="148">
        <f>F106</f>
        <v>0</v>
      </c>
      <c r="H106" s="148">
        <f t="shared" ref="H106:J106" si="229">G106</f>
        <v>0</v>
      </c>
      <c r="I106" s="148">
        <f t="shared" si="229"/>
        <v>0</v>
      </c>
      <c r="J106" s="148">
        <f t="shared" si="229"/>
        <v>0</v>
      </c>
      <c r="K106" s="148">
        <v>0</v>
      </c>
      <c r="L106" s="148">
        <v>0</v>
      </c>
      <c r="M106" s="148">
        <v>0</v>
      </c>
      <c r="N106" s="148">
        <v>0</v>
      </c>
      <c r="O106" s="148">
        <v>0</v>
      </c>
      <c r="P106" s="148">
        <v>0</v>
      </c>
      <c r="Q106" s="148">
        <v>0</v>
      </c>
      <c r="R106" s="148">
        <v>0</v>
      </c>
      <c r="S106" s="148">
        <v>0</v>
      </c>
      <c r="T106" s="148">
        <v>0</v>
      </c>
      <c r="U106" s="148">
        <v>0</v>
      </c>
      <c r="V106" s="148">
        <v>0</v>
      </c>
      <c r="W106" s="148">
        <v>0</v>
      </c>
      <c r="X106" s="148">
        <v>0</v>
      </c>
      <c r="Y106" s="148">
        <v>0</v>
      </c>
      <c r="Z106" s="148">
        <v>0</v>
      </c>
      <c r="AA106" s="148">
        <v>0</v>
      </c>
      <c r="AB106" s="148">
        <v>0</v>
      </c>
      <c r="AC106" s="148">
        <v>0</v>
      </c>
      <c r="AD106" s="148">
        <v>0</v>
      </c>
      <c r="AE106" s="148">
        <v>0</v>
      </c>
      <c r="AF106" s="148">
        <v>0</v>
      </c>
      <c r="AG106" s="148">
        <v>0</v>
      </c>
      <c r="AH106" s="148">
        <v>0</v>
      </c>
      <c r="AI106" s="148">
        <v>0</v>
      </c>
      <c r="AJ106" s="148">
        <v>0</v>
      </c>
      <c r="AK106" s="729"/>
      <c r="AL106" s="729"/>
      <c r="AM106" s="729"/>
      <c r="AN106" s="729"/>
      <c r="AO106" s="729"/>
      <c r="AP106" s="729"/>
      <c r="AQ106" s="729"/>
      <c r="AR106" s="729"/>
      <c r="AS106" s="729"/>
      <c r="AT106" s="729"/>
      <c r="AU106" s="729"/>
      <c r="AV106" s="729"/>
      <c r="AW106" s="729"/>
      <c r="AX106" s="729"/>
      <c r="AY106" s="729"/>
      <c r="AZ106" s="729"/>
      <c r="BA106" s="729"/>
      <c r="BB106" s="729"/>
      <c r="BC106" s="729"/>
      <c r="BD106" s="729"/>
      <c r="BE106" s="729"/>
      <c r="BF106" s="729"/>
      <c r="BG106" s="729"/>
      <c r="BH106" s="729"/>
      <c r="BI106" s="729"/>
      <c r="BJ106" s="729"/>
      <c r="BK106" s="729"/>
      <c r="BL106" s="729"/>
      <c r="BM106" s="729"/>
      <c r="BN106" s="729"/>
      <c r="BO106" s="729"/>
      <c r="BP106" s="729"/>
      <c r="BQ106" s="729"/>
      <c r="BR106" s="729"/>
      <c r="BS106" s="729"/>
      <c r="BT106" s="729"/>
      <c r="BU106" s="729"/>
      <c r="BV106" s="729"/>
      <c r="BW106" s="729"/>
      <c r="BX106" s="729"/>
      <c r="BY106" s="729"/>
      <c r="BZ106" s="729"/>
    </row>
    <row r="107" spans="3:78" x14ac:dyDescent="0.15">
      <c r="C107" s="717" t="s">
        <v>202</v>
      </c>
      <c r="D107" s="24"/>
      <c r="E107" s="708"/>
      <c r="F107" s="148">
        <v>0</v>
      </c>
      <c r="G107" s="148">
        <v>0</v>
      </c>
      <c r="H107" s="148">
        <v>0</v>
      </c>
      <c r="I107" s="148">
        <v>0</v>
      </c>
      <c r="J107" s="148">
        <v>0</v>
      </c>
      <c r="K107" s="148">
        <v>0</v>
      </c>
      <c r="L107" s="148">
        <v>0</v>
      </c>
      <c r="M107" s="148">
        <v>0</v>
      </c>
      <c r="N107" s="148">
        <v>0</v>
      </c>
      <c r="O107" s="148">
        <v>0</v>
      </c>
      <c r="P107" s="148">
        <v>0</v>
      </c>
      <c r="Q107" s="148">
        <v>0</v>
      </c>
      <c r="R107" s="148">
        <v>0</v>
      </c>
      <c r="S107" s="148">
        <v>0</v>
      </c>
      <c r="T107" s="148">
        <v>0</v>
      </c>
      <c r="U107" s="148">
        <v>0</v>
      </c>
      <c r="V107" s="148">
        <v>0</v>
      </c>
      <c r="W107" s="148">
        <v>0</v>
      </c>
      <c r="X107" s="148">
        <v>0</v>
      </c>
      <c r="Y107" s="148">
        <v>0</v>
      </c>
      <c r="Z107" s="148">
        <v>0</v>
      </c>
      <c r="AA107" s="148">
        <v>0</v>
      </c>
      <c r="AB107" s="148">
        <v>0</v>
      </c>
      <c r="AC107" s="148">
        <v>0</v>
      </c>
      <c r="AD107" s="148">
        <v>0</v>
      </c>
      <c r="AE107" s="148">
        <v>0</v>
      </c>
      <c r="AF107" s="148">
        <v>0</v>
      </c>
      <c r="AG107" s="148">
        <v>0</v>
      </c>
      <c r="AH107" s="148">
        <v>0</v>
      </c>
      <c r="AI107" s="148">
        <v>0</v>
      </c>
      <c r="AJ107" s="148">
        <v>0</v>
      </c>
      <c r="AK107" s="729"/>
      <c r="AL107" s="729"/>
      <c r="AM107" s="729"/>
      <c r="AN107" s="729"/>
      <c r="AO107" s="729"/>
      <c r="AP107" s="729"/>
      <c r="AQ107" s="729"/>
      <c r="AR107" s="729"/>
      <c r="AS107" s="729"/>
      <c r="AT107" s="729"/>
      <c r="AU107" s="729"/>
      <c r="AV107" s="729"/>
      <c r="AW107" s="729"/>
      <c r="AX107" s="729"/>
      <c r="AY107" s="729"/>
      <c r="AZ107" s="729"/>
      <c r="BA107" s="729"/>
      <c r="BB107" s="729"/>
      <c r="BC107" s="729"/>
      <c r="BD107" s="729"/>
      <c r="BE107" s="729"/>
      <c r="BF107" s="729"/>
      <c r="BG107" s="729"/>
      <c r="BH107" s="729"/>
      <c r="BI107" s="729"/>
      <c r="BJ107" s="729"/>
      <c r="BK107" s="729"/>
      <c r="BL107" s="729"/>
      <c r="BM107" s="729"/>
      <c r="BN107" s="729"/>
      <c r="BO107" s="729"/>
      <c r="BP107" s="729"/>
      <c r="BQ107" s="729"/>
      <c r="BR107" s="729"/>
      <c r="BS107" s="729"/>
      <c r="BT107" s="729"/>
      <c r="BU107" s="729"/>
      <c r="BV107" s="729"/>
      <c r="BW107" s="729"/>
      <c r="BX107" s="729"/>
      <c r="BY107" s="729"/>
      <c r="BZ107" s="729"/>
    </row>
    <row r="108" spans="3:78" x14ac:dyDescent="0.15">
      <c r="C108" s="717" t="s">
        <v>203</v>
      </c>
      <c r="D108" s="24"/>
      <c r="E108" s="708"/>
      <c r="F108" s="148">
        <v>0</v>
      </c>
      <c r="G108" s="148">
        <v>0</v>
      </c>
      <c r="H108" s="148">
        <v>0</v>
      </c>
      <c r="I108" s="148">
        <v>0</v>
      </c>
      <c r="J108" s="148">
        <v>0</v>
      </c>
      <c r="K108" s="148">
        <v>0</v>
      </c>
      <c r="L108" s="148">
        <v>0</v>
      </c>
      <c r="M108" s="148">
        <v>0</v>
      </c>
      <c r="N108" s="148">
        <v>0</v>
      </c>
      <c r="O108" s="148">
        <v>0</v>
      </c>
      <c r="P108" s="148">
        <f>IF(P90*12&lt;='Closing Funds - POHs'!$E$30,'Closing Funds - POHs'!$H$30,0)</f>
        <v>0</v>
      </c>
      <c r="Q108" s="148">
        <f>IF(Q90*12&lt;='Closing Funds - POHs'!$E$30,'Closing Funds - POHs'!$H$30,0)</f>
        <v>0</v>
      </c>
      <c r="R108" s="148">
        <f>IF(R90*12&lt;='Closing Funds - POHs'!$E$30,'Closing Funds - POHs'!$H$30,0)</f>
        <v>0</v>
      </c>
      <c r="S108" s="148">
        <f>IF(S90*12&lt;='Closing Funds - POHs'!$E$30,'Closing Funds - POHs'!$H$30,0)</f>
        <v>0</v>
      </c>
      <c r="T108" s="148">
        <f>IF(T90*12&lt;='Closing Funds - POHs'!$E$30,'Closing Funds - POHs'!$H$30,0)</f>
        <v>0</v>
      </c>
      <c r="U108" s="148">
        <f>IF(U90*12&lt;='Closing Funds - POHs'!$E$30,'Closing Funds - POHs'!$H$30,0)</f>
        <v>0</v>
      </c>
      <c r="V108" s="148">
        <f>IF(V90*12&lt;='Closing Funds - POHs'!$E$30,'Closing Funds - POHs'!$H$30,0)</f>
        <v>0</v>
      </c>
      <c r="W108" s="148">
        <f>IF(W90*12&lt;='Closing Funds - POHs'!$E$30,'Closing Funds - POHs'!$H$30,0)</f>
        <v>0</v>
      </c>
      <c r="X108" s="148">
        <f>IF(X90*12&lt;='Closing Funds - POHs'!$E$30,'Closing Funds - POHs'!$H$30,0)</f>
        <v>0</v>
      </c>
      <c r="Y108" s="148">
        <f>IF(Y90*12&lt;='Closing Funds - POHs'!$E$30,'Closing Funds - POHs'!$H$30,0)</f>
        <v>0</v>
      </c>
      <c r="Z108" s="148">
        <f>IF(Z90*12&lt;='Closing Funds - POHs'!$E$30,'Closing Funds - POHs'!$H$30,0)</f>
        <v>0</v>
      </c>
      <c r="AA108" s="148">
        <f>IF(AA90*12&lt;='Closing Funds - POHs'!$E$30,'Closing Funds - POHs'!$H$30,0)</f>
        <v>0</v>
      </c>
      <c r="AB108" s="148">
        <f>IF(AB90*12&lt;='Closing Funds - POHs'!$E$30,'Closing Funds - POHs'!$H$30,0)</f>
        <v>0</v>
      </c>
      <c r="AC108" s="148">
        <f>IF(AC90*12&lt;='Closing Funds - POHs'!$E$30,'Closing Funds - POHs'!$H$30,0)</f>
        <v>0</v>
      </c>
      <c r="AD108" s="148">
        <f>IF(AD90*12&lt;='Closing Funds - POHs'!$E$30,'Closing Funds - POHs'!$H$30,0)</f>
        <v>0</v>
      </c>
      <c r="AE108" s="148">
        <f>IF(AE90*12&lt;='Closing Funds - POHs'!$E$30,'Closing Funds - POHs'!$H$30,0)</f>
        <v>0</v>
      </c>
      <c r="AF108" s="148">
        <f>IF(AF90*12&lt;='Closing Funds - POHs'!$E$30,'Closing Funds - POHs'!$H$30,0)</f>
        <v>0</v>
      </c>
      <c r="AG108" s="148">
        <f>IF(AG90*12&lt;='Closing Funds - POHs'!$E$30,'Closing Funds - POHs'!$H$30,0)</f>
        <v>0</v>
      </c>
      <c r="AH108" s="148">
        <f>IF(AH90*12&lt;='Closing Funds - POHs'!$E$30,'Closing Funds - POHs'!$H$30,0)</f>
        <v>0</v>
      </c>
      <c r="AI108" s="148">
        <f>IF(AI90*12&lt;='Closing Funds - POHs'!$E$30,'Closing Funds - POHs'!$H$30,0)</f>
        <v>0</v>
      </c>
      <c r="AJ108" s="148">
        <f>IF(AJ90*12&lt;='Closing Funds - POHs'!$E$30,'Closing Funds - POHs'!$H$30,0)</f>
        <v>0</v>
      </c>
      <c r="AK108" s="729"/>
      <c r="AL108" s="729"/>
      <c r="AM108" s="729"/>
      <c r="AN108" s="729"/>
      <c r="AO108" s="729"/>
      <c r="AP108" s="729"/>
      <c r="AQ108" s="729"/>
      <c r="AR108" s="729"/>
      <c r="AS108" s="729"/>
      <c r="AT108" s="729"/>
      <c r="AU108" s="729"/>
      <c r="AV108" s="729"/>
      <c r="AW108" s="729"/>
      <c r="AX108" s="729"/>
      <c r="AY108" s="729"/>
      <c r="AZ108" s="729"/>
      <c r="BA108" s="729"/>
      <c r="BB108" s="729"/>
      <c r="BC108" s="729"/>
      <c r="BD108" s="729"/>
      <c r="BE108" s="729"/>
      <c r="BF108" s="729"/>
      <c r="BG108" s="729"/>
      <c r="BH108" s="729"/>
      <c r="BI108" s="729"/>
      <c r="BJ108" s="729"/>
      <c r="BK108" s="729"/>
      <c r="BL108" s="729"/>
      <c r="BM108" s="729"/>
      <c r="BN108" s="729"/>
      <c r="BO108" s="729"/>
      <c r="BP108" s="729"/>
      <c r="BQ108" s="729"/>
      <c r="BR108" s="729"/>
      <c r="BS108" s="729"/>
      <c r="BT108" s="729"/>
      <c r="BU108" s="729"/>
      <c r="BV108" s="729"/>
      <c r="BW108" s="729"/>
      <c r="BX108" s="729"/>
      <c r="BY108" s="729"/>
      <c r="BZ108" s="729"/>
    </row>
    <row r="109" spans="3:78" x14ac:dyDescent="0.15">
      <c r="C109" s="717" t="s">
        <v>86</v>
      </c>
      <c r="D109" s="24"/>
      <c r="E109" s="148">
        <f>-AcquisitionFee*Purchase_Price</f>
        <v>0</v>
      </c>
      <c r="F109" s="148">
        <v>0</v>
      </c>
      <c r="G109" s="148">
        <v>0</v>
      </c>
      <c r="H109" s="148">
        <v>0</v>
      </c>
      <c r="I109" s="148">
        <v>0</v>
      </c>
      <c r="J109" s="148">
        <v>0</v>
      </c>
      <c r="K109" s="148">
        <v>0</v>
      </c>
      <c r="L109" s="148">
        <v>0</v>
      </c>
      <c r="M109" s="148">
        <v>0</v>
      </c>
      <c r="N109" s="148">
        <v>0</v>
      </c>
      <c r="O109" s="148">
        <v>0</v>
      </c>
      <c r="P109" s="148">
        <v>0</v>
      </c>
      <c r="Q109" s="148">
        <v>0</v>
      </c>
      <c r="R109" s="148">
        <v>0</v>
      </c>
      <c r="S109" s="148">
        <v>0</v>
      </c>
      <c r="T109" s="148">
        <v>0</v>
      </c>
      <c r="U109" s="148">
        <v>0</v>
      </c>
      <c r="V109" s="148">
        <v>0</v>
      </c>
      <c r="W109" s="148">
        <v>0</v>
      </c>
      <c r="X109" s="148">
        <v>0</v>
      </c>
      <c r="Y109" s="148">
        <v>0</v>
      </c>
      <c r="Z109" s="148">
        <v>0</v>
      </c>
      <c r="AA109" s="148">
        <v>0</v>
      </c>
      <c r="AB109" s="148">
        <v>0</v>
      </c>
      <c r="AC109" s="148">
        <v>0</v>
      </c>
      <c r="AD109" s="148">
        <v>0</v>
      </c>
      <c r="AE109" s="148">
        <v>0</v>
      </c>
      <c r="AF109" s="148">
        <v>0</v>
      </c>
      <c r="AG109" s="148">
        <v>0</v>
      </c>
      <c r="AH109" s="148">
        <v>0</v>
      </c>
      <c r="AI109" s="148">
        <v>0</v>
      </c>
      <c r="AJ109" s="148">
        <v>0</v>
      </c>
      <c r="AK109" s="729"/>
      <c r="AL109" s="729"/>
      <c r="AM109" s="729"/>
      <c r="AN109" s="729"/>
      <c r="AO109" s="729"/>
      <c r="AP109" s="729"/>
      <c r="AQ109" s="729"/>
      <c r="AR109" s="729"/>
      <c r="AS109" s="729"/>
      <c r="AT109" s="729"/>
      <c r="AU109" s="729"/>
      <c r="AV109" s="729"/>
      <c r="AW109" s="729"/>
      <c r="AX109" s="729"/>
      <c r="AY109" s="729"/>
      <c r="AZ109" s="729"/>
      <c r="BA109" s="729"/>
      <c r="BB109" s="729"/>
      <c r="BC109" s="729"/>
      <c r="BD109" s="729"/>
      <c r="BE109" s="729"/>
      <c r="BF109" s="729"/>
      <c r="BG109" s="729"/>
      <c r="BH109" s="729"/>
      <c r="BI109" s="729"/>
      <c r="BJ109" s="729"/>
      <c r="BK109" s="729"/>
      <c r="BL109" s="729"/>
      <c r="BM109" s="729"/>
      <c r="BN109" s="729"/>
      <c r="BO109" s="729"/>
      <c r="BP109" s="729"/>
      <c r="BQ109" s="729"/>
      <c r="BR109" s="729"/>
      <c r="BS109" s="729"/>
      <c r="BT109" s="729"/>
      <c r="BU109" s="729"/>
      <c r="BV109" s="729"/>
      <c r="BW109" s="729"/>
      <c r="BX109" s="729"/>
      <c r="BY109" s="729"/>
      <c r="BZ109" s="729"/>
    </row>
    <row r="110" spans="3:78" x14ac:dyDescent="0.15">
      <c r="C110" s="717" t="s">
        <v>90</v>
      </c>
      <c r="D110" s="24"/>
      <c r="E110" s="708"/>
      <c r="F110" s="148">
        <f t="shared" ref="F110:AJ110" si="230">$E$115*AssetMgmtFee</f>
        <v>0</v>
      </c>
      <c r="G110" s="148">
        <f t="shared" si="230"/>
        <v>0</v>
      </c>
      <c r="H110" s="148">
        <f t="shared" si="230"/>
        <v>0</v>
      </c>
      <c r="I110" s="148">
        <f t="shared" si="230"/>
        <v>0</v>
      </c>
      <c r="J110" s="148">
        <f t="shared" si="230"/>
        <v>0</v>
      </c>
      <c r="K110" s="148">
        <f t="shared" si="230"/>
        <v>0</v>
      </c>
      <c r="L110" s="148">
        <f t="shared" si="230"/>
        <v>0</v>
      </c>
      <c r="M110" s="148">
        <f t="shared" si="230"/>
        <v>0</v>
      </c>
      <c r="N110" s="148">
        <f t="shared" si="230"/>
        <v>0</v>
      </c>
      <c r="O110" s="148">
        <f t="shared" si="230"/>
        <v>0</v>
      </c>
      <c r="P110" s="148">
        <f t="shared" si="230"/>
        <v>0</v>
      </c>
      <c r="Q110" s="148">
        <f t="shared" si="230"/>
        <v>0</v>
      </c>
      <c r="R110" s="148">
        <f t="shared" si="230"/>
        <v>0</v>
      </c>
      <c r="S110" s="148">
        <f t="shared" si="230"/>
        <v>0</v>
      </c>
      <c r="T110" s="148">
        <f t="shared" si="230"/>
        <v>0</v>
      </c>
      <c r="U110" s="148">
        <f t="shared" si="230"/>
        <v>0</v>
      </c>
      <c r="V110" s="148">
        <f t="shared" si="230"/>
        <v>0</v>
      </c>
      <c r="W110" s="148">
        <f t="shared" si="230"/>
        <v>0</v>
      </c>
      <c r="X110" s="148">
        <f t="shared" si="230"/>
        <v>0</v>
      </c>
      <c r="Y110" s="148">
        <f t="shared" si="230"/>
        <v>0</v>
      </c>
      <c r="Z110" s="148">
        <f t="shared" si="230"/>
        <v>0</v>
      </c>
      <c r="AA110" s="148">
        <f t="shared" si="230"/>
        <v>0</v>
      </c>
      <c r="AB110" s="148">
        <f t="shared" si="230"/>
        <v>0</v>
      </c>
      <c r="AC110" s="148">
        <f t="shared" si="230"/>
        <v>0</v>
      </c>
      <c r="AD110" s="148">
        <f t="shared" si="230"/>
        <v>0</v>
      </c>
      <c r="AE110" s="148">
        <f t="shared" si="230"/>
        <v>0</v>
      </c>
      <c r="AF110" s="148">
        <f t="shared" si="230"/>
        <v>0</v>
      </c>
      <c r="AG110" s="148">
        <f t="shared" si="230"/>
        <v>0</v>
      </c>
      <c r="AH110" s="148">
        <f t="shared" si="230"/>
        <v>0</v>
      </c>
      <c r="AI110" s="148">
        <f t="shared" si="230"/>
        <v>0</v>
      </c>
      <c r="AJ110" s="148">
        <f t="shared" si="230"/>
        <v>0</v>
      </c>
      <c r="AK110" s="729"/>
      <c r="AL110" s="729"/>
      <c r="AM110" s="729"/>
      <c r="AN110" s="729"/>
      <c r="AO110" s="729"/>
      <c r="AP110" s="729"/>
      <c r="AQ110" s="729"/>
      <c r="AR110" s="729"/>
      <c r="AS110" s="729"/>
      <c r="AT110" s="729"/>
      <c r="AU110" s="729"/>
      <c r="AV110" s="729"/>
      <c r="AW110" s="729"/>
      <c r="AX110" s="729"/>
      <c r="AY110" s="729"/>
      <c r="AZ110" s="729"/>
      <c r="BA110" s="729"/>
      <c r="BB110" s="729"/>
      <c r="BC110" s="729"/>
      <c r="BD110" s="729"/>
      <c r="BE110" s="729"/>
      <c r="BF110" s="729"/>
      <c r="BG110" s="729"/>
      <c r="BH110" s="729"/>
      <c r="BI110" s="729"/>
      <c r="BJ110" s="729"/>
      <c r="BK110" s="729"/>
      <c r="BL110" s="729"/>
      <c r="BM110" s="729"/>
      <c r="BN110" s="729"/>
      <c r="BO110" s="729"/>
      <c r="BP110" s="729"/>
      <c r="BQ110" s="729"/>
      <c r="BR110" s="729"/>
      <c r="BS110" s="729"/>
      <c r="BT110" s="729"/>
      <c r="BU110" s="729"/>
      <c r="BV110" s="729"/>
      <c r="BW110" s="729"/>
      <c r="BX110" s="729"/>
      <c r="BY110" s="729"/>
      <c r="BZ110" s="729"/>
    </row>
    <row r="111" spans="3:78" x14ac:dyDescent="0.15">
      <c r="C111" s="717" t="s">
        <v>204</v>
      </c>
      <c r="D111" s="24"/>
      <c r="E111" s="708"/>
      <c r="F111" s="148">
        <f t="shared" ref="F111:AJ111" si="231">IF(F91="Refinance",-G91*RefinanceFee,0)</f>
        <v>0</v>
      </c>
      <c r="G111" s="148">
        <f t="shared" si="231"/>
        <v>0</v>
      </c>
      <c r="H111" s="148">
        <v>200000</v>
      </c>
      <c r="I111" s="148">
        <f t="shared" si="231"/>
        <v>0</v>
      </c>
      <c r="J111" s="148">
        <f t="shared" ca="1" si="231"/>
        <v>0</v>
      </c>
      <c r="K111" s="148">
        <f t="shared" ca="1" si="231"/>
        <v>0</v>
      </c>
      <c r="L111" s="148">
        <f t="shared" si="231"/>
        <v>0</v>
      </c>
      <c r="M111" s="148">
        <f t="shared" si="231"/>
        <v>0</v>
      </c>
      <c r="N111" s="148">
        <f t="shared" si="231"/>
        <v>0</v>
      </c>
      <c r="O111" s="148">
        <f t="shared" si="231"/>
        <v>0</v>
      </c>
      <c r="P111" s="148">
        <f t="shared" si="231"/>
        <v>0</v>
      </c>
      <c r="Q111" s="148">
        <f t="shared" si="231"/>
        <v>0</v>
      </c>
      <c r="R111" s="148">
        <f t="shared" si="231"/>
        <v>0</v>
      </c>
      <c r="S111" s="148">
        <f t="shared" si="231"/>
        <v>0</v>
      </c>
      <c r="T111" s="148">
        <f t="shared" si="231"/>
        <v>0</v>
      </c>
      <c r="U111" s="148">
        <f t="shared" si="231"/>
        <v>0</v>
      </c>
      <c r="V111" s="148">
        <f t="shared" si="231"/>
        <v>0</v>
      </c>
      <c r="W111" s="148">
        <f t="shared" si="231"/>
        <v>0</v>
      </c>
      <c r="X111" s="148">
        <f t="shared" si="231"/>
        <v>0</v>
      </c>
      <c r="Y111" s="148">
        <f t="shared" si="231"/>
        <v>0</v>
      </c>
      <c r="Z111" s="148">
        <f t="shared" si="231"/>
        <v>0</v>
      </c>
      <c r="AA111" s="148">
        <f t="shared" si="231"/>
        <v>0</v>
      </c>
      <c r="AB111" s="148">
        <f t="shared" si="231"/>
        <v>0</v>
      </c>
      <c r="AC111" s="148">
        <f t="shared" si="231"/>
        <v>0</v>
      </c>
      <c r="AD111" s="148">
        <f t="shared" si="231"/>
        <v>0</v>
      </c>
      <c r="AE111" s="148">
        <f t="shared" si="231"/>
        <v>0</v>
      </c>
      <c r="AF111" s="148">
        <f t="shared" si="231"/>
        <v>0</v>
      </c>
      <c r="AG111" s="148">
        <f t="shared" si="231"/>
        <v>0</v>
      </c>
      <c r="AH111" s="148">
        <f t="shared" si="231"/>
        <v>0</v>
      </c>
      <c r="AI111" s="148">
        <f t="shared" si="231"/>
        <v>0</v>
      </c>
      <c r="AJ111" s="148">
        <f t="shared" si="231"/>
        <v>0</v>
      </c>
      <c r="AK111" s="729"/>
      <c r="AL111" s="729"/>
      <c r="AM111" s="729"/>
      <c r="AN111" s="729"/>
      <c r="AO111" s="729"/>
      <c r="AP111" s="729"/>
      <c r="AQ111" s="729"/>
      <c r="AR111" s="729"/>
      <c r="AS111" s="729"/>
      <c r="AT111" s="729"/>
      <c r="AU111" s="729"/>
      <c r="AV111" s="729"/>
      <c r="AW111" s="729"/>
      <c r="AX111" s="729"/>
      <c r="AY111" s="729"/>
      <c r="AZ111" s="729"/>
      <c r="BA111" s="729"/>
      <c r="BB111" s="729"/>
      <c r="BC111" s="729"/>
      <c r="BD111" s="729"/>
      <c r="BE111" s="729"/>
      <c r="BF111" s="729"/>
      <c r="BG111" s="729"/>
      <c r="BH111" s="729"/>
      <c r="BI111" s="729"/>
      <c r="BJ111" s="729"/>
      <c r="BK111" s="729"/>
      <c r="BL111" s="729"/>
      <c r="BM111" s="729"/>
      <c r="BN111" s="729"/>
      <c r="BO111" s="729"/>
      <c r="BP111" s="729"/>
      <c r="BQ111" s="729"/>
      <c r="BR111" s="729"/>
      <c r="BS111" s="729"/>
      <c r="BT111" s="729"/>
      <c r="BU111" s="729"/>
      <c r="BV111" s="729"/>
      <c r="BW111" s="729"/>
      <c r="BX111" s="729"/>
      <c r="BY111" s="729"/>
      <c r="BZ111" s="729"/>
    </row>
    <row r="112" spans="3:78" x14ac:dyDescent="0.15">
      <c r="C112" s="717" t="s">
        <v>97</v>
      </c>
      <c r="D112" s="24"/>
      <c r="E112" s="708"/>
      <c r="F112" s="148">
        <v>0</v>
      </c>
      <c r="G112" s="148">
        <v>0</v>
      </c>
      <c r="H112" s="148">
        <v>0</v>
      </c>
      <c r="I112" s="148">
        <v>0</v>
      </c>
      <c r="J112" s="148">
        <v>0</v>
      </c>
      <c r="K112" s="148">
        <v>0</v>
      </c>
      <c r="L112" s="148">
        <v>0</v>
      </c>
      <c r="M112" s="148">
        <v>0</v>
      </c>
      <c r="N112" s="148">
        <v>0</v>
      </c>
      <c r="O112" s="148">
        <v>0</v>
      </c>
      <c r="P112" s="148">
        <f ca="1">IF(P94*12&lt;='Closing Funds - POHs'!$E$30,'Closing Funds - POHs'!$H$30,0)</f>
        <v>0</v>
      </c>
      <c r="Q112" s="148">
        <f ca="1">IF(Q94*12&lt;='Closing Funds - POHs'!$E$30,'Closing Funds - POHs'!$H$30,0)</f>
        <v>0</v>
      </c>
      <c r="R112" s="148">
        <f ca="1">IF(R94*12&lt;='Closing Funds - POHs'!$E$30,'Closing Funds - POHs'!$H$30,0)</f>
        <v>0</v>
      </c>
      <c r="S112" s="148">
        <f ca="1">IF(S94*12&lt;='Closing Funds - POHs'!$E$30,'Closing Funds - POHs'!$H$30,0)</f>
        <v>0</v>
      </c>
      <c r="T112" s="148">
        <f ca="1">IF(T94*12&lt;='Closing Funds - POHs'!$E$30,'Closing Funds - POHs'!$H$30,0)</f>
        <v>0</v>
      </c>
      <c r="U112" s="148">
        <f ca="1">IF(U94*12&lt;='Closing Funds - POHs'!$E$30,'Closing Funds - POHs'!$H$30,0)</f>
        <v>0</v>
      </c>
      <c r="V112" s="148">
        <f ca="1">IF(V94*12&lt;='Closing Funds - POHs'!$E$30,'Closing Funds - POHs'!$H$30,0)</f>
        <v>0</v>
      </c>
      <c r="W112" s="148">
        <f ca="1">IF(W94*12&lt;='Closing Funds - POHs'!$E$30,'Closing Funds - POHs'!$H$30,0)</f>
        <v>0</v>
      </c>
      <c r="X112" s="148">
        <f ca="1">IF(X94*12&lt;='Closing Funds - POHs'!$E$30,'Closing Funds - POHs'!$H$30,0)</f>
        <v>0</v>
      </c>
      <c r="Y112" s="148">
        <f ca="1">IF(Y94*12&lt;='Closing Funds - POHs'!$E$30,'Closing Funds - POHs'!$H$30,0)</f>
        <v>0</v>
      </c>
      <c r="Z112" s="148">
        <f ca="1">IF(Z94*12&lt;='Closing Funds - POHs'!$E$30,'Closing Funds - POHs'!$H$30,0)</f>
        <v>0</v>
      </c>
      <c r="AA112" s="148">
        <f ca="1">IF(AA94*12&lt;='Closing Funds - POHs'!$E$30,'Closing Funds - POHs'!$H$30,0)</f>
        <v>0</v>
      </c>
      <c r="AB112" s="148">
        <f ca="1">IF(AB94*12&lt;='Closing Funds - POHs'!$E$30,'Closing Funds - POHs'!$H$30,0)</f>
        <v>0</v>
      </c>
      <c r="AC112" s="148">
        <f ca="1">IF(AC94*12&lt;='Closing Funds - POHs'!$E$30,'Closing Funds - POHs'!$H$30,0)</f>
        <v>0</v>
      </c>
      <c r="AD112" s="148">
        <f ca="1">IF(AD94*12&lt;='Closing Funds - POHs'!$E$30,'Closing Funds - POHs'!$H$30,0)</f>
        <v>0</v>
      </c>
      <c r="AE112" s="148">
        <f ca="1">IF(AE94*12&lt;='Closing Funds - POHs'!$E$30,'Closing Funds - POHs'!$H$30,0)</f>
        <v>0</v>
      </c>
      <c r="AF112" s="148">
        <f ca="1">IF(AF94*12&lt;='Closing Funds - POHs'!$E$30,'Closing Funds - POHs'!$H$30,0)</f>
        <v>0</v>
      </c>
      <c r="AG112" s="148">
        <f ca="1">IF(AG94*12&lt;='Closing Funds - POHs'!$E$30,'Closing Funds - POHs'!$H$30,0)</f>
        <v>0</v>
      </c>
      <c r="AH112" s="148">
        <f ca="1">IF(AH94*12&lt;='Closing Funds - POHs'!$E$30,'Closing Funds - POHs'!$H$30,0)</f>
        <v>0</v>
      </c>
      <c r="AI112" s="148">
        <f ca="1">IF(AI94*12&lt;='Closing Funds - POHs'!$E$30,'Closing Funds - POHs'!$H$30,0)</f>
        <v>0</v>
      </c>
      <c r="AJ112" s="148">
        <f ca="1">-DispositionFee*AJ102</f>
        <v>0</v>
      </c>
      <c r="AK112" s="729"/>
      <c r="AL112" s="729"/>
      <c r="AM112" s="729"/>
      <c r="AN112" s="729"/>
      <c r="AO112" s="729"/>
      <c r="AP112" s="729"/>
      <c r="AQ112" s="729"/>
      <c r="AR112" s="729"/>
      <c r="AS112" s="729"/>
      <c r="AT112" s="729"/>
      <c r="AU112" s="729"/>
      <c r="AV112" s="729"/>
      <c r="AW112" s="729"/>
      <c r="AX112" s="729"/>
      <c r="AY112" s="729"/>
      <c r="AZ112" s="729"/>
      <c r="BA112" s="729"/>
      <c r="BB112" s="729"/>
      <c r="BC112" s="729"/>
      <c r="BD112" s="729"/>
      <c r="BE112" s="729"/>
      <c r="BF112" s="729"/>
      <c r="BG112" s="729"/>
      <c r="BH112" s="729"/>
      <c r="BI112" s="729"/>
      <c r="BJ112" s="729"/>
      <c r="BK112" s="729"/>
      <c r="BL112" s="729"/>
      <c r="BM112" s="729"/>
      <c r="BN112" s="729"/>
      <c r="BO112" s="729"/>
      <c r="BP112" s="729"/>
      <c r="BQ112" s="729"/>
      <c r="BR112" s="729"/>
      <c r="BS112" s="729"/>
      <c r="BT112" s="729"/>
      <c r="BU112" s="729"/>
      <c r="BV112" s="729"/>
      <c r="BW112" s="729"/>
      <c r="BX112" s="729"/>
      <c r="BY112" s="729"/>
      <c r="BZ112" s="729"/>
    </row>
    <row r="113" spans="2:78" x14ac:dyDescent="0.15">
      <c r="C113" s="717" t="s">
        <v>205</v>
      </c>
      <c r="D113" s="24"/>
      <c r="E113" s="708"/>
      <c r="F113" s="148">
        <v>0</v>
      </c>
      <c r="G113" s="148">
        <f>+H93</f>
        <v>0</v>
      </c>
      <c r="H113" s="148">
        <f>+I93</f>
        <v>0</v>
      </c>
      <c r="I113" s="148">
        <f>J93</f>
        <v>0</v>
      </c>
      <c r="J113" s="148">
        <f ca="1">K93</f>
        <v>2917262.5337469121</v>
      </c>
      <c r="K113" s="148">
        <f t="shared" ref="K113:AG113" si="232">L93</f>
        <v>0</v>
      </c>
      <c r="L113" s="148">
        <f t="shared" si="232"/>
        <v>0</v>
      </c>
      <c r="M113" s="148">
        <f t="shared" si="232"/>
        <v>0</v>
      </c>
      <c r="N113" s="148">
        <f t="shared" si="232"/>
        <v>0</v>
      </c>
      <c r="O113" s="148">
        <f t="shared" si="232"/>
        <v>0</v>
      </c>
      <c r="P113" s="148">
        <f t="shared" si="232"/>
        <v>0</v>
      </c>
      <c r="Q113" s="148">
        <f t="shared" si="232"/>
        <v>0</v>
      </c>
      <c r="R113" s="148">
        <f t="shared" si="232"/>
        <v>0</v>
      </c>
      <c r="S113" s="148">
        <f t="shared" si="232"/>
        <v>0</v>
      </c>
      <c r="T113" s="148">
        <f t="shared" si="232"/>
        <v>0</v>
      </c>
      <c r="U113" s="148">
        <f t="shared" si="232"/>
        <v>0</v>
      </c>
      <c r="V113" s="148">
        <f t="shared" si="232"/>
        <v>0</v>
      </c>
      <c r="W113" s="148">
        <f t="shared" si="232"/>
        <v>0</v>
      </c>
      <c r="X113" s="148">
        <f t="shared" si="232"/>
        <v>0</v>
      </c>
      <c r="Y113" s="148">
        <f t="shared" si="232"/>
        <v>0</v>
      </c>
      <c r="Z113" s="148">
        <f t="shared" si="232"/>
        <v>0</v>
      </c>
      <c r="AA113" s="148">
        <f t="shared" si="232"/>
        <v>0</v>
      </c>
      <c r="AB113" s="148">
        <f t="shared" si="232"/>
        <v>0</v>
      </c>
      <c r="AC113" s="148">
        <f t="shared" si="232"/>
        <v>0</v>
      </c>
      <c r="AD113" s="148">
        <f t="shared" si="232"/>
        <v>0</v>
      </c>
      <c r="AE113" s="148">
        <f t="shared" si="232"/>
        <v>0</v>
      </c>
      <c r="AF113" s="148">
        <f t="shared" si="232"/>
        <v>0</v>
      </c>
      <c r="AG113" s="148">
        <f t="shared" si="232"/>
        <v>0</v>
      </c>
      <c r="AH113" s="148">
        <f>AJ93</f>
        <v>0</v>
      </c>
      <c r="AI113" s="148">
        <f t="shared" ref="AI113:AJ113" si="233">AK93</f>
        <v>0</v>
      </c>
      <c r="AJ113" s="148">
        <f t="shared" si="233"/>
        <v>0</v>
      </c>
      <c r="AK113" s="729"/>
      <c r="AL113" s="729"/>
      <c r="AM113" s="729"/>
      <c r="AN113" s="729"/>
      <c r="AO113" s="729"/>
      <c r="AP113" s="729"/>
      <c r="AQ113" s="729"/>
      <c r="AR113" s="729"/>
      <c r="AS113" s="729"/>
      <c r="AT113" s="729"/>
      <c r="AU113" s="729"/>
      <c r="AV113" s="729"/>
      <c r="AW113" s="729"/>
      <c r="AX113" s="729"/>
      <c r="AY113" s="729"/>
      <c r="AZ113" s="729"/>
      <c r="BA113" s="729"/>
      <c r="BB113" s="729"/>
      <c r="BC113" s="729"/>
      <c r="BD113" s="729"/>
      <c r="BE113" s="729"/>
      <c r="BF113" s="729"/>
      <c r="BG113" s="729"/>
      <c r="BH113" s="729"/>
      <c r="BI113" s="729"/>
      <c r="BJ113" s="729"/>
      <c r="BK113" s="729"/>
      <c r="BL113" s="729"/>
      <c r="BM113" s="729"/>
      <c r="BN113" s="729"/>
      <c r="BO113" s="729"/>
      <c r="BP113" s="729"/>
      <c r="BQ113" s="729"/>
      <c r="BR113" s="729"/>
      <c r="BS113" s="729"/>
      <c r="BT113" s="729"/>
      <c r="BU113" s="729"/>
      <c r="BV113" s="729"/>
      <c r="BW113" s="729"/>
      <c r="BX113" s="729"/>
      <c r="BY113" s="729"/>
      <c r="BZ113" s="729"/>
    </row>
    <row r="114" spans="2:78" x14ac:dyDescent="0.15">
      <c r="C114" s="717" t="s">
        <v>206</v>
      </c>
      <c r="D114" s="24"/>
      <c r="E114" s="102"/>
      <c r="F114" s="148">
        <v>0</v>
      </c>
      <c r="G114" s="148">
        <v>0</v>
      </c>
      <c r="H114" s="148">
        <v>0</v>
      </c>
      <c r="I114" s="148">
        <v>0</v>
      </c>
      <c r="J114" s="148">
        <v>0</v>
      </c>
      <c r="K114" s="148">
        <v>0</v>
      </c>
      <c r="L114" s="148">
        <v>0</v>
      </c>
      <c r="M114" s="148">
        <v>0</v>
      </c>
      <c r="N114" s="148">
        <v>0</v>
      </c>
      <c r="O114" s="148">
        <v>0</v>
      </c>
      <c r="P114" s="148">
        <v>0</v>
      </c>
      <c r="Q114" s="148">
        <v>0</v>
      </c>
      <c r="R114" s="148">
        <v>0</v>
      </c>
      <c r="S114" s="148">
        <v>0</v>
      </c>
      <c r="T114" s="148">
        <v>0</v>
      </c>
      <c r="U114" s="148">
        <v>0</v>
      </c>
      <c r="V114" s="148">
        <v>0</v>
      </c>
      <c r="W114" s="148">
        <v>0</v>
      </c>
      <c r="X114" s="148">
        <v>0</v>
      </c>
      <c r="Y114" s="148">
        <v>0</v>
      </c>
      <c r="Z114" s="148">
        <v>0</v>
      </c>
      <c r="AA114" s="148">
        <v>0</v>
      </c>
      <c r="AB114" s="148">
        <v>0</v>
      </c>
      <c r="AC114" s="148">
        <v>0</v>
      </c>
      <c r="AD114" s="148">
        <v>0</v>
      </c>
      <c r="AE114" s="148">
        <v>0</v>
      </c>
      <c r="AF114" s="148">
        <v>0</v>
      </c>
      <c r="AG114" s="148">
        <v>0</v>
      </c>
      <c r="AH114" s="148">
        <v>0</v>
      </c>
      <c r="AI114" s="148">
        <v>0</v>
      </c>
      <c r="AJ114" s="148">
        <f ca="1">AJ102-AJ97</f>
        <v>31901549.278341495</v>
      </c>
      <c r="AK114" s="729"/>
      <c r="AL114" s="729"/>
      <c r="AM114" s="729"/>
      <c r="AN114" s="729"/>
      <c r="AO114" s="729"/>
      <c r="AP114" s="729"/>
      <c r="AQ114" s="729"/>
      <c r="AR114" s="729"/>
      <c r="AS114" s="729"/>
      <c r="AT114" s="729"/>
      <c r="AU114" s="729"/>
      <c r="AV114" s="729"/>
      <c r="AW114" s="729"/>
      <c r="AX114" s="729"/>
      <c r="AY114" s="729"/>
      <c r="AZ114" s="729"/>
      <c r="BA114" s="729"/>
      <c r="BB114" s="729"/>
      <c r="BC114" s="729"/>
      <c r="BD114" s="729"/>
      <c r="BE114" s="729"/>
      <c r="BF114" s="729"/>
      <c r="BG114" s="729"/>
      <c r="BH114" s="729"/>
      <c r="BI114" s="729"/>
      <c r="BJ114" s="729"/>
      <c r="BK114" s="729"/>
      <c r="BL114" s="729"/>
      <c r="BM114" s="729"/>
      <c r="BN114" s="729"/>
      <c r="BO114" s="729"/>
      <c r="BP114" s="729"/>
      <c r="BQ114" s="729"/>
      <c r="BR114" s="729"/>
      <c r="BS114" s="729"/>
      <c r="BT114" s="729"/>
      <c r="BU114" s="729"/>
      <c r="BV114" s="729"/>
      <c r="BW114" s="729"/>
      <c r="BX114" s="729"/>
      <c r="BY114" s="729"/>
      <c r="BZ114" s="729"/>
    </row>
    <row r="115" spans="2:78" ht="14" thickBot="1" x14ac:dyDescent="0.2">
      <c r="C115" s="635" t="s">
        <v>207</v>
      </c>
      <c r="D115" s="657"/>
      <c r="E115" s="658">
        <f>-(D6-F92)+E109</f>
        <v>-2960000</v>
      </c>
      <c r="F115" s="658">
        <f t="shared" ref="F115:AH115" ca="1" si="234">SUM(F104:F114)</f>
        <v>44879.916599999997</v>
      </c>
      <c r="G115" s="658">
        <f t="shared" ca="1" si="234"/>
        <v>141962.10145377007</v>
      </c>
      <c r="H115" s="658">
        <f t="shared" ca="1" si="234"/>
        <v>415675.05733093224</v>
      </c>
      <c r="I115" s="658">
        <f t="shared" ca="1" si="234"/>
        <v>243875.85578658892</v>
      </c>
      <c r="J115" s="658">
        <f t="shared" ca="1" si="234"/>
        <v>3189562.5354782711</v>
      </c>
      <c r="K115" s="658">
        <f t="shared" ca="1" si="234"/>
        <v>95442.582533426699</v>
      </c>
      <c r="L115" s="658">
        <f t="shared" ca="1" si="234"/>
        <v>121777.65321801312</v>
      </c>
      <c r="M115" s="658">
        <f t="shared" ca="1" si="234"/>
        <v>149254.21925187693</v>
      </c>
      <c r="N115" s="658">
        <f t="shared" ca="1" si="234"/>
        <v>177919.70229942701</v>
      </c>
      <c r="O115" s="658">
        <f t="shared" ca="1" si="234"/>
        <v>207823.45612865675</v>
      </c>
      <c r="P115" s="658">
        <f t="shared" ca="1" si="234"/>
        <v>239016.84460002917</v>
      </c>
      <c r="Q115" s="658">
        <f t="shared" ca="1" si="234"/>
        <v>271553.32278900978</v>
      </c>
      <c r="R115" s="658">
        <f t="shared" ca="1" si="234"/>
        <v>305488.52136787784</v>
      </c>
      <c r="S115" s="658">
        <f t="shared" ca="1" si="234"/>
        <v>340880.3343774752</v>
      </c>
      <c r="T115" s="658">
        <f t="shared" ca="1" si="234"/>
        <v>377789.01052478235</v>
      </c>
      <c r="U115" s="658">
        <f t="shared" ca="1" si="234"/>
        <v>416277.24814765505</v>
      </c>
      <c r="V115" s="658">
        <f t="shared" ca="1" si="234"/>
        <v>456410.29399370856</v>
      </c>
      <c r="W115" s="658">
        <f t="shared" ca="1" si="234"/>
        <v>498256.0459662358</v>
      </c>
      <c r="X115" s="658">
        <f t="shared" ca="1" si="234"/>
        <v>541885.15999614808</v>
      </c>
      <c r="Y115" s="658">
        <f t="shared" ca="1" si="234"/>
        <v>587371.16120531084</v>
      </c>
      <c r="Z115" s="658">
        <f t="shared" ca="1" si="234"/>
        <v>634790.55953325483</v>
      </c>
      <c r="AA115" s="658">
        <f t="shared" ca="1" si="234"/>
        <v>684222.97000613983</v>
      </c>
      <c r="AB115" s="658">
        <f t="shared" ca="1" si="234"/>
        <v>735751.23783399991</v>
      </c>
      <c r="AC115" s="658">
        <f t="shared" ca="1" si="234"/>
        <v>789461.56852975546</v>
      </c>
      <c r="AD115" s="658">
        <f t="shared" ca="1" si="234"/>
        <v>845443.66325121734</v>
      </c>
      <c r="AE115" s="658">
        <f t="shared" ca="1" si="234"/>
        <v>903790.85957537207</v>
      </c>
      <c r="AF115" s="658">
        <f t="shared" ca="1" si="234"/>
        <v>964600.27792260388</v>
      </c>
      <c r="AG115" s="658">
        <f t="shared" ca="1" si="234"/>
        <v>1027972.9738572367</v>
      </c>
      <c r="AH115" s="658">
        <f t="shared" ca="1" si="234"/>
        <v>1094014.0964998389</v>
      </c>
      <c r="AI115" s="658">
        <f t="shared" ref="AI115:AJ115" ca="1" si="235">SUM(AI104:AI114)</f>
        <v>1162833.0532961399</v>
      </c>
      <c r="AJ115" s="658">
        <f t="shared" ca="1" si="235"/>
        <v>33136092.959738743</v>
      </c>
      <c r="AK115" s="729"/>
      <c r="AL115" s="729"/>
      <c r="AM115" s="729"/>
      <c r="AN115" s="729"/>
      <c r="AO115" s="729"/>
      <c r="AP115" s="729"/>
      <c r="AQ115" s="729"/>
      <c r="AR115" s="729"/>
      <c r="AS115" s="729"/>
      <c r="AT115" s="729"/>
      <c r="AU115" s="729"/>
      <c r="AV115" s="729"/>
      <c r="AW115" s="729"/>
      <c r="AX115" s="729"/>
      <c r="AY115" s="729"/>
      <c r="AZ115" s="729"/>
      <c r="BA115" s="729"/>
      <c r="BB115" s="729"/>
      <c r="BC115" s="729"/>
      <c r="BD115" s="729"/>
      <c r="BE115" s="729"/>
      <c r="BF115" s="729"/>
      <c r="BG115" s="729"/>
      <c r="BH115" s="729"/>
      <c r="BI115" s="729"/>
      <c r="BJ115" s="729"/>
      <c r="BK115" s="729"/>
      <c r="BL115" s="729"/>
      <c r="BM115" s="729"/>
      <c r="BN115" s="729"/>
      <c r="BO115" s="729"/>
      <c r="BP115" s="729"/>
      <c r="BQ115" s="729"/>
      <c r="BR115" s="729"/>
      <c r="BS115" s="729"/>
      <c r="BT115" s="729"/>
      <c r="BU115" s="729"/>
      <c r="BV115" s="729"/>
      <c r="BW115" s="729"/>
      <c r="BX115" s="729"/>
      <c r="BY115" s="729"/>
      <c r="BZ115" s="729"/>
    </row>
    <row r="116" spans="2:78" ht="14" thickTop="1" x14ac:dyDescent="0.15">
      <c r="B116" s="703"/>
      <c r="C116" s="10"/>
      <c r="D116" s="10"/>
      <c r="E116" s="305" t="s">
        <v>208</v>
      </c>
      <c r="F116" s="285">
        <f t="shared" ref="F116:AH116" ca="1" si="236">F115/-$E$115</f>
        <v>1.5162133986486486E-2</v>
      </c>
      <c r="G116" s="285">
        <f t="shared" ca="1" si="236"/>
        <v>4.7960169410057457E-2</v>
      </c>
      <c r="H116" s="285">
        <f t="shared" ca="1" si="236"/>
        <v>0.14043076261180143</v>
      </c>
      <c r="I116" s="285">
        <f t="shared" ca="1" si="236"/>
        <v>8.2390491819793549E-2</v>
      </c>
      <c r="J116" s="285">
        <f t="shared" ca="1" si="236"/>
        <v>1.077554910634551</v>
      </c>
      <c r="K116" s="285">
        <f t="shared" ca="1" si="236"/>
        <v>3.224411572075226E-2</v>
      </c>
      <c r="L116" s="285">
        <f t="shared" ca="1" si="236"/>
        <v>4.1141099060139567E-2</v>
      </c>
      <c r="M116" s="285">
        <f t="shared" ca="1" si="236"/>
        <v>5.0423722720228693E-2</v>
      </c>
      <c r="N116" s="285">
        <f t="shared" ca="1" si="236"/>
        <v>6.0108007533590205E-2</v>
      </c>
      <c r="O116" s="285">
        <f t="shared" ca="1" si="236"/>
        <v>7.0210627070492138E-2</v>
      </c>
      <c r="P116" s="285">
        <f t="shared" ca="1" si="236"/>
        <v>8.0748933986496338E-2</v>
      </c>
      <c r="Q116" s="285">
        <f t="shared" ca="1" si="236"/>
        <v>9.1740987428719514E-2</v>
      </c>
      <c r="R116" s="285">
        <f t="shared" ca="1" si="236"/>
        <v>0.10320558154320197</v>
      </c>
      <c r="S116" s="285">
        <f t="shared" ca="1" si="236"/>
        <v>0.1151622751275254</v>
      </c>
      <c r="T116" s="285">
        <f t="shared" ca="1" si="236"/>
        <v>0.12763142247458864</v>
      </c>
      <c r="U116" s="285">
        <f t="shared" ca="1" si="236"/>
        <v>0.14063420545528887</v>
      </c>
      <c r="V116" s="285">
        <f t="shared" ca="1" si="236"/>
        <v>0.15419266688976641</v>
      </c>
      <c r="W116" s="285">
        <f t="shared" ca="1" si="236"/>
        <v>0.16832974525886346</v>
      </c>
      <c r="X116" s="285">
        <f t="shared" ca="1" si="236"/>
        <v>0.1830693108095095</v>
      </c>
      <c r="Y116" s="285">
        <f t="shared" ca="1" si="236"/>
        <v>0.19843620310990231</v>
      </c>
      <c r="Z116" s="285">
        <f t="shared" ca="1" si="236"/>
        <v>0.21445627011258608</v>
      </c>
      <c r="AA116" s="285">
        <f t="shared" ca="1" si="236"/>
        <v>0.23115640878585805</v>
      </c>
      <c r="AB116" s="285">
        <f t="shared" ca="1" si="236"/>
        <v>0.24856460737635133</v>
      </c>
      <c r="AC116" s="285">
        <f t="shared" ca="1" si="236"/>
        <v>0.26670998936816065</v>
      </c>
      <c r="AD116" s="285">
        <f t="shared" ca="1" si="236"/>
        <v>0.28562285920649233</v>
      </c>
      <c r="AE116" s="285">
        <f t="shared" ca="1" si="236"/>
        <v>0.30533474985654463</v>
      </c>
      <c r="AF116" s="285">
        <f t="shared" ca="1" si="236"/>
        <v>0.32587847227114997</v>
      </c>
      <c r="AG116" s="285">
        <f t="shared" ca="1" si="236"/>
        <v>0.34728816684366104</v>
      </c>
      <c r="AH116" s="285">
        <f t="shared" ca="1" si="236"/>
        <v>0.36959935692562124</v>
      </c>
      <c r="AI116" s="285">
        <f t="shared" ref="AI116:AJ116" ca="1" si="237">AI115/-$E$115</f>
        <v>0.39284900449193916</v>
      </c>
      <c r="AJ116" s="285">
        <f t="shared" ca="1" si="237"/>
        <v>11.194625999911738</v>
      </c>
      <c r="AK116" s="729"/>
      <c r="AL116" s="729"/>
      <c r="AM116" s="729"/>
      <c r="AN116" s="729"/>
      <c r="AO116" s="729"/>
      <c r="AP116" s="729"/>
      <c r="AQ116" s="729"/>
      <c r="AR116" s="729"/>
      <c r="AS116" s="729"/>
      <c r="AT116" s="729"/>
      <c r="AU116" s="729"/>
      <c r="AV116" s="729"/>
      <c r="AW116" s="729"/>
      <c r="AX116" s="729"/>
      <c r="AY116" s="729"/>
      <c r="AZ116" s="729"/>
      <c r="BA116" s="729"/>
      <c r="BB116" s="729"/>
      <c r="BC116" s="729"/>
      <c r="BD116" s="729"/>
      <c r="BE116" s="729"/>
      <c r="BF116" s="729"/>
      <c r="BG116" s="729"/>
      <c r="BH116" s="729"/>
      <c r="BI116" s="729"/>
      <c r="BJ116" s="729"/>
      <c r="BK116" s="729"/>
      <c r="BL116" s="729"/>
      <c r="BM116" s="729"/>
      <c r="BN116" s="729"/>
      <c r="BO116" s="729"/>
      <c r="BP116" s="729"/>
      <c r="BQ116" s="729"/>
      <c r="BR116" s="729"/>
      <c r="BS116" s="729"/>
      <c r="BT116" s="729"/>
      <c r="BU116" s="729"/>
      <c r="BV116" s="729"/>
      <c r="BW116" s="729"/>
      <c r="BX116" s="729"/>
      <c r="BY116" s="729"/>
      <c r="BZ116" s="729"/>
    </row>
    <row r="117" spans="2:78" x14ac:dyDescent="0.15">
      <c r="C117" s="7" t="s">
        <v>209</v>
      </c>
      <c r="D117" s="33">
        <f ca="1">IRR(E115:AJ115)</f>
        <v>0.16987433332547885</v>
      </c>
      <c r="E117" s="708"/>
      <c r="F117" s="729"/>
      <c r="G117" s="286" t="str">
        <f ca="1">"Cumm.= "&amp;TEXT((SUM($F116:G116)),"0.0%")</f>
        <v>Cumm.= 6.3%</v>
      </c>
      <c r="H117" s="286" t="str">
        <f ca="1">"Cumm.= "&amp;TEXT((SUM($F116:H116)),"0.0%")</f>
        <v>Cumm.= 20.4%</v>
      </c>
      <c r="I117" s="286" t="str">
        <f ca="1">"Cumm.= "&amp;TEXT((SUM($F116:I116)),"0.0%")</f>
        <v>Cumm.= 28.6%</v>
      </c>
      <c r="J117" s="286" t="str">
        <f ca="1">"Cumm.= "&amp;TEXT((SUM($F116:J116)),"0.0%")</f>
        <v>Cumm.= 136.3%</v>
      </c>
      <c r="K117" s="286" t="str">
        <f ca="1">"Cumm.= "&amp;TEXT((SUM($F116:K116)),"0.0%")</f>
        <v>Cumm.= 139.6%</v>
      </c>
      <c r="L117" s="286" t="str">
        <f ca="1">"Cumm.= "&amp;TEXT((SUM($F116:L116)),"0.0%")</f>
        <v>Cumm.= 143.7%</v>
      </c>
      <c r="M117" s="286" t="str">
        <f ca="1">"Cumm.= "&amp;TEXT((SUM($F116:M116)),"0.0%")</f>
        <v>Cumm.= 148.7%</v>
      </c>
      <c r="N117" s="286" t="str">
        <f ca="1">"Cumm.= "&amp;TEXT((SUM($F116:N116)),"0.0%")</f>
        <v>Cumm.= 154.7%</v>
      </c>
      <c r="O117" s="286" t="str">
        <f ca="1">"Cumm.= "&amp;TEXT((SUM($F116:O116)),"0.0%")</f>
        <v>Cumm.= 161.8%</v>
      </c>
      <c r="P117" s="286" t="str">
        <f ca="1">"Cumm.= "&amp;TEXT((SUM($F116:P116)),"0.0%")</f>
        <v>Cumm.= 169.8%</v>
      </c>
      <c r="Q117" s="286" t="str">
        <f ca="1">"Cumm.= "&amp;TEXT((SUM($F116:Q116)),"0.0%")</f>
        <v>Cumm.= 179.0%</v>
      </c>
      <c r="R117" s="286" t="str">
        <f ca="1">"Cumm.= "&amp;TEXT((SUM($F116:R116)),"0.0%")</f>
        <v>Cumm.= 189.3%</v>
      </c>
      <c r="S117" s="286" t="str">
        <f ca="1">"Cumm.= "&amp;TEXT((SUM($F116:S116)),"0.0%")</f>
        <v>Cumm.= 200.8%</v>
      </c>
      <c r="T117" s="286" t="str">
        <f ca="1">"Cumm.= "&amp;TEXT((SUM($F116:T116)),"0.0%")</f>
        <v>Cumm.= 213.6%</v>
      </c>
      <c r="U117" s="286" t="str">
        <f ca="1">"Cumm.= "&amp;TEXT((SUM($F116:U116)),"0.0%")</f>
        <v>Cumm.= 227.7%</v>
      </c>
      <c r="V117" s="286" t="str">
        <f ca="1">"Cumm.= "&amp;TEXT((SUM($F116:V116)),"0.0%")</f>
        <v>Cumm.= 243.1%</v>
      </c>
      <c r="W117" s="286" t="str">
        <f ca="1">"Cumm.= "&amp;TEXT((SUM($F116:W116)),"0.0%")</f>
        <v>Cumm.= 259.9%</v>
      </c>
      <c r="X117" s="286" t="str">
        <f ca="1">"Cumm.= "&amp;TEXT((SUM($F116:X116)),"0.0%")</f>
        <v>Cumm.= 278.2%</v>
      </c>
      <c r="Y117" s="286" t="str">
        <f ca="1">"Cumm.= "&amp;TEXT((SUM($F116:Y116)),"0.0%")</f>
        <v>Cumm.= 298.1%</v>
      </c>
      <c r="Z117" s="286" t="str">
        <f ca="1">"Cumm.= "&amp;TEXT((SUM($F116:Z116)),"0.0%")</f>
        <v>Cumm.= 319.5%</v>
      </c>
      <c r="AA117" s="286" t="str">
        <f ca="1">"Cumm.= "&amp;TEXT((SUM($F116:AA116)),"0.0%")</f>
        <v>Cumm.= 342.6%</v>
      </c>
      <c r="AB117" s="286" t="str">
        <f ca="1">"Cumm.= "&amp;TEXT((SUM($F116:AB116)),"0.0%")</f>
        <v>Cumm.= 367.5%</v>
      </c>
      <c r="AC117" s="286" t="str">
        <f ca="1">"Cumm.= "&amp;TEXT((SUM($F116:AC116)),"0.0%")</f>
        <v>Cumm.= 394.2%</v>
      </c>
      <c r="AD117" s="286" t="str">
        <f ca="1">"Cumm.= "&amp;TEXT((SUM($F116:AD116)),"0.0%")</f>
        <v>Cumm.= 422.7%</v>
      </c>
      <c r="AE117" s="286" t="str">
        <f ca="1">"Cumm.= "&amp;TEXT((SUM($F116:AE116)),"0.0%")</f>
        <v>Cumm.= 453.3%</v>
      </c>
      <c r="AF117" s="286" t="str">
        <f ca="1">"Cumm.= "&amp;TEXT((SUM($F116:AF116)),"0.0%")</f>
        <v>Cumm.= 485.9%</v>
      </c>
      <c r="AG117" s="286" t="str">
        <f ca="1">"Cumm.= "&amp;TEXT((SUM($F116:AG116)),"0.0%")</f>
        <v>Cumm.= 520.6%</v>
      </c>
      <c r="AH117" s="286" t="str">
        <f ca="1">"Cumm.= "&amp;TEXT((SUM($F116:AH116)),"0.0%")</f>
        <v>Cumm.= 557.5%</v>
      </c>
      <c r="AI117" s="286" t="str">
        <f ca="1">"Cumm.= "&amp;TEXT((SUM($F116:AI116)),"0.0%")</f>
        <v>Cumm.= 596.8%</v>
      </c>
      <c r="AJ117" s="286" t="str">
        <f ca="1">"Cumm.= "&amp;TEXT((SUM($F116:AJ116)),"0.0%")</f>
        <v>Cumm.= 1716.3%</v>
      </c>
      <c r="AK117" s="729"/>
      <c r="AL117" s="729"/>
      <c r="AM117" s="729"/>
      <c r="AN117" s="729"/>
      <c r="AO117" s="729"/>
      <c r="AP117" s="729"/>
      <c r="AQ117" s="729"/>
      <c r="AR117" s="729"/>
      <c r="AS117" s="729"/>
      <c r="AT117" s="729"/>
      <c r="AU117" s="729"/>
      <c r="AV117" s="729"/>
      <c r="AW117" s="729"/>
      <c r="AX117" s="729"/>
      <c r="AY117" s="729"/>
      <c r="AZ117" s="729"/>
      <c r="BA117" s="729"/>
      <c r="BB117" s="729"/>
      <c r="BC117" s="729"/>
      <c r="BD117" s="729"/>
      <c r="BE117" s="729"/>
      <c r="BF117" s="729"/>
      <c r="BG117" s="729"/>
      <c r="BH117" s="729"/>
      <c r="BI117" s="729"/>
      <c r="BJ117" s="729"/>
      <c r="BK117" s="729"/>
      <c r="BL117" s="729"/>
      <c r="BM117" s="729"/>
      <c r="BN117" s="729"/>
      <c r="BO117" s="729"/>
      <c r="BP117" s="729"/>
      <c r="BQ117" s="729"/>
      <c r="BR117" s="729"/>
      <c r="BS117" s="729"/>
      <c r="BT117" s="729"/>
      <c r="BU117" s="729"/>
      <c r="BV117" s="729"/>
      <c r="BW117" s="729"/>
      <c r="BX117" s="729"/>
      <c r="BY117" s="729"/>
      <c r="BZ117" s="729"/>
    </row>
    <row r="118" spans="2:78" x14ac:dyDescent="0.15">
      <c r="C118" s="7"/>
      <c r="D118" s="24"/>
      <c r="E118" s="33"/>
      <c r="F118" s="729"/>
      <c r="G118" s="729"/>
      <c r="H118" s="729"/>
      <c r="I118" s="729"/>
      <c r="J118" s="729"/>
      <c r="K118" s="729"/>
      <c r="L118" s="729"/>
      <c r="M118" s="729"/>
      <c r="N118" s="729"/>
      <c r="O118" s="729"/>
      <c r="P118" s="287"/>
      <c r="Q118" s="729"/>
      <c r="R118" s="729"/>
      <c r="S118" s="729"/>
      <c r="T118" s="729"/>
      <c r="U118" s="729"/>
      <c r="V118" s="729"/>
      <c r="W118" s="729"/>
      <c r="X118" s="729"/>
      <c r="Y118" s="729"/>
      <c r="Z118" s="729"/>
      <c r="AA118" s="729"/>
      <c r="AB118" s="729"/>
      <c r="AC118" s="729"/>
      <c r="AD118" s="729"/>
      <c r="AE118" s="729"/>
      <c r="AF118" s="729"/>
      <c r="AG118" s="729"/>
      <c r="AH118" s="729"/>
      <c r="AI118" s="729"/>
      <c r="AJ118" s="729"/>
      <c r="AK118" s="729"/>
      <c r="AL118" s="729"/>
      <c r="AM118" s="729"/>
      <c r="AN118" s="729"/>
      <c r="AO118" s="729"/>
      <c r="AP118" s="729"/>
      <c r="AQ118" s="729"/>
      <c r="AR118" s="729"/>
      <c r="AS118" s="729"/>
      <c r="AT118" s="729"/>
      <c r="AU118" s="729"/>
      <c r="AV118" s="729"/>
      <c r="AW118" s="729"/>
      <c r="AX118" s="729"/>
      <c r="AY118" s="729"/>
      <c r="AZ118" s="729"/>
      <c r="BA118" s="729"/>
      <c r="BB118" s="729"/>
      <c r="BC118" s="729"/>
      <c r="BD118" s="729"/>
      <c r="BE118" s="729"/>
      <c r="BF118" s="729"/>
      <c r="BG118" s="729"/>
      <c r="BH118" s="729"/>
      <c r="BI118" s="729"/>
      <c r="BJ118" s="729"/>
      <c r="BK118" s="729"/>
      <c r="BL118" s="729"/>
      <c r="BM118" s="729"/>
      <c r="BN118" s="729"/>
      <c r="BO118" s="729"/>
      <c r="BP118" s="729"/>
      <c r="BQ118" s="729"/>
      <c r="BR118" s="729"/>
      <c r="BS118" s="729"/>
      <c r="BT118" s="729"/>
      <c r="BU118" s="729"/>
      <c r="BV118" s="729"/>
      <c r="BW118" s="729"/>
      <c r="BX118" s="729"/>
      <c r="BY118" s="729"/>
      <c r="BZ118" s="729"/>
    </row>
    <row r="119" spans="2:78" x14ac:dyDescent="0.15">
      <c r="C119" s="7" t="s">
        <v>210</v>
      </c>
      <c r="D119"/>
      <c r="E119" s="29"/>
      <c r="F119" s="29"/>
      <c r="G119" s="29"/>
      <c r="H119" s="29"/>
      <c r="I119" s="29"/>
      <c r="J119" s="29"/>
      <c r="K119" s="729"/>
      <c r="L119" s="729"/>
      <c r="M119" s="729"/>
      <c r="N119" s="729"/>
      <c r="O119" s="729"/>
      <c r="P119" s="729"/>
      <c r="Q119" s="729"/>
      <c r="R119" s="729"/>
      <c r="S119" s="729"/>
      <c r="T119" s="729"/>
      <c r="U119" s="729"/>
      <c r="V119" s="729"/>
      <c r="W119" s="729"/>
      <c r="X119" s="729"/>
      <c r="Y119" s="729"/>
      <c r="Z119" s="729"/>
      <c r="AA119" s="729"/>
      <c r="AB119" s="729"/>
      <c r="AC119" s="729"/>
      <c r="AD119" s="729"/>
      <c r="AE119" s="729"/>
      <c r="AF119" s="729"/>
      <c r="AG119" s="729"/>
      <c r="AH119" s="729"/>
      <c r="AI119" s="729"/>
      <c r="AJ119" s="729"/>
      <c r="AK119" s="729"/>
      <c r="AL119" s="729"/>
      <c r="AM119" s="729"/>
      <c r="AN119" s="729"/>
      <c r="AO119" s="729"/>
      <c r="AP119" s="729"/>
      <c r="AQ119" s="729"/>
      <c r="AR119" s="729"/>
      <c r="AS119" s="729"/>
      <c r="AT119" s="729"/>
      <c r="AU119" s="729"/>
      <c r="AV119" s="729"/>
      <c r="AW119" s="729"/>
      <c r="AX119" s="729"/>
      <c r="AY119" s="729"/>
      <c r="AZ119" s="729"/>
      <c r="BA119" s="729"/>
      <c r="BB119" s="729"/>
      <c r="BC119" s="729"/>
      <c r="BD119" s="729"/>
      <c r="BE119" s="729"/>
      <c r="BF119" s="729"/>
      <c r="BG119" s="729"/>
      <c r="BH119" s="729"/>
      <c r="BI119" s="729"/>
      <c r="BJ119" s="729"/>
      <c r="BK119" s="729"/>
      <c r="BL119" s="729"/>
      <c r="BM119" s="729"/>
      <c r="BN119" s="729"/>
      <c r="BO119" s="729"/>
      <c r="BP119" s="729"/>
      <c r="BQ119" s="729"/>
      <c r="BR119" s="729"/>
      <c r="BS119" s="729"/>
      <c r="BT119" s="729"/>
      <c r="BU119" s="729"/>
      <c r="BV119" s="729"/>
      <c r="BW119" s="729"/>
      <c r="BX119" s="729"/>
      <c r="BY119" s="729"/>
      <c r="BZ119" s="729"/>
    </row>
    <row r="120" spans="2:78" x14ac:dyDescent="0.15">
      <c r="C120" s="717" t="s">
        <v>211</v>
      </c>
      <c r="D120" s="29"/>
      <c r="E120" s="29"/>
      <c r="F120" s="29"/>
      <c r="G120" s="29"/>
      <c r="H120" s="29"/>
      <c r="I120" s="29"/>
      <c r="J120" s="29"/>
      <c r="K120" s="729"/>
      <c r="L120" s="729"/>
      <c r="M120" s="729"/>
      <c r="N120" s="729"/>
      <c r="O120" s="729"/>
      <c r="P120" s="729"/>
      <c r="Q120" s="729"/>
      <c r="R120" s="729"/>
      <c r="S120" s="729"/>
      <c r="T120" s="729"/>
      <c r="U120" s="729"/>
      <c r="V120" s="729"/>
      <c r="W120" s="729"/>
      <c r="X120" s="729"/>
      <c r="Y120" s="729"/>
      <c r="Z120" s="729"/>
      <c r="AA120" s="729"/>
      <c r="AB120" s="729"/>
      <c r="AC120" s="729"/>
      <c r="AD120" s="729"/>
      <c r="AE120" s="729"/>
      <c r="AF120" s="729"/>
      <c r="AG120" s="729"/>
      <c r="AH120" s="729"/>
      <c r="AI120" s="729"/>
      <c r="AJ120" s="729"/>
      <c r="AK120" s="729"/>
      <c r="AL120" s="729"/>
      <c r="AM120" s="729"/>
      <c r="AN120" s="729"/>
      <c r="AO120" s="729"/>
      <c r="AP120" s="729"/>
      <c r="AQ120" s="729"/>
      <c r="AR120" s="729"/>
      <c r="AS120" s="729"/>
      <c r="AT120" s="729"/>
      <c r="AU120" s="729"/>
      <c r="AV120" s="729"/>
      <c r="AW120" s="729"/>
      <c r="AX120" s="729"/>
      <c r="AY120" s="729"/>
      <c r="AZ120" s="729"/>
      <c r="BA120" s="729"/>
      <c r="BB120" s="729"/>
      <c r="BC120" s="729"/>
      <c r="BD120" s="729"/>
      <c r="BE120" s="729"/>
      <c r="BF120" s="729"/>
      <c r="BG120" s="729"/>
      <c r="BH120" s="729"/>
      <c r="BI120" s="729"/>
      <c r="BJ120" s="729"/>
      <c r="BK120" s="729"/>
      <c r="BL120" s="729"/>
      <c r="BM120" s="729"/>
      <c r="BN120" s="729"/>
      <c r="BO120" s="729"/>
      <c r="BP120" s="729"/>
      <c r="BQ120" s="729"/>
      <c r="BR120" s="729"/>
      <c r="BS120" s="729"/>
      <c r="BT120" s="729"/>
      <c r="BU120" s="729"/>
      <c r="BV120" s="729"/>
      <c r="BW120" s="729"/>
      <c r="BX120" s="729"/>
      <c r="BY120" s="729"/>
      <c r="BZ120" s="729"/>
    </row>
    <row r="121" spans="2:78" x14ac:dyDescent="0.15">
      <c r="C121" s="19" t="s">
        <v>212</v>
      </c>
      <c r="D121" s="708"/>
      <c r="E121" s="29"/>
      <c r="F121" s="29">
        <f>D4*(1-D91)+D5</f>
        <v>2960000</v>
      </c>
      <c r="G121" s="29">
        <f t="shared" ref="G121:AH121" ca="1" si="238">F124</f>
        <v>3063120.0833999999</v>
      </c>
      <c r="H121" s="29">
        <f t="shared" ca="1" si="238"/>
        <v>3074313.98611623</v>
      </c>
      <c r="I121" s="29">
        <f t="shared" ca="1" si="238"/>
        <v>2812354.628091109</v>
      </c>
      <c r="J121" s="29">
        <f t="shared" ca="1" si="238"/>
        <v>2709096.5037090755</v>
      </c>
      <c r="K121" s="29">
        <f t="shared" ca="1" si="238"/>
        <v>0</v>
      </c>
      <c r="L121" s="29">
        <f t="shared" ca="1" si="238"/>
        <v>0</v>
      </c>
      <c r="M121" s="29">
        <f t="shared" ca="1" si="238"/>
        <v>0</v>
      </c>
      <c r="N121" s="29">
        <f t="shared" ca="1" si="238"/>
        <v>0</v>
      </c>
      <c r="O121" s="29">
        <f t="shared" ca="1" si="238"/>
        <v>0</v>
      </c>
      <c r="P121" s="29">
        <f t="shared" ca="1" si="238"/>
        <v>0</v>
      </c>
      <c r="Q121" s="29">
        <f t="shared" ca="1" si="238"/>
        <v>0</v>
      </c>
      <c r="R121" s="29">
        <f t="shared" ca="1" si="238"/>
        <v>0</v>
      </c>
      <c r="S121" s="29">
        <f t="shared" ca="1" si="238"/>
        <v>0</v>
      </c>
      <c r="T121" s="29">
        <f t="shared" ca="1" si="238"/>
        <v>0</v>
      </c>
      <c r="U121" s="29">
        <f t="shared" ca="1" si="238"/>
        <v>0</v>
      </c>
      <c r="V121" s="29">
        <f t="shared" ca="1" si="238"/>
        <v>0</v>
      </c>
      <c r="W121" s="29">
        <f t="shared" ca="1" si="238"/>
        <v>0</v>
      </c>
      <c r="X121" s="29">
        <f t="shared" ca="1" si="238"/>
        <v>0</v>
      </c>
      <c r="Y121" s="29">
        <f t="shared" ca="1" si="238"/>
        <v>0</v>
      </c>
      <c r="Z121" s="29">
        <f t="shared" ca="1" si="238"/>
        <v>0</v>
      </c>
      <c r="AA121" s="29">
        <f t="shared" ca="1" si="238"/>
        <v>0</v>
      </c>
      <c r="AB121" s="29">
        <f t="shared" ca="1" si="238"/>
        <v>0</v>
      </c>
      <c r="AC121" s="29">
        <f t="shared" ca="1" si="238"/>
        <v>0</v>
      </c>
      <c r="AD121" s="29">
        <f t="shared" ca="1" si="238"/>
        <v>0</v>
      </c>
      <c r="AE121" s="29">
        <f t="shared" ca="1" si="238"/>
        <v>0</v>
      </c>
      <c r="AF121" s="29">
        <f t="shared" ca="1" si="238"/>
        <v>0</v>
      </c>
      <c r="AG121" s="29">
        <f t="shared" ca="1" si="238"/>
        <v>0</v>
      </c>
      <c r="AH121" s="29">
        <f t="shared" ca="1" si="238"/>
        <v>0</v>
      </c>
      <c r="AI121" s="29">
        <f t="shared" ref="AI121" ca="1" si="239">AH124</f>
        <v>0</v>
      </c>
      <c r="AJ121" s="29">
        <f t="shared" ref="AJ121" ca="1" si="240">AI124</f>
        <v>0</v>
      </c>
      <c r="AK121" s="729"/>
      <c r="AL121" s="729"/>
      <c r="AM121" s="729"/>
      <c r="AN121" s="729"/>
      <c r="AO121" s="729"/>
      <c r="AP121" s="729"/>
      <c r="AQ121" s="729"/>
      <c r="AR121" s="729"/>
      <c r="AS121" s="729"/>
      <c r="AT121" s="729"/>
      <c r="AU121" s="729"/>
      <c r="AV121" s="729"/>
      <c r="AW121" s="729"/>
      <c r="AX121" s="729"/>
      <c r="AY121" s="729"/>
      <c r="AZ121" s="729"/>
      <c r="BA121" s="729"/>
      <c r="BB121" s="729"/>
      <c r="BC121" s="729"/>
      <c r="BD121" s="729"/>
      <c r="BE121" s="729"/>
      <c r="BF121" s="729"/>
      <c r="BG121" s="729"/>
      <c r="BH121" s="729"/>
      <c r="BI121" s="729"/>
      <c r="BJ121" s="729"/>
      <c r="BK121" s="729"/>
      <c r="BL121" s="729"/>
      <c r="BM121" s="729"/>
      <c r="BN121" s="729"/>
      <c r="BO121" s="729"/>
      <c r="BP121" s="729"/>
      <c r="BQ121" s="729"/>
      <c r="BR121" s="729"/>
      <c r="BS121" s="729"/>
      <c r="BT121" s="729"/>
      <c r="BU121" s="729"/>
      <c r="BV121" s="729"/>
      <c r="BW121" s="729"/>
      <c r="BX121" s="729"/>
      <c r="BY121" s="729"/>
      <c r="BZ121" s="729"/>
    </row>
    <row r="122" spans="2:78" x14ac:dyDescent="0.15">
      <c r="C122" s="19" t="s">
        <v>213</v>
      </c>
      <c r="D122" s="708"/>
      <c r="E122" s="29"/>
      <c r="F122" s="29">
        <f>F121*$K$22</f>
        <v>148000</v>
      </c>
      <c r="G122" s="29">
        <f t="shared" ref="G122:AH122" ca="1" si="241">G121*$K$23</f>
        <v>153156.00417</v>
      </c>
      <c r="H122" s="29">
        <f t="shared" ca="1" si="241"/>
        <v>153715.69930581152</v>
      </c>
      <c r="I122" s="29">
        <f t="shared" ca="1" si="241"/>
        <v>140617.73140455547</v>
      </c>
      <c r="J122" s="29">
        <f t="shared" ca="1" si="241"/>
        <v>135454.82518545378</v>
      </c>
      <c r="K122" s="29">
        <f t="shared" ca="1" si="241"/>
        <v>0</v>
      </c>
      <c r="L122" s="29">
        <f t="shared" ca="1" si="241"/>
        <v>0</v>
      </c>
      <c r="M122" s="29">
        <f t="shared" ca="1" si="241"/>
        <v>0</v>
      </c>
      <c r="N122" s="29">
        <f t="shared" ca="1" si="241"/>
        <v>0</v>
      </c>
      <c r="O122" s="29">
        <f t="shared" ca="1" si="241"/>
        <v>0</v>
      </c>
      <c r="P122" s="29">
        <f t="shared" ca="1" si="241"/>
        <v>0</v>
      </c>
      <c r="Q122" s="29">
        <f t="shared" ca="1" si="241"/>
        <v>0</v>
      </c>
      <c r="R122" s="29">
        <f t="shared" ca="1" si="241"/>
        <v>0</v>
      </c>
      <c r="S122" s="29">
        <f t="shared" ca="1" si="241"/>
        <v>0</v>
      </c>
      <c r="T122" s="29">
        <f t="shared" ca="1" si="241"/>
        <v>0</v>
      </c>
      <c r="U122" s="29">
        <f t="shared" ca="1" si="241"/>
        <v>0</v>
      </c>
      <c r="V122" s="29">
        <f t="shared" ca="1" si="241"/>
        <v>0</v>
      </c>
      <c r="W122" s="29">
        <f t="shared" ca="1" si="241"/>
        <v>0</v>
      </c>
      <c r="X122" s="29">
        <f t="shared" ca="1" si="241"/>
        <v>0</v>
      </c>
      <c r="Y122" s="29">
        <f t="shared" ca="1" si="241"/>
        <v>0</v>
      </c>
      <c r="Z122" s="29">
        <f t="shared" ca="1" si="241"/>
        <v>0</v>
      </c>
      <c r="AA122" s="29">
        <f t="shared" ca="1" si="241"/>
        <v>0</v>
      </c>
      <c r="AB122" s="29">
        <f t="shared" ca="1" si="241"/>
        <v>0</v>
      </c>
      <c r="AC122" s="29">
        <f t="shared" ca="1" si="241"/>
        <v>0</v>
      </c>
      <c r="AD122" s="29">
        <f t="shared" ca="1" si="241"/>
        <v>0</v>
      </c>
      <c r="AE122" s="29">
        <f t="shared" ca="1" si="241"/>
        <v>0</v>
      </c>
      <c r="AF122" s="29">
        <f t="shared" ca="1" si="241"/>
        <v>0</v>
      </c>
      <c r="AG122" s="29">
        <f t="shared" ca="1" si="241"/>
        <v>0</v>
      </c>
      <c r="AH122" s="29">
        <f t="shared" ca="1" si="241"/>
        <v>0</v>
      </c>
      <c r="AI122" s="29">
        <f t="shared" ref="AI122:AJ122" ca="1" si="242">AI121*$K$23</f>
        <v>0</v>
      </c>
      <c r="AJ122" s="29">
        <f t="shared" ca="1" si="242"/>
        <v>0</v>
      </c>
      <c r="AK122" s="729"/>
      <c r="AL122" s="729"/>
      <c r="AM122" s="729"/>
      <c r="AN122" s="729"/>
      <c r="AO122" s="729"/>
      <c r="AP122" s="729"/>
      <c r="AQ122" s="729"/>
      <c r="AR122" s="729"/>
      <c r="AS122" s="729"/>
      <c r="AT122" s="729"/>
      <c r="AU122" s="729"/>
      <c r="AV122" s="729"/>
      <c r="AW122" s="729"/>
      <c r="AX122" s="729"/>
      <c r="AY122" s="729"/>
      <c r="AZ122" s="729"/>
      <c r="BA122" s="729"/>
      <c r="BB122" s="729"/>
      <c r="BC122" s="729"/>
      <c r="BD122" s="729"/>
      <c r="BE122" s="729"/>
      <c r="BF122" s="729"/>
      <c r="BG122" s="729"/>
      <c r="BH122" s="729"/>
      <c r="BI122" s="729"/>
      <c r="BJ122" s="729"/>
      <c r="BK122" s="729"/>
      <c r="BL122" s="729"/>
      <c r="BM122" s="729"/>
      <c r="BN122" s="729"/>
      <c r="BO122" s="729"/>
      <c r="BP122" s="729"/>
      <c r="BQ122" s="729"/>
      <c r="BR122" s="729"/>
      <c r="BS122" s="729"/>
      <c r="BT122" s="729"/>
      <c r="BU122" s="729"/>
      <c r="BV122" s="729"/>
      <c r="BW122" s="729"/>
      <c r="BX122" s="729"/>
      <c r="BY122" s="729"/>
      <c r="BZ122" s="729"/>
    </row>
    <row r="123" spans="2:78" x14ac:dyDescent="0.15">
      <c r="C123" s="19" t="s">
        <v>187</v>
      </c>
      <c r="D123" s="708"/>
      <c r="E123" s="29"/>
      <c r="F123" s="29">
        <f t="shared" ref="F123:O123" ca="1" si="243">MAX(-F121-F122,-F115)</f>
        <v>-44879.916599999997</v>
      </c>
      <c r="G123" s="29">
        <f t="shared" ca="1" si="243"/>
        <v>-141962.10145377007</v>
      </c>
      <c r="H123" s="29">
        <f t="shared" ca="1" si="243"/>
        <v>-415675.05733093224</v>
      </c>
      <c r="I123" s="29">
        <f t="shared" ca="1" si="243"/>
        <v>-243875.85578658892</v>
      </c>
      <c r="J123" s="29">
        <f t="shared" ca="1" si="243"/>
        <v>-2844551.3288945295</v>
      </c>
      <c r="K123" s="29">
        <f t="shared" ca="1" si="243"/>
        <v>0</v>
      </c>
      <c r="L123" s="29">
        <f t="shared" ca="1" si="243"/>
        <v>0</v>
      </c>
      <c r="M123" s="29">
        <f t="shared" ca="1" si="243"/>
        <v>0</v>
      </c>
      <c r="N123" s="29">
        <f t="shared" ca="1" si="243"/>
        <v>0</v>
      </c>
      <c r="O123" s="29">
        <f t="shared" ca="1" si="243"/>
        <v>0</v>
      </c>
      <c r="P123" s="29">
        <f t="shared" ref="P123:AH123" ca="1" si="244">MAX(-P121-P122,-P115-P93)</f>
        <v>0</v>
      </c>
      <c r="Q123" s="29">
        <f t="shared" ca="1" si="244"/>
        <v>0</v>
      </c>
      <c r="R123" s="29">
        <f t="shared" ca="1" si="244"/>
        <v>0</v>
      </c>
      <c r="S123" s="29">
        <f t="shared" ca="1" si="244"/>
        <v>0</v>
      </c>
      <c r="T123" s="29">
        <f t="shared" ca="1" si="244"/>
        <v>0</v>
      </c>
      <c r="U123" s="29">
        <f t="shared" ca="1" si="244"/>
        <v>0</v>
      </c>
      <c r="V123" s="29">
        <f t="shared" ca="1" si="244"/>
        <v>0</v>
      </c>
      <c r="W123" s="29">
        <f t="shared" ca="1" si="244"/>
        <v>0</v>
      </c>
      <c r="X123" s="29">
        <f t="shared" ca="1" si="244"/>
        <v>0</v>
      </c>
      <c r="Y123" s="29">
        <f t="shared" ca="1" si="244"/>
        <v>0</v>
      </c>
      <c r="Z123" s="29">
        <f t="shared" ca="1" si="244"/>
        <v>0</v>
      </c>
      <c r="AA123" s="29">
        <f t="shared" ca="1" si="244"/>
        <v>0</v>
      </c>
      <c r="AB123" s="29">
        <f t="shared" ca="1" si="244"/>
        <v>0</v>
      </c>
      <c r="AC123" s="29">
        <f t="shared" ca="1" si="244"/>
        <v>0</v>
      </c>
      <c r="AD123" s="29">
        <f t="shared" ca="1" si="244"/>
        <v>0</v>
      </c>
      <c r="AE123" s="29">
        <f t="shared" ca="1" si="244"/>
        <v>0</v>
      </c>
      <c r="AF123" s="29">
        <f t="shared" ca="1" si="244"/>
        <v>0</v>
      </c>
      <c r="AG123" s="29">
        <f t="shared" ca="1" si="244"/>
        <v>0</v>
      </c>
      <c r="AH123" s="29">
        <f t="shared" ca="1" si="244"/>
        <v>0</v>
      </c>
      <c r="AI123" s="29">
        <f t="shared" ref="AI123:AJ123" ca="1" si="245">MAX(-AI121-AI122,-AI115-AI93)</f>
        <v>0</v>
      </c>
      <c r="AJ123" s="29">
        <f t="shared" ca="1" si="245"/>
        <v>0</v>
      </c>
      <c r="AK123" s="729"/>
      <c r="AL123" s="729"/>
      <c r="AM123" s="729"/>
      <c r="AN123" s="729"/>
      <c r="AO123" s="729"/>
      <c r="AP123" s="729"/>
      <c r="AQ123" s="729"/>
      <c r="AR123" s="729"/>
      <c r="AS123" s="729"/>
      <c r="AT123" s="729"/>
      <c r="AU123" s="729"/>
      <c r="AV123" s="729"/>
      <c r="AW123" s="729"/>
      <c r="AX123" s="729"/>
      <c r="AY123" s="729"/>
      <c r="AZ123" s="729"/>
      <c r="BA123" s="729"/>
      <c r="BB123" s="729"/>
      <c r="BC123" s="729"/>
      <c r="BD123" s="729"/>
      <c r="BE123" s="729"/>
      <c r="BF123" s="729"/>
      <c r="BG123" s="729"/>
      <c r="BH123" s="729"/>
      <c r="BI123" s="729"/>
      <c r="BJ123" s="729"/>
      <c r="BK123" s="729"/>
      <c r="BL123" s="729"/>
      <c r="BM123" s="729"/>
      <c r="BN123" s="729"/>
      <c r="BO123" s="729"/>
      <c r="BP123" s="729"/>
      <c r="BQ123" s="729"/>
      <c r="BR123" s="729"/>
      <c r="BS123" s="729"/>
      <c r="BT123" s="729"/>
      <c r="BU123" s="729"/>
      <c r="BV123" s="729"/>
      <c r="BW123" s="729"/>
      <c r="BX123" s="729"/>
      <c r="BY123" s="729"/>
      <c r="BZ123" s="729"/>
    </row>
    <row r="124" spans="2:78" x14ac:dyDescent="0.15">
      <c r="C124" s="19" t="s">
        <v>193</v>
      </c>
      <c r="D124" s="739"/>
      <c r="E124" s="29"/>
      <c r="F124" s="816">
        <f t="shared" ref="F124:AH124" ca="1" si="246">F121+F122+F123</f>
        <v>3063120.0833999999</v>
      </c>
      <c r="G124" s="816">
        <f t="shared" ca="1" si="246"/>
        <v>3074313.98611623</v>
      </c>
      <c r="H124" s="816">
        <f t="shared" ca="1" si="246"/>
        <v>2812354.628091109</v>
      </c>
      <c r="I124" s="816">
        <f t="shared" ca="1" si="246"/>
        <v>2709096.5037090755</v>
      </c>
      <c r="J124" s="816">
        <f t="shared" ca="1" si="246"/>
        <v>0</v>
      </c>
      <c r="K124" s="816">
        <f t="shared" ca="1" si="246"/>
        <v>0</v>
      </c>
      <c r="L124" s="816">
        <f t="shared" ca="1" si="246"/>
        <v>0</v>
      </c>
      <c r="M124" s="816">
        <f t="shared" ca="1" si="246"/>
        <v>0</v>
      </c>
      <c r="N124" s="816">
        <f t="shared" ca="1" si="246"/>
        <v>0</v>
      </c>
      <c r="O124" s="816">
        <f t="shared" ca="1" si="246"/>
        <v>0</v>
      </c>
      <c r="P124" s="816">
        <f t="shared" ca="1" si="246"/>
        <v>0</v>
      </c>
      <c r="Q124" s="816">
        <f t="shared" ca="1" si="246"/>
        <v>0</v>
      </c>
      <c r="R124" s="816">
        <f t="shared" ca="1" si="246"/>
        <v>0</v>
      </c>
      <c r="S124" s="816">
        <f t="shared" ca="1" si="246"/>
        <v>0</v>
      </c>
      <c r="T124" s="816">
        <f t="shared" ca="1" si="246"/>
        <v>0</v>
      </c>
      <c r="U124" s="816">
        <f t="shared" ca="1" si="246"/>
        <v>0</v>
      </c>
      <c r="V124" s="816">
        <f t="shared" ca="1" si="246"/>
        <v>0</v>
      </c>
      <c r="W124" s="816">
        <f t="shared" ca="1" si="246"/>
        <v>0</v>
      </c>
      <c r="X124" s="816">
        <f t="shared" ca="1" si="246"/>
        <v>0</v>
      </c>
      <c r="Y124" s="816">
        <f t="shared" ca="1" si="246"/>
        <v>0</v>
      </c>
      <c r="Z124" s="816">
        <f t="shared" ca="1" si="246"/>
        <v>0</v>
      </c>
      <c r="AA124" s="816">
        <f t="shared" ca="1" si="246"/>
        <v>0</v>
      </c>
      <c r="AB124" s="816">
        <f t="shared" ca="1" si="246"/>
        <v>0</v>
      </c>
      <c r="AC124" s="816">
        <f t="shared" ca="1" si="246"/>
        <v>0</v>
      </c>
      <c r="AD124" s="816">
        <f t="shared" ca="1" si="246"/>
        <v>0</v>
      </c>
      <c r="AE124" s="816">
        <f t="shared" ca="1" si="246"/>
        <v>0</v>
      </c>
      <c r="AF124" s="816">
        <f t="shared" ca="1" si="246"/>
        <v>0</v>
      </c>
      <c r="AG124" s="816">
        <f t="shared" ca="1" si="246"/>
        <v>0</v>
      </c>
      <c r="AH124" s="816">
        <f t="shared" ca="1" si="246"/>
        <v>0</v>
      </c>
      <c r="AI124" s="816">
        <f t="shared" ref="AI124:AJ124" ca="1" si="247">AI121+AI122+AI123</f>
        <v>0</v>
      </c>
      <c r="AJ124" s="816">
        <f t="shared" ca="1" si="247"/>
        <v>0</v>
      </c>
      <c r="AK124" s="729"/>
      <c r="AL124" s="729"/>
      <c r="AM124" s="729"/>
      <c r="AN124" s="729"/>
      <c r="AO124" s="729"/>
      <c r="AP124" s="729"/>
      <c r="AQ124" s="729"/>
      <c r="AR124" s="729"/>
      <c r="AS124" s="729"/>
      <c r="AT124" s="729"/>
      <c r="AU124" s="729"/>
      <c r="AV124" s="729"/>
      <c r="AW124" s="729"/>
      <c r="AX124" s="729"/>
      <c r="AY124" s="729"/>
      <c r="AZ124" s="729"/>
      <c r="BA124" s="729"/>
      <c r="BB124" s="729"/>
      <c r="BC124" s="729"/>
      <c r="BD124" s="729"/>
      <c r="BE124" s="729"/>
      <c r="BF124" s="729"/>
      <c r="BG124" s="729"/>
      <c r="BH124" s="729"/>
      <c r="BI124" s="729"/>
      <c r="BJ124" s="729"/>
      <c r="BK124" s="729"/>
      <c r="BL124" s="729"/>
      <c r="BM124" s="729"/>
      <c r="BN124" s="729"/>
      <c r="BO124" s="729"/>
      <c r="BP124" s="729"/>
      <c r="BQ124" s="729"/>
      <c r="BR124" s="729"/>
      <c r="BS124" s="729"/>
      <c r="BT124" s="729"/>
      <c r="BU124" s="729"/>
      <c r="BV124" s="729"/>
      <c r="BW124" s="729"/>
      <c r="BX124" s="729"/>
      <c r="BY124" s="729"/>
      <c r="BZ124" s="729"/>
    </row>
    <row r="125" spans="2:78" x14ac:dyDescent="0.15">
      <c r="C125" s="28" t="s">
        <v>214</v>
      </c>
      <c r="D125" s="739"/>
      <c r="E125" s="27"/>
      <c r="F125" s="29">
        <f t="shared" ref="F125:AH125" ca="1" si="248">F115+F123</f>
        <v>0</v>
      </c>
      <c r="G125" s="29">
        <f t="shared" ca="1" si="248"/>
        <v>0</v>
      </c>
      <c r="H125" s="29">
        <f t="shared" ca="1" si="248"/>
        <v>0</v>
      </c>
      <c r="I125" s="29">
        <f t="shared" ca="1" si="248"/>
        <v>0</v>
      </c>
      <c r="J125" s="29">
        <f t="shared" ca="1" si="248"/>
        <v>345011.20658374159</v>
      </c>
      <c r="K125" s="29">
        <f t="shared" ca="1" si="248"/>
        <v>95442.582533426699</v>
      </c>
      <c r="L125" s="29">
        <f t="shared" ca="1" si="248"/>
        <v>121777.65321801312</v>
      </c>
      <c r="M125" s="29">
        <f t="shared" ca="1" si="248"/>
        <v>149254.21925187693</v>
      </c>
      <c r="N125" s="29">
        <f t="shared" ca="1" si="248"/>
        <v>177919.70229942701</v>
      </c>
      <c r="O125" s="29">
        <f t="shared" ca="1" si="248"/>
        <v>207823.45612865675</v>
      </c>
      <c r="P125" s="29">
        <f t="shared" ca="1" si="248"/>
        <v>239016.84460002917</v>
      </c>
      <c r="Q125" s="29">
        <f t="shared" ca="1" si="248"/>
        <v>271553.32278900978</v>
      </c>
      <c r="R125" s="29">
        <f t="shared" ca="1" si="248"/>
        <v>305488.52136787784</v>
      </c>
      <c r="S125" s="29">
        <f t="shared" ca="1" si="248"/>
        <v>340880.3343774752</v>
      </c>
      <c r="T125" s="29">
        <f t="shared" ca="1" si="248"/>
        <v>377789.01052478235</v>
      </c>
      <c r="U125" s="29">
        <f t="shared" ca="1" si="248"/>
        <v>416277.24814765505</v>
      </c>
      <c r="V125" s="29">
        <f t="shared" ca="1" si="248"/>
        <v>456410.29399370856</v>
      </c>
      <c r="W125" s="29">
        <f t="shared" ca="1" si="248"/>
        <v>498256.0459662358</v>
      </c>
      <c r="X125" s="29">
        <f t="shared" ca="1" si="248"/>
        <v>541885.15999614808</v>
      </c>
      <c r="Y125" s="29">
        <f t="shared" ca="1" si="248"/>
        <v>587371.16120531084</v>
      </c>
      <c r="Z125" s="29">
        <f t="shared" ca="1" si="248"/>
        <v>634790.55953325483</v>
      </c>
      <c r="AA125" s="29">
        <f t="shared" ca="1" si="248"/>
        <v>684222.97000613983</v>
      </c>
      <c r="AB125" s="29">
        <f t="shared" ca="1" si="248"/>
        <v>735751.23783399991</v>
      </c>
      <c r="AC125" s="29">
        <f t="shared" ca="1" si="248"/>
        <v>789461.56852975546</v>
      </c>
      <c r="AD125" s="29">
        <f t="shared" ca="1" si="248"/>
        <v>845443.66325121734</v>
      </c>
      <c r="AE125" s="29">
        <f t="shared" ca="1" si="248"/>
        <v>903790.85957537207</v>
      </c>
      <c r="AF125" s="29">
        <f t="shared" ca="1" si="248"/>
        <v>964600.27792260388</v>
      </c>
      <c r="AG125" s="29">
        <f t="shared" ca="1" si="248"/>
        <v>1027972.9738572367</v>
      </c>
      <c r="AH125" s="29">
        <f t="shared" ca="1" si="248"/>
        <v>1094014.0964998389</v>
      </c>
      <c r="AI125" s="29">
        <f t="shared" ref="AI125:AJ125" ca="1" si="249">AI115+AI123</f>
        <v>1162833.0532961399</v>
      </c>
      <c r="AJ125" s="29">
        <f t="shared" ca="1" si="249"/>
        <v>33136092.959738743</v>
      </c>
      <c r="AK125" s="729"/>
      <c r="AL125" s="729"/>
      <c r="AM125" s="729"/>
      <c r="AN125" s="729"/>
      <c r="AO125" s="729"/>
      <c r="AP125" s="729"/>
      <c r="AQ125" s="729"/>
      <c r="AR125" s="729"/>
      <c r="AS125" s="729"/>
      <c r="AT125" s="729"/>
      <c r="AU125" s="729"/>
      <c r="AV125" s="729"/>
      <c r="AW125" s="729"/>
      <c r="AX125" s="729"/>
      <c r="AY125" s="729"/>
      <c r="AZ125" s="729"/>
      <c r="BA125" s="729"/>
      <c r="BB125" s="729"/>
      <c r="BC125" s="729"/>
      <c r="BD125" s="729"/>
      <c r="BE125" s="729"/>
      <c r="BF125" s="729"/>
      <c r="BG125" s="729"/>
      <c r="BH125" s="729"/>
      <c r="BI125" s="729"/>
      <c r="BJ125" s="729"/>
      <c r="BK125" s="729"/>
      <c r="BL125" s="729"/>
      <c r="BM125" s="729"/>
      <c r="BN125" s="729"/>
      <c r="BO125" s="729"/>
      <c r="BP125" s="729"/>
      <c r="BQ125" s="729"/>
      <c r="BR125" s="729"/>
      <c r="BS125" s="729"/>
      <c r="BT125" s="729"/>
      <c r="BU125" s="729"/>
      <c r="BV125" s="729"/>
      <c r="BW125" s="729"/>
      <c r="BX125" s="729"/>
      <c r="BY125" s="729"/>
      <c r="BZ125" s="729"/>
    </row>
    <row r="126" spans="2:78" x14ac:dyDescent="0.15">
      <c r="C126" s="37" t="s">
        <v>215</v>
      </c>
      <c r="D126" s="719"/>
      <c r="E126" s="719"/>
      <c r="F126" s="29"/>
      <c r="G126" s="29"/>
      <c r="H126" s="29"/>
      <c r="I126" s="29"/>
      <c r="J126" s="29"/>
      <c r="K126" s="29"/>
      <c r="L126" s="29"/>
      <c r="M126" s="29"/>
      <c r="N126" s="29"/>
      <c r="O126" s="29"/>
      <c r="P126" s="29"/>
      <c r="Q126" s="29"/>
      <c r="R126" s="29"/>
      <c r="S126" s="29"/>
      <c r="T126" s="29"/>
      <c r="U126" s="29"/>
      <c r="V126" s="29"/>
      <c r="W126" s="29"/>
      <c r="X126" s="29"/>
      <c r="Y126" s="29"/>
      <c r="Z126" s="29"/>
      <c r="AA126" s="29"/>
      <c r="AB126" s="29"/>
      <c r="AC126" s="29"/>
      <c r="AD126" s="29"/>
      <c r="AE126" s="29"/>
      <c r="AF126" s="29"/>
      <c r="AG126" s="29"/>
      <c r="AH126" s="29"/>
      <c r="AI126" s="29"/>
      <c r="AJ126" s="29"/>
      <c r="AK126" s="729"/>
      <c r="AL126" s="729"/>
      <c r="AM126" s="729"/>
      <c r="AN126" s="729"/>
      <c r="AO126" s="729"/>
      <c r="AP126" s="729"/>
      <c r="AQ126" s="729"/>
      <c r="AR126" s="729"/>
      <c r="AS126" s="729"/>
      <c r="AT126" s="729"/>
      <c r="AU126" s="729"/>
      <c r="AV126" s="729"/>
      <c r="AW126" s="729"/>
      <c r="AX126" s="729"/>
      <c r="AY126" s="729"/>
      <c r="AZ126" s="729"/>
      <c r="BA126" s="729"/>
      <c r="BB126" s="729"/>
      <c r="BC126" s="729"/>
      <c r="BD126" s="729"/>
      <c r="BE126" s="729"/>
      <c r="BF126" s="729"/>
      <c r="BG126" s="729"/>
      <c r="BH126" s="729"/>
      <c r="BI126" s="729"/>
      <c r="BJ126" s="729"/>
      <c r="BK126" s="729"/>
      <c r="BL126" s="729"/>
      <c r="BM126" s="729"/>
      <c r="BN126" s="729"/>
      <c r="BO126" s="729"/>
      <c r="BP126" s="729"/>
      <c r="BQ126" s="729"/>
      <c r="BR126" s="729"/>
      <c r="BS126" s="729"/>
      <c r="BT126" s="729"/>
      <c r="BU126" s="729"/>
      <c r="BV126" s="729"/>
      <c r="BW126" s="729"/>
      <c r="BX126" s="729"/>
      <c r="BY126" s="729"/>
      <c r="BZ126" s="729"/>
    </row>
    <row r="127" spans="2:78" x14ac:dyDescent="0.15">
      <c r="C127" s="740" t="s">
        <v>216</v>
      </c>
      <c r="D127" s="708"/>
      <c r="E127" s="29"/>
      <c r="F127" s="29">
        <f t="shared" ref="F127:AH127" ca="1" si="250">F125*$K$20</f>
        <v>0</v>
      </c>
      <c r="G127" s="29">
        <f t="shared" ca="1" si="250"/>
        <v>0</v>
      </c>
      <c r="H127" s="29">
        <f t="shared" ca="1" si="250"/>
        <v>0</v>
      </c>
      <c r="I127" s="29">
        <f t="shared" ca="1" si="250"/>
        <v>0</v>
      </c>
      <c r="J127" s="29">
        <f t="shared" ca="1" si="250"/>
        <v>172505.60329187079</v>
      </c>
      <c r="K127" s="29">
        <f t="shared" ca="1" si="250"/>
        <v>47721.29126671335</v>
      </c>
      <c r="L127" s="29">
        <f t="shared" ca="1" si="250"/>
        <v>60888.826609006559</v>
      </c>
      <c r="M127" s="29">
        <f t="shared" ca="1" si="250"/>
        <v>74627.109625938465</v>
      </c>
      <c r="N127" s="29">
        <f t="shared" ca="1" si="250"/>
        <v>88959.851149713504</v>
      </c>
      <c r="O127" s="29">
        <f t="shared" ca="1" si="250"/>
        <v>103911.72806432837</v>
      </c>
      <c r="P127" s="29">
        <f t="shared" ca="1" si="250"/>
        <v>119508.42230001459</v>
      </c>
      <c r="Q127" s="29">
        <f t="shared" ca="1" si="250"/>
        <v>135776.66139450489</v>
      </c>
      <c r="R127" s="29">
        <f t="shared" ca="1" si="250"/>
        <v>152744.26068393892</v>
      </c>
      <c r="S127" s="29">
        <f t="shared" ca="1" si="250"/>
        <v>170440.1671887376</v>
      </c>
      <c r="T127" s="29">
        <f t="shared" ca="1" si="250"/>
        <v>188894.50526239118</v>
      </c>
      <c r="U127" s="29">
        <f t="shared" ca="1" si="250"/>
        <v>208138.62407382752</v>
      </c>
      <c r="V127" s="29">
        <f t="shared" ca="1" si="250"/>
        <v>228205.14699685428</v>
      </c>
      <c r="W127" s="29">
        <f t="shared" ca="1" si="250"/>
        <v>249128.0229831179</v>
      </c>
      <c r="X127" s="29">
        <f t="shared" ca="1" si="250"/>
        <v>270942.57999807404</v>
      </c>
      <c r="Y127" s="29">
        <f t="shared" ca="1" si="250"/>
        <v>293685.58060265542</v>
      </c>
      <c r="Z127" s="29">
        <f t="shared" ca="1" si="250"/>
        <v>317395.27976662741</v>
      </c>
      <c r="AA127" s="29">
        <f t="shared" ca="1" si="250"/>
        <v>342111.48500306992</v>
      </c>
      <c r="AB127" s="29">
        <f t="shared" ca="1" si="250"/>
        <v>367875.61891699996</v>
      </c>
      <c r="AC127" s="29">
        <f t="shared" ca="1" si="250"/>
        <v>394730.78426487773</v>
      </c>
      <c r="AD127" s="29">
        <f t="shared" ca="1" si="250"/>
        <v>422721.83162560867</v>
      </c>
      <c r="AE127" s="29">
        <f t="shared" ca="1" si="250"/>
        <v>451895.42978768604</v>
      </c>
      <c r="AF127" s="29">
        <f t="shared" ca="1" si="250"/>
        <v>482300.13896130194</v>
      </c>
      <c r="AG127" s="29">
        <f t="shared" ca="1" si="250"/>
        <v>513986.48692861834</v>
      </c>
      <c r="AH127" s="29">
        <f t="shared" ca="1" si="250"/>
        <v>547007.04824991943</v>
      </c>
      <c r="AI127" s="29">
        <f t="shared" ref="AI127:AJ127" ca="1" si="251">AI125*$K$20</f>
        <v>581416.52664806996</v>
      </c>
      <c r="AJ127" s="29">
        <f t="shared" ca="1" si="251"/>
        <v>16568046.479869371</v>
      </c>
      <c r="AK127" s="729"/>
      <c r="AL127" s="729"/>
      <c r="AM127" s="729"/>
      <c r="AN127" s="729"/>
      <c r="AO127" s="729"/>
      <c r="AP127" s="729"/>
      <c r="AQ127" s="729"/>
      <c r="AR127" s="729"/>
      <c r="AS127" s="729"/>
      <c r="AT127" s="729"/>
      <c r="AU127" s="729"/>
      <c r="AV127" s="729"/>
      <c r="AW127" s="729"/>
      <c r="AX127" s="729"/>
      <c r="AY127" s="729"/>
      <c r="AZ127" s="729"/>
      <c r="BA127" s="729"/>
      <c r="BB127" s="729"/>
      <c r="BC127" s="729"/>
      <c r="BD127" s="729"/>
      <c r="BE127" s="729"/>
      <c r="BF127" s="729"/>
      <c r="BG127" s="729"/>
      <c r="BH127" s="729"/>
      <c r="BI127" s="729"/>
      <c r="BJ127" s="729"/>
      <c r="BK127" s="729"/>
      <c r="BL127" s="729"/>
      <c r="BM127" s="729"/>
      <c r="BN127" s="729"/>
      <c r="BO127" s="729"/>
      <c r="BP127" s="729"/>
      <c r="BQ127" s="729"/>
      <c r="BR127" s="729"/>
      <c r="BS127" s="729"/>
      <c r="BT127" s="729"/>
      <c r="BU127" s="729"/>
      <c r="BV127" s="729"/>
      <c r="BW127" s="729"/>
      <c r="BX127" s="729"/>
      <c r="BY127" s="729"/>
      <c r="BZ127" s="729"/>
    </row>
    <row r="128" spans="2:78" x14ac:dyDescent="0.15">
      <c r="C128" s="740" t="s">
        <v>217</v>
      </c>
      <c r="D128" s="708"/>
      <c r="E128" s="29"/>
      <c r="F128" s="29">
        <f t="shared" ref="F128:AH128" ca="1" si="252">F125*$K$21</f>
        <v>0</v>
      </c>
      <c r="G128" s="29">
        <f t="shared" ca="1" si="252"/>
        <v>0</v>
      </c>
      <c r="H128" s="29">
        <f t="shared" ca="1" si="252"/>
        <v>0</v>
      </c>
      <c r="I128" s="29">
        <f t="shared" ca="1" si="252"/>
        <v>0</v>
      </c>
      <c r="J128" s="29">
        <f t="shared" ca="1" si="252"/>
        <v>172505.60329187079</v>
      </c>
      <c r="K128" s="29">
        <f t="shared" ca="1" si="252"/>
        <v>47721.29126671335</v>
      </c>
      <c r="L128" s="29">
        <f t="shared" ca="1" si="252"/>
        <v>60888.826609006559</v>
      </c>
      <c r="M128" s="29">
        <f t="shared" ca="1" si="252"/>
        <v>74627.109625938465</v>
      </c>
      <c r="N128" s="29">
        <f t="shared" ca="1" si="252"/>
        <v>88959.851149713504</v>
      </c>
      <c r="O128" s="29">
        <f t="shared" ca="1" si="252"/>
        <v>103911.72806432837</v>
      </c>
      <c r="P128" s="29">
        <f t="shared" ca="1" si="252"/>
        <v>119508.42230001459</v>
      </c>
      <c r="Q128" s="29">
        <f t="shared" ca="1" si="252"/>
        <v>135776.66139450489</v>
      </c>
      <c r="R128" s="29">
        <f t="shared" ca="1" si="252"/>
        <v>152744.26068393892</v>
      </c>
      <c r="S128" s="29">
        <f t="shared" ca="1" si="252"/>
        <v>170440.1671887376</v>
      </c>
      <c r="T128" s="29">
        <f t="shared" ca="1" si="252"/>
        <v>188894.50526239118</v>
      </c>
      <c r="U128" s="29">
        <f t="shared" ca="1" si="252"/>
        <v>208138.62407382752</v>
      </c>
      <c r="V128" s="29">
        <f t="shared" ca="1" si="252"/>
        <v>228205.14699685428</v>
      </c>
      <c r="W128" s="29">
        <f t="shared" ca="1" si="252"/>
        <v>249128.0229831179</v>
      </c>
      <c r="X128" s="29">
        <f t="shared" ca="1" si="252"/>
        <v>270942.57999807404</v>
      </c>
      <c r="Y128" s="29">
        <f t="shared" ca="1" si="252"/>
        <v>293685.58060265542</v>
      </c>
      <c r="Z128" s="29">
        <f t="shared" ca="1" si="252"/>
        <v>317395.27976662741</v>
      </c>
      <c r="AA128" s="29">
        <f t="shared" ca="1" si="252"/>
        <v>342111.48500306992</v>
      </c>
      <c r="AB128" s="29">
        <f t="shared" ca="1" si="252"/>
        <v>367875.61891699996</v>
      </c>
      <c r="AC128" s="29">
        <f t="shared" ca="1" si="252"/>
        <v>394730.78426487773</v>
      </c>
      <c r="AD128" s="29">
        <f t="shared" ca="1" si="252"/>
        <v>422721.83162560867</v>
      </c>
      <c r="AE128" s="29">
        <f t="shared" ca="1" si="252"/>
        <v>451895.42978768604</v>
      </c>
      <c r="AF128" s="29">
        <f t="shared" ca="1" si="252"/>
        <v>482300.13896130194</v>
      </c>
      <c r="AG128" s="29">
        <f t="shared" ca="1" si="252"/>
        <v>513986.48692861834</v>
      </c>
      <c r="AH128" s="29">
        <f t="shared" ca="1" si="252"/>
        <v>547007.04824991943</v>
      </c>
      <c r="AI128" s="29">
        <f t="shared" ref="AI128:AJ128" ca="1" si="253">AI125*$K$21</f>
        <v>581416.52664806996</v>
      </c>
      <c r="AJ128" s="29">
        <f t="shared" ca="1" si="253"/>
        <v>16568046.479869371</v>
      </c>
      <c r="AK128" s="729"/>
      <c r="AL128" s="729"/>
      <c r="AM128" s="729"/>
      <c r="AN128" s="729"/>
      <c r="AO128" s="729"/>
      <c r="AP128" s="729"/>
      <c r="AQ128" s="729"/>
      <c r="AR128" s="729"/>
      <c r="AS128" s="729"/>
      <c r="AT128" s="729"/>
      <c r="AU128" s="729"/>
      <c r="AV128" s="729"/>
      <c r="AW128" s="729"/>
      <c r="AX128" s="729"/>
      <c r="AY128" s="729"/>
      <c r="AZ128" s="729"/>
      <c r="BA128" s="729"/>
      <c r="BB128" s="729"/>
      <c r="BC128" s="729"/>
      <c r="BD128" s="729"/>
      <c r="BE128" s="729"/>
      <c r="BF128" s="729"/>
      <c r="BG128" s="729"/>
      <c r="BH128" s="729"/>
      <c r="BI128" s="729"/>
      <c r="BJ128" s="729"/>
      <c r="BK128" s="729"/>
      <c r="BL128" s="729"/>
      <c r="BM128" s="729"/>
      <c r="BN128" s="729"/>
      <c r="BO128" s="729"/>
      <c r="BP128" s="729"/>
      <c r="BQ128" s="729"/>
      <c r="BR128" s="729"/>
      <c r="BS128" s="729"/>
      <c r="BT128" s="729"/>
      <c r="BU128" s="729"/>
      <c r="BV128" s="729"/>
      <c r="BW128" s="729"/>
      <c r="BX128" s="729"/>
      <c r="BY128" s="729"/>
      <c r="BZ128" s="729"/>
    </row>
    <row r="129" spans="2:78" x14ac:dyDescent="0.15">
      <c r="C129" s="37" t="s">
        <v>48</v>
      </c>
      <c r="D129" s="708"/>
      <c r="E129"/>
      <c r="F129" s="29"/>
      <c r="G129" s="29"/>
      <c r="H129" s="29"/>
      <c r="I129" s="29"/>
      <c r="J129" s="29"/>
      <c r="K129" s="29"/>
      <c r="L129" s="29"/>
      <c r="M129" s="29"/>
      <c r="N129" s="29"/>
      <c r="O129" s="29"/>
      <c r="P129" s="29"/>
      <c r="Q129" s="29"/>
      <c r="R129" s="29"/>
      <c r="S129" s="29"/>
      <c r="T129" s="29"/>
      <c r="U129" s="29"/>
      <c r="V129" s="29"/>
      <c r="W129" s="29"/>
      <c r="X129" s="29"/>
      <c r="Y129" s="29"/>
      <c r="Z129" s="29"/>
      <c r="AA129" s="29"/>
      <c r="AB129" s="29"/>
      <c r="AC129" s="29"/>
      <c r="AD129" s="29"/>
      <c r="AE129" s="29"/>
      <c r="AF129" s="29"/>
      <c r="AG129" s="29"/>
      <c r="AH129" s="29"/>
      <c r="AI129" s="29"/>
      <c r="AJ129" s="29"/>
      <c r="AK129" s="729"/>
      <c r="AL129" s="729"/>
      <c r="AM129" s="729"/>
      <c r="AN129" s="729"/>
      <c r="AO129" s="729"/>
      <c r="AP129" s="729"/>
      <c r="AQ129" s="729"/>
      <c r="AR129" s="729"/>
      <c r="AS129" s="729"/>
      <c r="AT129" s="729"/>
      <c r="AU129" s="729"/>
      <c r="AV129" s="729"/>
      <c r="AW129" s="729"/>
      <c r="AX129" s="729"/>
      <c r="AY129" s="729"/>
      <c r="AZ129" s="729"/>
      <c r="BA129" s="729"/>
      <c r="BB129" s="729"/>
      <c r="BC129" s="729"/>
      <c r="BD129" s="729"/>
      <c r="BE129" s="729"/>
      <c r="BF129" s="729"/>
      <c r="BG129" s="729"/>
      <c r="BH129" s="729"/>
      <c r="BI129" s="729"/>
      <c r="BJ129" s="729"/>
      <c r="BK129" s="729"/>
      <c r="BL129" s="729"/>
      <c r="BM129" s="729"/>
      <c r="BN129" s="729"/>
      <c r="BO129" s="729"/>
      <c r="BP129" s="729"/>
      <c r="BQ129" s="729"/>
      <c r="BR129" s="729"/>
      <c r="BS129" s="729"/>
      <c r="BT129" s="729"/>
      <c r="BU129" s="729"/>
      <c r="BV129" s="729"/>
      <c r="BW129" s="729"/>
      <c r="BX129" s="729"/>
      <c r="BY129" s="729"/>
      <c r="BZ129" s="729"/>
    </row>
    <row r="130" spans="2:78" x14ac:dyDescent="0.15">
      <c r="C130" s="740" t="s">
        <v>216</v>
      </c>
      <c r="D130" s="741">
        <f ca="1">SUM(E130:AJ130)</f>
        <v>24286509.751579661</v>
      </c>
      <c r="E130" s="35">
        <f>E115</f>
        <v>-2960000</v>
      </c>
      <c r="F130" s="29">
        <f t="shared" ref="F130:AH130" ca="1" si="254">-F123+F127</f>
        <v>44879.916599999997</v>
      </c>
      <c r="G130" s="29">
        <f t="shared" ca="1" si="254"/>
        <v>141962.10145377007</v>
      </c>
      <c r="H130" s="29">
        <f t="shared" ca="1" si="254"/>
        <v>415675.05733093224</v>
      </c>
      <c r="I130" s="29">
        <f t="shared" ca="1" si="254"/>
        <v>243875.85578658892</v>
      </c>
      <c r="J130" s="29">
        <f t="shared" ca="1" si="254"/>
        <v>3017056.9321864005</v>
      </c>
      <c r="K130" s="29">
        <f t="shared" ca="1" si="254"/>
        <v>47721.29126671335</v>
      </c>
      <c r="L130" s="29">
        <f t="shared" ca="1" si="254"/>
        <v>60888.826609006559</v>
      </c>
      <c r="M130" s="29">
        <f t="shared" ca="1" si="254"/>
        <v>74627.109625938465</v>
      </c>
      <c r="N130" s="29">
        <f t="shared" ca="1" si="254"/>
        <v>88959.851149713504</v>
      </c>
      <c r="O130" s="29">
        <f t="shared" ca="1" si="254"/>
        <v>103911.72806432837</v>
      </c>
      <c r="P130" s="29">
        <f t="shared" ca="1" si="254"/>
        <v>119508.42230001459</v>
      </c>
      <c r="Q130" s="29">
        <f t="shared" ca="1" si="254"/>
        <v>135776.66139450489</v>
      </c>
      <c r="R130" s="29">
        <f t="shared" ca="1" si="254"/>
        <v>152744.26068393892</v>
      </c>
      <c r="S130" s="29">
        <f t="shared" ca="1" si="254"/>
        <v>170440.1671887376</v>
      </c>
      <c r="T130" s="29">
        <f t="shared" ca="1" si="254"/>
        <v>188894.50526239118</v>
      </c>
      <c r="U130" s="29">
        <f t="shared" ca="1" si="254"/>
        <v>208138.62407382752</v>
      </c>
      <c r="V130" s="29">
        <f t="shared" ca="1" si="254"/>
        <v>228205.14699685428</v>
      </c>
      <c r="W130" s="29">
        <f t="shared" ca="1" si="254"/>
        <v>249128.0229831179</v>
      </c>
      <c r="X130" s="29">
        <f t="shared" ca="1" si="254"/>
        <v>270942.57999807404</v>
      </c>
      <c r="Y130" s="29">
        <f t="shared" ca="1" si="254"/>
        <v>293685.58060265542</v>
      </c>
      <c r="Z130" s="29">
        <f t="shared" ca="1" si="254"/>
        <v>317395.27976662741</v>
      </c>
      <c r="AA130" s="29">
        <f t="shared" ca="1" si="254"/>
        <v>342111.48500306992</v>
      </c>
      <c r="AB130" s="29">
        <f t="shared" ca="1" si="254"/>
        <v>367875.61891699996</v>
      </c>
      <c r="AC130" s="29">
        <f t="shared" ca="1" si="254"/>
        <v>394730.78426487773</v>
      </c>
      <c r="AD130" s="29">
        <f t="shared" ca="1" si="254"/>
        <v>422721.83162560867</v>
      </c>
      <c r="AE130" s="29">
        <f t="shared" ca="1" si="254"/>
        <v>451895.42978768604</v>
      </c>
      <c r="AF130" s="29">
        <f t="shared" ca="1" si="254"/>
        <v>482300.13896130194</v>
      </c>
      <c r="AG130" s="29">
        <f t="shared" ca="1" si="254"/>
        <v>513986.48692861834</v>
      </c>
      <c r="AH130" s="29">
        <f t="shared" ca="1" si="254"/>
        <v>547007.04824991943</v>
      </c>
      <c r="AI130" s="29">
        <f t="shared" ref="AI130:AJ130" ca="1" si="255">-AI123+AI127</f>
        <v>581416.52664806996</v>
      </c>
      <c r="AJ130" s="29">
        <f t="shared" ca="1" si="255"/>
        <v>16568046.479869371</v>
      </c>
      <c r="AK130" s="729"/>
      <c r="AL130" s="729"/>
      <c r="AM130" s="729"/>
      <c r="AN130" s="729"/>
      <c r="AO130" s="729"/>
      <c r="AP130" s="729"/>
      <c r="AQ130" s="729"/>
      <c r="AR130" s="729"/>
      <c r="AS130" s="729"/>
      <c r="AT130" s="729"/>
      <c r="AU130" s="729"/>
      <c r="AV130" s="729"/>
      <c r="AW130" s="729"/>
      <c r="AX130" s="729"/>
      <c r="AY130" s="729"/>
      <c r="AZ130" s="729"/>
      <c r="BA130" s="729"/>
      <c r="BB130" s="729"/>
      <c r="BC130" s="729"/>
      <c r="BD130" s="729"/>
      <c r="BE130" s="729"/>
      <c r="BF130" s="729"/>
      <c r="BG130" s="729"/>
      <c r="BH130" s="729"/>
      <c r="BI130" s="729"/>
      <c r="BJ130" s="729"/>
      <c r="BK130" s="729"/>
      <c r="BL130" s="729"/>
      <c r="BM130" s="729"/>
      <c r="BN130" s="729"/>
      <c r="BO130" s="729"/>
      <c r="BP130" s="729"/>
      <c r="BQ130" s="729"/>
      <c r="BR130" s="729"/>
      <c r="BS130" s="729"/>
      <c r="BT130" s="729"/>
      <c r="BU130" s="729"/>
      <c r="BV130" s="729"/>
      <c r="BW130" s="729"/>
      <c r="BX130" s="729"/>
      <c r="BY130" s="729"/>
      <c r="BZ130" s="729"/>
    </row>
    <row r="131" spans="2:78" x14ac:dyDescent="0.15">
      <c r="C131" s="740" t="s">
        <v>217</v>
      </c>
      <c r="D131" s="741">
        <f ca="1">SUM(E131:AJ131)</f>
        <v>23555565.491513837</v>
      </c>
      <c r="E131" s="35">
        <v>0</v>
      </c>
      <c r="F131" s="29">
        <f t="shared" ref="F131:AH131" ca="1" si="256">F128</f>
        <v>0</v>
      </c>
      <c r="G131" s="29">
        <f t="shared" ca="1" si="256"/>
        <v>0</v>
      </c>
      <c r="H131" s="29">
        <f t="shared" ca="1" si="256"/>
        <v>0</v>
      </c>
      <c r="I131" s="29">
        <f t="shared" ca="1" si="256"/>
        <v>0</v>
      </c>
      <c r="J131" s="29">
        <f t="shared" ca="1" si="256"/>
        <v>172505.60329187079</v>
      </c>
      <c r="K131" s="29">
        <f t="shared" ca="1" si="256"/>
        <v>47721.29126671335</v>
      </c>
      <c r="L131" s="29">
        <f t="shared" ca="1" si="256"/>
        <v>60888.826609006559</v>
      </c>
      <c r="M131" s="29">
        <f t="shared" ca="1" si="256"/>
        <v>74627.109625938465</v>
      </c>
      <c r="N131" s="29">
        <f t="shared" ca="1" si="256"/>
        <v>88959.851149713504</v>
      </c>
      <c r="O131" s="29">
        <f t="shared" ca="1" si="256"/>
        <v>103911.72806432837</v>
      </c>
      <c r="P131" s="29">
        <f t="shared" ca="1" si="256"/>
        <v>119508.42230001459</v>
      </c>
      <c r="Q131" s="29">
        <f t="shared" ca="1" si="256"/>
        <v>135776.66139450489</v>
      </c>
      <c r="R131" s="29">
        <f t="shared" ca="1" si="256"/>
        <v>152744.26068393892</v>
      </c>
      <c r="S131" s="29">
        <f t="shared" ca="1" si="256"/>
        <v>170440.1671887376</v>
      </c>
      <c r="T131" s="29">
        <f t="shared" ca="1" si="256"/>
        <v>188894.50526239118</v>
      </c>
      <c r="U131" s="29">
        <f t="shared" ca="1" si="256"/>
        <v>208138.62407382752</v>
      </c>
      <c r="V131" s="29">
        <f t="shared" ca="1" si="256"/>
        <v>228205.14699685428</v>
      </c>
      <c r="W131" s="29">
        <f t="shared" ca="1" si="256"/>
        <v>249128.0229831179</v>
      </c>
      <c r="X131" s="29">
        <f t="shared" ca="1" si="256"/>
        <v>270942.57999807404</v>
      </c>
      <c r="Y131" s="29">
        <f t="shared" ca="1" si="256"/>
        <v>293685.58060265542</v>
      </c>
      <c r="Z131" s="29">
        <f t="shared" ca="1" si="256"/>
        <v>317395.27976662741</v>
      </c>
      <c r="AA131" s="29">
        <f t="shared" ca="1" si="256"/>
        <v>342111.48500306992</v>
      </c>
      <c r="AB131" s="29">
        <f t="shared" ca="1" si="256"/>
        <v>367875.61891699996</v>
      </c>
      <c r="AC131" s="29">
        <f t="shared" ca="1" si="256"/>
        <v>394730.78426487773</v>
      </c>
      <c r="AD131" s="29">
        <f t="shared" ca="1" si="256"/>
        <v>422721.83162560867</v>
      </c>
      <c r="AE131" s="29">
        <f t="shared" ca="1" si="256"/>
        <v>451895.42978768604</v>
      </c>
      <c r="AF131" s="29">
        <f t="shared" ca="1" si="256"/>
        <v>482300.13896130194</v>
      </c>
      <c r="AG131" s="29">
        <f t="shared" ca="1" si="256"/>
        <v>513986.48692861834</v>
      </c>
      <c r="AH131" s="29">
        <f t="shared" ca="1" si="256"/>
        <v>547007.04824991943</v>
      </c>
      <c r="AI131" s="29">
        <f t="shared" ref="AI131:AJ131" ca="1" si="257">AI128</f>
        <v>581416.52664806996</v>
      </c>
      <c r="AJ131" s="29">
        <f t="shared" ca="1" si="257"/>
        <v>16568046.479869371</v>
      </c>
      <c r="AK131" s="729"/>
      <c r="AL131" s="729"/>
      <c r="AM131" s="729"/>
      <c r="AN131" s="729"/>
      <c r="AO131" s="729"/>
      <c r="AP131" s="729"/>
      <c r="AQ131" s="729"/>
      <c r="AR131" s="729"/>
      <c r="AS131" s="729"/>
      <c r="AT131" s="729"/>
      <c r="AU131" s="729"/>
      <c r="AV131" s="729"/>
      <c r="AW131" s="729"/>
      <c r="AX131" s="729"/>
      <c r="AY131" s="729"/>
      <c r="AZ131" s="729"/>
      <c r="BA131" s="729"/>
      <c r="BB131" s="729"/>
      <c r="BC131" s="729"/>
      <c r="BD131" s="729"/>
      <c r="BE131" s="729"/>
      <c r="BF131" s="729"/>
      <c r="BG131" s="729"/>
      <c r="BH131" s="729"/>
      <c r="BI131" s="729"/>
      <c r="BJ131" s="729"/>
      <c r="BK131" s="729"/>
      <c r="BL131" s="729"/>
      <c r="BM131" s="729"/>
      <c r="BN131" s="729"/>
      <c r="BO131" s="729"/>
      <c r="BP131" s="729"/>
      <c r="BQ131" s="729"/>
      <c r="BR131" s="729"/>
      <c r="BS131" s="729"/>
      <c r="BT131" s="729"/>
      <c r="BU131" s="729"/>
      <c r="BV131" s="729"/>
      <c r="BW131" s="729"/>
      <c r="BX131" s="729"/>
      <c r="BY131" s="729"/>
      <c r="BZ131" s="729"/>
    </row>
    <row r="132" spans="2:78" ht="14" x14ac:dyDescent="0.15">
      <c r="C132" s="125" t="s">
        <v>218</v>
      </c>
      <c r="D132" s="122"/>
      <c r="E132" s="124">
        <f t="shared" ref="E132:AH132" si="258">SUM(E130:E131)</f>
        <v>-2960000</v>
      </c>
      <c r="F132" s="126">
        <f t="shared" ca="1" si="258"/>
        <v>44879.916599999997</v>
      </c>
      <c r="G132" s="126">
        <f t="shared" ca="1" si="258"/>
        <v>141962.10145377007</v>
      </c>
      <c r="H132" s="126">
        <f t="shared" ca="1" si="258"/>
        <v>415675.05733093224</v>
      </c>
      <c r="I132" s="126">
        <f t="shared" ca="1" si="258"/>
        <v>243875.85578658892</v>
      </c>
      <c r="J132" s="126">
        <f t="shared" ca="1" si="258"/>
        <v>3189562.5354782715</v>
      </c>
      <c r="K132" s="126">
        <f t="shared" ca="1" si="258"/>
        <v>95442.582533426699</v>
      </c>
      <c r="L132" s="126">
        <f t="shared" ca="1" si="258"/>
        <v>121777.65321801312</v>
      </c>
      <c r="M132" s="126">
        <f t="shared" ca="1" si="258"/>
        <v>149254.21925187693</v>
      </c>
      <c r="N132" s="126">
        <f t="shared" ca="1" si="258"/>
        <v>177919.70229942701</v>
      </c>
      <c r="O132" s="126">
        <f t="shared" ca="1" si="258"/>
        <v>207823.45612865675</v>
      </c>
      <c r="P132" s="126">
        <f t="shared" ca="1" si="258"/>
        <v>239016.84460002917</v>
      </c>
      <c r="Q132" s="126">
        <f t="shared" ca="1" si="258"/>
        <v>271553.32278900978</v>
      </c>
      <c r="R132" s="126">
        <f t="shared" ca="1" si="258"/>
        <v>305488.52136787784</v>
      </c>
      <c r="S132" s="126">
        <f t="shared" ca="1" si="258"/>
        <v>340880.3343774752</v>
      </c>
      <c r="T132" s="126">
        <f t="shared" ca="1" si="258"/>
        <v>377789.01052478235</v>
      </c>
      <c r="U132" s="126">
        <f t="shared" ca="1" si="258"/>
        <v>416277.24814765505</v>
      </c>
      <c r="V132" s="126">
        <f t="shared" ca="1" si="258"/>
        <v>456410.29399370856</v>
      </c>
      <c r="W132" s="126">
        <f t="shared" ca="1" si="258"/>
        <v>498256.0459662358</v>
      </c>
      <c r="X132" s="126">
        <f t="shared" ca="1" si="258"/>
        <v>541885.15999614808</v>
      </c>
      <c r="Y132" s="126">
        <f t="shared" ca="1" si="258"/>
        <v>587371.16120531084</v>
      </c>
      <c r="Z132" s="126">
        <f t="shared" ca="1" si="258"/>
        <v>634790.55953325483</v>
      </c>
      <c r="AA132" s="126">
        <f t="shared" ca="1" si="258"/>
        <v>684222.97000613983</v>
      </c>
      <c r="AB132" s="126">
        <f t="shared" ca="1" si="258"/>
        <v>735751.23783399991</v>
      </c>
      <c r="AC132" s="126">
        <f t="shared" ca="1" si="258"/>
        <v>789461.56852975546</v>
      </c>
      <c r="AD132" s="126">
        <f t="shared" ca="1" si="258"/>
        <v>845443.66325121734</v>
      </c>
      <c r="AE132" s="126">
        <f t="shared" ca="1" si="258"/>
        <v>903790.85957537207</v>
      </c>
      <c r="AF132" s="126">
        <f t="shared" ca="1" si="258"/>
        <v>964600.27792260388</v>
      </c>
      <c r="AG132" s="126">
        <f t="shared" ca="1" si="258"/>
        <v>1027972.9738572367</v>
      </c>
      <c r="AH132" s="126">
        <f t="shared" ca="1" si="258"/>
        <v>1094014.0964998389</v>
      </c>
      <c r="AI132" s="126">
        <f t="shared" ref="AI132:AJ132" ca="1" si="259">SUM(AI130:AI131)</f>
        <v>1162833.0532961399</v>
      </c>
      <c r="AJ132" s="126">
        <f t="shared" ca="1" si="259"/>
        <v>33136092.959738743</v>
      </c>
      <c r="AK132" s="708"/>
      <c r="AL132" s="708"/>
      <c r="AM132" s="708"/>
      <c r="AN132" s="708"/>
      <c r="AO132" s="708"/>
      <c r="AP132" s="708"/>
      <c r="AQ132" s="708"/>
      <c r="AR132" s="708"/>
      <c r="AS132" s="708"/>
      <c r="AT132" s="708"/>
      <c r="AU132" s="708"/>
      <c r="AV132" s="708"/>
      <c r="AW132" s="708"/>
      <c r="AX132" s="708"/>
      <c r="AY132" s="708"/>
      <c r="AZ132" s="708"/>
      <c r="BA132" s="708"/>
      <c r="BB132" s="708"/>
      <c r="BC132" s="708"/>
      <c r="BD132" s="708"/>
      <c r="BE132" s="708"/>
      <c r="BF132" s="708"/>
      <c r="BG132" s="708"/>
      <c r="BH132" s="708"/>
      <c r="BI132" s="708"/>
      <c r="BJ132" s="708"/>
      <c r="BK132" s="708"/>
      <c r="BL132" s="708"/>
      <c r="BM132" s="708"/>
      <c r="BN132" s="708"/>
      <c r="BO132" s="708"/>
      <c r="BP132" s="708"/>
      <c r="BQ132" s="708"/>
      <c r="BR132" s="708"/>
      <c r="BS132" s="708"/>
      <c r="BT132" s="708"/>
      <c r="BU132" s="708"/>
      <c r="BV132" s="708"/>
      <c r="BW132" s="708"/>
      <c r="BX132" s="708"/>
      <c r="BY132" s="708"/>
      <c r="BZ132" s="708"/>
    </row>
    <row r="133" spans="2:78" s="304" customFormat="1" ht="12" x14ac:dyDescent="0.15">
      <c r="B133" s="488"/>
      <c r="C133" s="292"/>
      <c r="D133" s="301"/>
      <c r="E133" s="305" t="s">
        <v>219</v>
      </c>
      <c r="F133" s="302">
        <f t="shared" ref="F133:AH133" ca="1" si="260">F130/-$E$130</f>
        <v>1.5162133986486486E-2</v>
      </c>
      <c r="G133" s="302">
        <f t="shared" ca="1" si="260"/>
        <v>4.7960169410057457E-2</v>
      </c>
      <c r="H133" s="302">
        <f t="shared" ca="1" si="260"/>
        <v>0.14043076261180143</v>
      </c>
      <c r="I133" s="302">
        <f t="shared" ca="1" si="260"/>
        <v>8.2390491819793549E-2</v>
      </c>
      <c r="J133" s="302">
        <f t="shared" ca="1" si="260"/>
        <v>1.0192759906035136</v>
      </c>
      <c r="K133" s="302">
        <f t="shared" ca="1" si="260"/>
        <v>1.612205786037613E-2</v>
      </c>
      <c r="L133" s="302">
        <f t="shared" ca="1" si="260"/>
        <v>2.0570549530069784E-2</v>
      </c>
      <c r="M133" s="302">
        <f t="shared" ca="1" si="260"/>
        <v>2.5211861360114347E-2</v>
      </c>
      <c r="N133" s="302">
        <f t="shared" ca="1" si="260"/>
        <v>3.0054003766795102E-2</v>
      </c>
      <c r="O133" s="302">
        <f t="shared" ca="1" si="260"/>
        <v>3.5105313535246069E-2</v>
      </c>
      <c r="P133" s="302">
        <f t="shared" ca="1" si="260"/>
        <v>4.0374466993248169E-2</v>
      </c>
      <c r="Q133" s="302">
        <f t="shared" ca="1" si="260"/>
        <v>4.5870493714359757E-2</v>
      </c>
      <c r="R133" s="302">
        <f t="shared" ca="1" si="260"/>
        <v>5.1602790771600987E-2</v>
      </c>
      <c r="S133" s="302">
        <f t="shared" ca="1" si="260"/>
        <v>5.7581137563762701E-2</v>
      </c>
      <c r="T133" s="302">
        <f t="shared" ca="1" si="260"/>
        <v>6.381571123729432E-2</v>
      </c>
      <c r="U133" s="302">
        <f t="shared" ca="1" si="260"/>
        <v>7.0317102727644437E-2</v>
      </c>
      <c r="V133" s="302">
        <f t="shared" ca="1" si="260"/>
        <v>7.7096333444883203E-2</v>
      </c>
      <c r="W133" s="302">
        <f t="shared" ca="1" si="260"/>
        <v>8.4164872629431731E-2</v>
      </c>
      <c r="X133" s="302">
        <f t="shared" ca="1" si="260"/>
        <v>9.153465540475475E-2</v>
      </c>
      <c r="Y133" s="302">
        <f t="shared" ca="1" si="260"/>
        <v>9.9218101554951157E-2</v>
      </c>
      <c r="Z133" s="302">
        <f t="shared" ca="1" si="260"/>
        <v>0.10722813505629304</v>
      </c>
      <c r="AA133" s="302">
        <f t="shared" ca="1" si="260"/>
        <v>0.11557820439292903</v>
      </c>
      <c r="AB133" s="302">
        <f t="shared" ca="1" si="260"/>
        <v>0.12428230368817567</v>
      </c>
      <c r="AC133" s="302">
        <f t="shared" ca="1" si="260"/>
        <v>0.13335499468408032</v>
      </c>
      <c r="AD133" s="302">
        <f t="shared" ca="1" si="260"/>
        <v>0.14281142960324616</v>
      </c>
      <c r="AE133" s="302">
        <f t="shared" ca="1" si="260"/>
        <v>0.15266737492827231</v>
      </c>
      <c r="AF133" s="302">
        <f t="shared" ca="1" si="260"/>
        <v>0.16293923613557498</v>
      </c>
      <c r="AG133" s="302">
        <f t="shared" ca="1" si="260"/>
        <v>0.17364408342183052</v>
      </c>
      <c r="AH133" s="302">
        <f t="shared" ca="1" si="260"/>
        <v>0.18479967846281062</v>
      </c>
      <c r="AI133" s="302">
        <f t="shared" ref="AI133:AJ133" ca="1" si="261">AI130/-$E$130</f>
        <v>0.19642450224596958</v>
      </c>
      <c r="AJ133" s="302">
        <f t="shared" ca="1" si="261"/>
        <v>5.5973129999558688</v>
      </c>
      <c r="AK133" s="303"/>
      <c r="AL133" s="303"/>
      <c r="AM133" s="303"/>
      <c r="AN133" s="303"/>
      <c r="AO133" s="303"/>
      <c r="AP133" s="303"/>
      <c r="AQ133" s="303"/>
      <c r="AR133" s="303"/>
      <c r="AS133" s="303"/>
      <c r="AT133" s="303"/>
      <c r="AU133" s="303"/>
      <c r="AV133" s="303"/>
      <c r="AW133" s="303"/>
      <c r="AX133" s="303"/>
      <c r="AY133" s="303"/>
      <c r="AZ133" s="303"/>
      <c r="BA133" s="303"/>
      <c r="BB133" s="303"/>
      <c r="BC133" s="303"/>
      <c r="BD133" s="303"/>
      <c r="BE133" s="303"/>
      <c r="BF133" s="303"/>
      <c r="BG133" s="303"/>
      <c r="BH133" s="303"/>
      <c r="BI133" s="303"/>
      <c r="BJ133" s="303"/>
      <c r="BK133" s="303"/>
      <c r="BL133" s="303"/>
      <c r="BM133" s="303"/>
      <c r="BN133" s="303"/>
      <c r="BO133" s="303"/>
      <c r="BP133" s="303"/>
      <c r="BQ133" s="303"/>
      <c r="BR133" s="303"/>
      <c r="BS133" s="303"/>
      <c r="BT133" s="303"/>
      <c r="BU133" s="303"/>
      <c r="BV133" s="303"/>
      <c r="BW133" s="303"/>
      <c r="BX133" s="303"/>
      <c r="BY133" s="303"/>
      <c r="BZ133" s="303"/>
    </row>
    <row r="134" spans="2:78" x14ac:dyDescent="0.15">
      <c r="C134" s="7" t="s">
        <v>121</v>
      </c>
      <c r="D134" s="33">
        <f ca="1">IRR(E130:AJ130)</f>
        <v>0.14021667765014034</v>
      </c>
      <c r="E134" s="707"/>
      <c r="F134" s="729"/>
      <c r="G134" s="286" t="str">
        <f ca="1">"Cumm.= "&amp;TEXT((SUM($F133:G133)),"0.0%")</f>
        <v>Cumm.= 6.3%</v>
      </c>
      <c r="H134" s="286" t="str">
        <f ca="1">"Cumm.= "&amp;TEXT((SUM($F133:H133)),"0.0%")</f>
        <v>Cumm.= 20.4%</v>
      </c>
      <c r="I134" s="286" t="str">
        <f ca="1">"Cumm.= "&amp;TEXT((SUM($F133:I133)),"0.0%")</f>
        <v>Cumm.= 28.6%</v>
      </c>
      <c r="J134" s="286" t="str">
        <f ca="1">"Cumm.= "&amp;TEXT((SUM($F133:J133)),"0.0%")</f>
        <v>Cumm.= 130.5%</v>
      </c>
      <c r="K134" s="286" t="str">
        <f ca="1">"Cumm.= "&amp;TEXT((SUM($F133:K133)),"0.0%")</f>
        <v>Cumm.= 132.1%</v>
      </c>
      <c r="L134" s="286" t="str">
        <f ca="1">"Cumm.= "&amp;TEXT((SUM($F133:L133)),"0.0%")</f>
        <v>Cumm.= 134.2%</v>
      </c>
      <c r="M134" s="286" t="str">
        <f ca="1">"Cumm.= "&amp;TEXT((SUM($F133:M133)),"0.0%")</f>
        <v>Cumm.= 136.7%</v>
      </c>
      <c r="N134" s="286" t="str">
        <f ca="1">"Cumm.= "&amp;TEXT((SUM($F133:N133)),"0.0%")</f>
        <v>Cumm.= 139.7%</v>
      </c>
      <c r="O134" s="286" t="str">
        <f ca="1">"Cumm.= "&amp;TEXT((SUM($F133:O133)),"0.0%")</f>
        <v>Cumm.= 143.2%</v>
      </c>
      <c r="P134" s="286" t="str">
        <f ca="1">"Cumm.= "&amp;TEXT((SUM($F133:P133)),"0.0%")</f>
        <v>Cumm.= 147.3%</v>
      </c>
      <c r="Q134" s="286" t="str">
        <f ca="1">"Cumm.= "&amp;TEXT((SUM($F133:Q133)),"0.0%")</f>
        <v>Cumm.= 151.9%</v>
      </c>
      <c r="R134" s="286" t="str">
        <f ca="1">"Cumm.= "&amp;TEXT((SUM($F133:R133)),"0.0%")</f>
        <v>Cumm.= 157.0%</v>
      </c>
      <c r="S134" s="286" t="str">
        <f ca="1">"Cumm.= "&amp;TEXT((SUM($F133:S133)),"0.0%")</f>
        <v>Cumm.= 162.8%</v>
      </c>
      <c r="T134" s="286" t="str">
        <f ca="1">"Cumm.= "&amp;TEXT((SUM($F133:T133)),"0.0%")</f>
        <v>Cumm.= 169.2%</v>
      </c>
      <c r="U134" s="286" t="str">
        <f ca="1">"Cumm.= "&amp;TEXT((SUM($F133:U133)),"0.0%")</f>
        <v>Cumm.= 176.2%</v>
      </c>
      <c r="V134" s="286" t="str">
        <f ca="1">"Cumm.= "&amp;TEXT((SUM($F133:V133)),"0.0%")</f>
        <v>Cumm.= 183.9%</v>
      </c>
      <c r="W134" s="286" t="str">
        <f ca="1">"Cumm.= "&amp;TEXT((SUM($F133:W133)),"0.0%")</f>
        <v>Cumm.= 192.3%</v>
      </c>
      <c r="X134" s="286" t="str">
        <f ca="1">"Cumm.= "&amp;TEXT((SUM($F133:X133)),"0.0%")</f>
        <v>Cumm.= 201.5%</v>
      </c>
      <c r="Y134" s="286" t="str">
        <f ca="1">"Cumm.= "&amp;TEXT((SUM($F133:Y133)),"0.0%")</f>
        <v>Cumm.= 211.4%</v>
      </c>
      <c r="Z134" s="286" t="str">
        <f ca="1">"Cumm.= "&amp;TEXT((SUM($F133:Z133)),"0.0%")</f>
        <v>Cumm.= 222.1%</v>
      </c>
      <c r="AA134" s="286" t="str">
        <f ca="1">"Cumm.= "&amp;TEXT((SUM($F133:AA133)),"0.0%")</f>
        <v>Cumm.= 233.7%</v>
      </c>
      <c r="AB134" s="286" t="str">
        <f ca="1">"Cumm.= "&amp;TEXT((SUM($F133:AB133)),"0.0%")</f>
        <v>Cumm.= 246.1%</v>
      </c>
      <c r="AC134" s="286" t="str">
        <f ca="1">"Cumm.= "&amp;TEXT((SUM($F133:AC133)),"0.0%")</f>
        <v>Cumm.= 259.4%</v>
      </c>
      <c r="AD134" s="286" t="str">
        <f ca="1">"Cumm.= "&amp;TEXT((SUM($F133:AD133)),"0.0%")</f>
        <v>Cumm.= 273.7%</v>
      </c>
      <c r="AE134" s="286" t="str">
        <f ca="1">"Cumm.= "&amp;TEXT((SUM($F133:AE133)),"0.0%")</f>
        <v>Cumm.= 289.0%</v>
      </c>
      <c r="AF134" s="286" t="str">
        <f ca="1">"Cumm.= "&amp;TEXT((SUM($F133:AF133)),"0.0%")</f>
        <v>Cumm.= 305.3%</v>
      </c>
      <c r="AG134" s="286" t="str">
        <f ca="1">"Cumm.= "&amp;TEXT((SUM($F133:AG133)),"0.0%")</f>
        <v>Cumm.= 322.6%</v>
      </c>
      <c r="AH134" s="286" t="str">
        <f ca="1">"Cumm.= "&amp;TEXT((SUM($F133:AH133)),"0.0%")</f>
        <v>Cumm.= 341.1%</v>
      </c>
      <c r="AI134" s="286" t="str">
        <f ca="1">"Cumm.= "&amp;TEXT((SUM($F133:AI133)),"0.0%")</f>
        <v>Cumm.= 360.8%</v>
      </c>
      <c r="AJ134" s="286" t="str">
        <f ca="1">"Cumm.= "&amp;TEXT((SUM($F133:AJ133)),"0.0%")</f>
        <v>Cumm.= 920.5%</v>
      </c>
      <c r="AK134" s="729"/>
      <c r="AL134" s="729"/>
      <c r="AM134" s="729"/>
      <c r="AN134" s="729"/>
      <c r="AO134" s="729"/>
      <c r="AP134" s="729"/>
      <c r="AQ134" s="729"/>
      <c r="AR134" s="729"/>
      <c r="AS134" s="729"/>
      <c r="AT134" s="729"/>
      <c r="AU134" s="729"/>
      <c r="AV134" s="729"/>
      <c r="AW134" s="729"/>
      <c r="AX134" s="729"/>
      <c r="AY134" s="729"/>
      <c r="AZ134" s="729"/>
      <c r="BA134" s="729"/>
      <c r="BB134" s="729"/>
      <c r="BC134" s="729"/>
      <c r="BD134" s="729"/>
      <c r="BE134" s="729"/>
      <c r="BF134" s="729"/>
      <c r="BG134" s="729"/>
      <c r="BH134" s="729"/>
      <c r="BI134" s="729"/>
      <c r="BJ134" s="729"/>
      <c r="BK134" s="729"/>
      <c r="BL134" s="729"/>
      <c r="BM134" s="729"/>
      <c r="BN134" s="729"/>
      <c r="BO134" s="729"/>
      <c r="BP134" s="729"/>
      <c r="BQ134" s="729"/>
      <c r="BR134" s="729"/>
      <c r="BS134" s="729"/>
      <c r="BT134" s="729"/>
      <c r="BU134" s="729"/>
      <c r="BV134" s="729"/>
      <c r="BW134" s="729"/>
      <c r="BX134" s="729"/>
      <c r="BY134" s="729"/>
      <c r="BZ134" s="729"/>
    </row>
    <row r="135" spans="2:78" x14ac:dyDescent="0.15">
      <c r="C135" s="7"/>
      <c r="D135" s="24"/>
      <c r="E135" s="728"/>
      <c r="F135" s="729"/>
      <c r="G135" s="729"/>
      <c r="H135" s="729"/>
      <c r="I135" s="729"/>
      <c r="J135" s="729"/>
      <c r="K135" s="729"/>
      <c r="L135" s="729"/>
      <c r="M135" s="729"/>
      <c r="N135" s="729"/>
      <c r="O135" s="729"/>
      <c r="P135" s="708"/>
      <c r="Q135" s="729"/>
      <c r="R135" s="729"/>
      <c r="S135" s="729"/>
      <c r="T135" s="729"/>
      <c r="U135" s="729"/>
      <c r="V135" s="729"/>
      <c r="W135" s="729"/>
      <c r="X135" s="729"/>
      <c r="Y135" s="729"/>
      <c r="Z135" s="729"/>
      <c r="AA135" s="729"/>
      <c r="AB135" s="729"/>
      <c r="AC135" s="729"/>
      <c r="AD135" s="729"/>
      <c r="AE135" s="729"/>
      <c r="AF135" s="729"/>
      <c r="AG135" s="729"/>
      <c r="AH135" s="729"/>
      <c r="AI135" s="729"/>
      <c r="AJ135" s="729"/>
      <c r="AK135" s="729"/>
      <c r="AL135" s="729"/>
      <c r="AM135" s="729"/>
      <c r="AN135" s="729"/>
      <c r="AO135" s="729"/>
      <c r="AP135" s="729"/>
      <c r="AQ135" s="729"/>
      <c r="AR135" s="729"/>
      <c r="AS135" s="729"/>
      <c r="AT135" s="729"/>
      <c r="AU135" s="729"/>
      <c r="AV135" s="729"/>
      <c r="AW135" s="729"/>
      <c r="AX135" s="729"/>
      <c r="AY135" s="729"/>
      <c r="AZ135" s="729"/>
      <c r="BA135" s="729"/>
      <c r="BB135" s="729"/>
      <c r="BC135" s="729"/>
      <c r="BD135" s="729"/>
      <c r="BE135" s="729"/>
      <c r="BF135" s="729"/>
      <c r="BG135" s="729"/>
      <c r="BH135" s="729"/>
      <c r="BI135" s="729"/>
      <c r="BJ135" s="729"/>
      <c r="BK135" s="729"/>
      <c r="BL135" s="729"/>
      <c r="BM135" s="729"/>
      <c r="BN135" s="729"/>
      <c r="BO135" s="729"/>
      <c r="BP135" s="729"/>
      <c r="BQ135" s="729"/>
      <c r="BR135" s="729"/>
      <c r="BS135" s="729"/>
      <c r="BT135" s="729"/>
      <c r="BU135" s="729"/>
      <c r="BV135" s="729"/>
      <c r="BW135" s="729"/>
      <c r="BX135" s="729"/>
      <c r="BY135" s="729"/>
      <c r="BZ135" s="729"/>
    </row>
    <row r="136" spans="2:78" x14ac:dyDescent="0.15">
      <c r="C136" s="708" t="s">
        <v>220</v>
      </c>
      <c r="D136" s="8">
        <f ca="1">SUM(F130:J130)</f>
        <v>3863449.863357692</v>
      </c>
      <c r="E136" s="728"/>
      <c r="F136" s="729"/>
      <c r="G136" s="729"/>
      <c r="H136" s="729"/>
      <c r="I136" s="729"/>
      <c r="J136" s="729"/>
      <c r="K136" s="729"/>
      <c r="L136" s="729"/>
      <c r="M136" s="729"/>
      <c r="N136" s="729"/>
      <c r="O136" s="729"/>
      <c r="P136" s="729"/>
      <c r="Q136" s="729"/>
      <c r="R136" s="729"/>
      <c r="S136" s="729"/>
      <c r="T136" s="729"/>
      <c r="U136" s="729"/>
      <c r="V136" s="729"/>
      <c r="W136" s="729"/>
      <c r="X136" s="729"/>
      <c r="Y136" s="729"/>
      <c r="Z136" s="729"/>
      <c r="AA136" s="729"/>
      <c r="AB136" s="729"/>
      <c r="AC136" s="729"/>
      <c r="AD136" s="729"/>
      <c r="AE136" s="729"/>
      <c r="AF136" s="729"/>
      <c r="AG136" s="729"/>
      <c r="AH136" s="729"/>
      <c r="AI136" s="729"/>
      <c r="AJ136" s="729"/>
      <c r="AK136" s="729"/>
      <c r="AL136" s="729"/>
      <c r="AM136" s="729"/>
      <c r="AN136" s="729"/>
      <c r="AO136" s="729"/>
      <c r="AP136" s="729"/>
      <c r="AQ136" s="729"/>
      <c r="AR136" s="729"/>
      <c r="AS136" s="729"/>
      <c r="AT136" s="729"/>
      <c r="AU136" s="729"/>
      <c r="AV136" s="729"/>
      <c r="AW136" s="729"/>
      <c r="AX136" s="729"/>
      <c r="AY136" s="729"/>
      <c r="AZ136" s="729"/>
      <c r="BA136" s="729"/>
      <c r="BB136" s="729"/>
      <c r="BC136" s="729"/>
      <c r="BD136" s="729"/>
      <c r="BE136" s="729"/>
      <c r="BF136" s="729"/>
      <c r="BG136" s="729"/>
      <c r="BH136" s="729"/>
      <c r="BI136" s="729"/>
      <c r="BJ136" s="729"/>
      <c r="BK136" s="729"/>
      <c r="BL136" s="729"/>
      <c r="BM136" s="729"/>
      <c r="BN136" s="729"/>
      <c r="BO136" s="729"/>
      <c r="BP136" s="729"/>
      <c r="BQ136" s="729"/>
      <c r="BR136" s="729"/>
      <c r="BS136" s="729"/>
      <c r="BT136" s="729"/>
      <c r="BU136" s="729"/>
      <c r="BV136" s="729"/>
      <c r="BW136" s="729"/>
      <c r="BX136" s="729"/>
      <c r="BY136" s="729"/>
      <c r="BZ136" s="729"/>
    </row>
    <row r="137" spans="2:78" x14ac:dyDescent="0.15">
      <c r="C137" s="708" t="s">
        <v>221</v>
      </c>
      <c r="D137" s="8">
        <f ca="1">SUM(F131:J131)</f>
        <v>172505.60329187079</v>
      </c>
      <c r="E137" s="728"/>
      <c r="F137" s="729"/>
      <c r="G137" s="729"/>
      <c r="H137" s="729"/>
      <c r="I137" s="729"/>
      <c r="J137" s="729"/>
      <c r="K137" s="729"/>
      <c r="L137" s="729"/>
      <c r="M137" s="729"/>
      <c r="N137" s="729"/>
      <c r="O137" s="729"/>
      <c r="P137" s="729"/>
      <c r="Q137" s="729"/>
      <c r="R137" s="729"/>
      <c r="S137" s="729"/>
      <c r="T137" s="729"/>
      <c r="U137" s="729"/>
      <c r="V137" s="729"/>
      <c r="W137" s="729"/>
      <c r="X137" s="729"/>
      <c r="Y137" s="729"/>
      <c r="Z137" s="729"/>
      <c r="AA137" s="729"/>
      <c r="AB137" s="729"/>
      <c r="AC137" s="729"/>
      <c r="AD137" s="729"/>
      <c r="AE137" s="729"/>
      <c r="AF137" s="729"/>
      <c r="AG137" s="729"/>
      <c r="AH137" s="729"/>
      <c r="AI137" s="729"/>
      <c r="AJ137" s="729"/>
      <c r="AK137" s="729"/>
      <c r="AL137" s="729"/>
      <c r="AM137" s="729"/>
      <c r="AN137" s="729"/>
      <c r="AO137" s="729"/>
      <c r="AP137" s="729"/>
      <c r="AQ137" s="729"/>
      <c r="AR137" s="729"/>
      <c r="AS137" s="729"/>
      <c r="AT137" s="729"/>
      <c r="AU137" s="729"/>
      <c r="AV137" s="729"/>
      <c r="AW137" s="729"/>
      <c r="AX137" s="729"/>
      <c r="AY137" s="729"/>
      <c r="AZ137" s="729"/>
      <c r="BA137" s="729"/>
      <c r="BB137" s="729"/>
      <c r="BC137" s="729"/>
      <c r="BD137" s="729"/>
      <c r="BE137" s="729"/>
      <c r="BF137" s="729"/>
      <c r="BG137" s="729"/>
      <c r="BH137" s="729"/>
      <c r="BI137" s="729"/>
      <c r="BJ137" s="729"/>
      <c r="BK137" s="729"/>
      <c r="BL137" s="729"/>
      <c r="BM137" s="729"/>
      <c r="BN137" s="729"/>
      <c r="BO137" s="729"/>
      <c r="BP137" s="729"/>
      <c r="BQ137" s="729"/>
      <c r="BR137" s="729"/>
      <c r="BS137" s="729"/>
      <c r="BT137" s="729"/>
      <c r="BU137" s="729"/>
      <c r="BV137" s="729"/>
      <c r="BW137" s="729"/>
      <c r="BX137" s="729"/>
      <c r="BY137" s="729"/>
      <c r="BZ137" s="729"/>
    </row>
    <row r="138" spans="2:78" x14ac:dyDescent="0.15">
      <c r="C138" s="10"/>
      <c r="D138" s="24"/>
      <c r="E138" s="708"/>
      <c r="F138" s="729"/>
      <c r="G138" s="729"/>
      <c r="H138" s="729"/>
      <c r="I138" s="729"/>
      <c r="J138" s="729"/>
      <c r="K138" s="729"/>
      <c r="L138" s="729"/>
      <c r="M138" s="729"/>
      <c r="N138" s="729"/>
      <c r="O138" s="729"/>
      <c r="P138" s="729"/>
      <c r="Q138" s="729"/>
      <c r="R138" s="729"/>
      <c r="S138" s="729"/>
      <c r="T138" s="729"/>
      <c r="U138" s="729"/>
      <c r="V138" s="729"/>
      <c r="W138" s="729"/>
      <c r="X138" s="729"/>
      <c r="Y138" s="729"/>
      <c r="Z138" s="729"/>
      <c r="AA138" s="729"/>
      <c r="AB138" s="729"/>
      <c r="AC138" s="729"/>
      <c r="AD138" s="729"/>
      <c r="AE138" s="729"/>
      <c r="AF138" s="729"/>
      <c r="AG138" s="729"/>
      <c r="AH138" s="729"/>
      <c r="AI138" s="729"/>
      <c r="AJ138" s="729"/>
      <c r="AK138" s="729"/>
      <c r="AL138" s="729"/>
      <c r="AM138" s="729"/>
      <c r="AN138" s="729"/>
      <c r="AO138" s="729"/>
      <c r="AP138" s="729"/>
      <c r="AQ138" s="729"/>
      <c r="AR138" s="729"/>
      <c r="AS138" s="729"/>
      <c r="AT138" s="729"/>
      <c r="AU138" s="729"/>
      <c r="AV138" s="729"/>
      <c r="AW138" s="729"/>
      <c r="AX138" s="729"/>
      <c r="AY138" s="729"/>
      <c r="AZ138" s="729"/>
      <c r="BA138" s="729"/>
      <c r="BB138" s="729"/>
      <c r="BC138" s="729"/>
      <c r="BD138" s="729"/>
      <c r="BE138" s="729"/>
      <c r="BF138" s="729"/>
      <c r="BG138" s="729"/>
      <c r="BH138" s="729"/>
      <c r="BI138" s="729"/>
      <c r="BJ138" s="729"/>
      <c r="BK138" s="729"/>
      <c r="BL138" s="729"/>
      <c r="BM138" s="729"/>
      <c r="BN138" s="729"/>
      <c r="BO138" s="729"/>
      <c r="BP138" s="729"/>
      <c r="BQ138" s="729"/>
      <c r="BR138" s="729"/>
      <c r="BS138" s="729"/>
      <c r="BT138" s="729"/>
      <c r="BU138" s="729"/>
      <c r="BV138" s="729"/>
      <c r="BW138" s="729"/>
      <c r="BX138" s="729"/>
      <c r="BY138" s="729"/>
      <c r="BZ138" s="729"/>
    </row>
    <row r="139" spans="2:78" x14ac:dyDescent="0.15">
      <c r="C139" s="7" t="s">
        <v>222</v>
      </c>
      <c r="D139" s="24"/>
      <c r="E139" s="708"/>
      <c r="F139" s="729"/>
      <c r="G139" s="729"/>
      <c r="H139" s="729"/>
      <c r="I139" s="729"/>
      <c r="J139" s="729"/>
      <c r="K139" s="729"/>
      <c r="L139" s="729"/>
      <c r="M139" s="729"/>
      <c r="N139" s="729"/>
      <c r="O139" s="729"/>
      <c r="P139" s="729"/>
      <c r="Q139" s="729"/>
      <c r="R139" s="729"/>
      <c r="S139" s="729"/>
      <c r="T139" s="729"/>
      <c r="U139" s="729"/>
      <c r="V139" s="729"/>
      <c r="W139" s="729"/>
      <c r="X139" s="729"/>
      <c r="Y139" s="729"/>
      <c r="Z139" s="729"/>
      <c r="AA139" s="729"/>
      <c r="AB139" s="729"/>
      <c r="AC139" s="729"/>
      <c r="AD139" s="729"/>
      <c r="AE139" s="729"/>
      <c r="AF139" s="729"/>
      <c r="AG139" s="729"/>
      <c r="AH139" s="729"/>
      <c r="AI139" s="729"/>
      <c r="AJ139" s="729"/>
      <c r="AK139" s="729"/>
      <c r="AL139" s="729"/>
      <c r="AM139" s="729"/>
      <c r="AN139" s="729"/>
      <c r="AO139" s="729"/>
      <c r="AP139" s="729"/>
      <c r="AQ139" s="729"/>
      <c r="AR139" s="729"/>
      <c r="AS139" s="729"/>
      <c r="AT139" s="729"/>
      <c r="AU139" s="729"/>
      <c r="AV139" s="729"/>
      <c r="AW139" s="729"/>
      <c r="AX139" s="729"/>
      <c r="AY139" s="729"/>
      <c r="AZ139" s="729"/>
      <c r="BA139" s="729"/>
      <c r="BB139" s="729"/>
      <c r="BC139" s="729"/>
      <c r="BD139" s="729"/>
      <c r="BE139" s="729"/>
      <c r="BF139" s="729"/>
      <c r="BG139" s="729"/>
      <c r="BH139" s="729"/>
      <c r="BI139" s="729"/>
      <c r="BJ139" s="729"/>
      <c r="BK139" s="729"/>
      <c r="BL139" s="729"/>
      <c r="BM139" s="729"/>
      <c r="BN139" s="729"/>
      <c r="BO139" s="729"/>
      <c r="BP139" s="729"/>
      <c r="BQ139" s="729"/>
      <c r="BR139" s="729"/>
      <c r="BS139" s="729"/>
      <c r="BT139" s="729"/>
      <c r="BU139" s="729"/>
      <c r="BV139" s="729"/>
      <c r="BW139" s="729"/>
      <c r="BX139" s="729"/>
      <c r="BY139" s="729"/>
      <c r="BZ139" s="729"/>
    </row>
    <row r="140" spans="2:78" x14ac:dyDescent="0.15">
      <c r="C140" s="717" t="s">
        <v>223</v>
      </c>
      <c r="E140" s="742"/>
      <c r="F140" s="8">
        <f>(IF(N5="Yes",-(MIN(-E130,Notes!D83)),-Notes!D83))-(ResAssets/27.5)-(CommAssets/39)</f>
        <v>-4600000</v>
      </c>
      <c r="G140" s="8">
        <f t="shared" ref="G140:AF140" si="262">(-ResAssets/27.5)+(-CommAssets/39)</f>
        <v>0</v>
      </c>
      <c r="H140" s="8">
        <f t="shared" si="262"/>
        <v>0</v>
      </c>
      <c r="I140" s="8">
        <f t="shared" si="262"/>
        <v>0</v>
      </c>
      <c r="J140" s="8">
        <f t="shared" si="262"/>
        <v>0</v>
      </c>
      <c r="K140" s="8">
        <f t="shared" si="262"/>
        <v>0</v>
      </c>
      <c r="L140" s="8">
        <f t="shared" si="262"/>
        <v>0</v>
      </c>
      <c r="M140" s="8">
        <f t="shared" si="262"/>
        <v>0</v>
      </c>
      <c r="N140" s="8">
        <f t="shared" si="262"/>
        <v>0</v>
      </c>
      <c r="O140" s="8">
        <f t="shared" si="262"/>
        <v>0</v>
      </c>
      <c r="P140" s="8">
        <f t="shared" si="262"/>
        <v>0</v>
      </c>
      <c r="Q140" s="8">
        <f t="shared" si="262"/>
        <v>0</v>
      </c>
      <c r="R140" s="8">
        <f t="shared" si="262"/>
        <v>0</v>
      </c>
      <c r="S140" s="8">
        <f t="shared" si="262"/>
        <v>0</v>
      </c>
      <c r="T140" s="8">
        <f t="shared" si="262"/>
        <v>0</v>
      </c>
      <c r="U140" s="8">
        <f t="shared" si="262"/>
        <v>0</v>
      </c>
      <c r="V140" s="8">
        <f t="shared" si="262"/>
        <v>0</v>
      </c>
      <c r="W140" s="8">
        <f t="shared" si="262"/>
        <v>0</v>
      </c>
      <c r="X140" s="8">
        <f t="shared" si="262"/>
        <v>0</v>
      </c>
      <c r="Y140" s="8">
        <f t="shared" si="262"/>
        <v>0</v>
      </c>
      <c r="Z140" s="8">
        <f t="shared" si="262"/>
        <v>0</v>
      </c>
      <c r="AA140" s="8">
        <f t="shared" si="262"/>
        <v>0</v>
      </c>
      <c r="AB140" s="8">
        <f t="shared" si="262"/>
        <v>0</v>
      </c>
      <c r="AC140" s="8">
        <f t="shared" si="262"/>
        <v>0</v>
      </c>
      <c r="AD140" s="8">
        <f t="shared" si="262"/>
        <v>0</v>
      </c>
      <c r="AE140" s="8">
        <f t="shared" si="262"/>
        <v>0</v>
      </c>
      <c r="AF140" s="8">
        <f t="shared" si="262"/>
        <v>0</v>
      </c>
      <c r="AG140" s="8">
        <f>((-ResAssets/(27.5))/2)+(-CommAssets/39)</f>
        <v>0</v>
      </c>
      <c r="AH140" s="8">
        <f>-CommAssets/39</f>
        <v>0</v>
      </c>
      <c r="AI140" s="8">
        <f>-CommAssets/39</f>
        <v>0</v>
      </c>
      <c r="AJ140" s="8">
        <f>-CommAssets/39</f>
        <v>0</v>
      </c>
      <c r="AK140" s="708"/>
      <c r="AL140" s="708"/>
      <c r="AM140" s="708"/>
      <c r="AN140" s="708"/>
      <c r="AO140" s="708"/>
      <c r="AP140" s="708"/>
      <c r="AQ140" s="708"/>
      <c r="AR140" s="708"/>
      <c r="AS140" s="708"/>
      <c r="AT140" s="708"/>
      <c r="AU140" s="708"/>
      <c r="AV140" s="708"/>
      <c r="AW140" s="708"/>
      <c r="AX140" s="708"/>
      <c r="AY140" s="708"/>
      <c r="AZ140" s="708"/>
      <c r="BA140" s="708"/>
      <c r="BB140" s="708"/>
      <c r="BC140" s="708"/>
      <c r="BD140" s="708"/>
      <c r="BE140" s="708"/>
      <c r="BF140" s="708"/>
      <c r="BG140" s="708"/>
      <c r="BH140" s="708"/>
      <c r="BI140" s="708"/>
      <c r="BJ140" s="708"/>
      <c r="BK140" s="708"/>
      <c r="BL140" s="708"/>
      <c r="BM140" s="708"/>
      <c r="BN140" s="708"/>
      <c r="BO140" s="708"/>
      <c r="BP140" s="708"/>
      <c r="BQ140" s="708"/>
      <c r="BR140" s="708"/>
      <c r="BS140" s="708"/>
      <c r="BT140" s="708"/>
      <c r="BU140" s="708"/>
      <c r="BV140" s="708"/>
      <c r="BW140" s="708"/>
      <c r="BX140" s="708"/>
      <c r="BY140" s="708"/>
      <c r="BZ140" s="708"/>
    </row>
    <row r="141" spans="2:78" x14ac:dyDescent="0.15">
      <c r="C141" s="121" t="s">
        <v>224</v>
      </c>
      <c r="D141" s="122"/>
      <c r="E141" s="123"/>
      <c r="F141" s="124">
        <f ca="1">F85-(F96)+F140</f>
        <v>-4625120.0833999999</v>
      </c>
      <c r="G141" s="124">
        <f ca="1">G85-(G96)+G140</f>
        <v>141962.10145377007</v>
      </c>
      <c r="H141" s="124">
        <f ca="1">H85-(H96)+H140</f>
        <v>257159.70778284548</v>
      </c>
      <c r="I141" s="124">
        <f ca="1">I85-(I96)+I140</f>
        <v>287835.37677283719</v>
      </c>
      <c r="J141" s="124">
        <f ca="1">J85-(J96)+J140</f>
        <v>318882.03784084431</v>
      </c>
      <c r="K141" s="124">
        <f t="shared" ref="K141:AH141" ca="1" si="263">(K85-K96)+(K140/2)</f>
        <v>168691.10339035775</v>
      </c>
      <c r="L141" s="124">
        <f t="shared" ca="1" si="263"/>
        <v>199485.17778210982</v>
      </c>
      <c r="M141" s="124">
        <f t="shared" ca="1" si="263"/>
        <v>231692.18937381305</v>
      </c>
      <c r="N141" s="124">
        <f t="shared" ca="1" si="263"/>
        <v>265376.08385253593</v>
      </c>
      <c r="O141" s="124">
        <f t="shared" ca="1" si="263"/>
        <v>300603.74490881118</v>
      </c>
      <c r="P141" s="124">
        <f t="shared" ca="1" si="263"/>
        <v>337445.13345967553</v>
      </c>
      <c r="Q141" s="124">
        <f t="shared" ca="1" si="263"/>
        <v>375973.43373298715</v>
      </c>
      <c r="R141" s="124">
        <f t="shared" ca="1" si="263"/>
        <v>416265.20656556985</v>
      </c>
      <c r="S141" s="124">
        <f t="shared" ca="1" si="263"/>
        <v>458400.55028657673</v>
      </c>
      <c r="T141" s="124">
        <f t="shared" ca="1" si="263"/>
        <v>502463.26957735041</v>
      </c>
      <c r="U141" s="124">
        <f t="shared" ca="1" si="263"/>
        <v>548541.05272004823</v>
      </c>
      <c r="V141" s="124">
        <f t="shared" ca="1" si="263"/>
        <v>596725.6576694462</v>
      </c>
      <c r="W141" s="124">
        <f t="shared" ca="1" si="263"/>
        <v>647113.1074057339</v>
      </c>
      <c r="X141" s="124">
        <f t="shared" ca="1" si="263"/>
        <v>699803.89505077573</v>
      </c>
      <c r="Y141" s="124">
        <f t="shared" ca="1" si="263"/>
        <v>754903.19925638894</v>
      </c>
      <c r="Z141" s="124">
        <f t="shared" ca="1" si="263"/>
        <v>812521.11040069233</v>
      </c>
      <c r="AA141" s="124">
        <f t="shared" ca="1" si="263"/>
        <v>872772.86815763253</v>
      </c>
      <c r="AB141" s="124">
        <f t="shared" ca="1" si="263"/>
        <v>935779.11103546468</v>
      </c>
      <c r="AC141" s="124">
        <f t="shared" ca="1" si="263"/>
        <v>1001666.1385123595</v>
      </c>
      <c r="AD141" s="124">
        <f t="shared" ca="1" si="263"/>
        <v>1070566.1864315122</v>
      </c>
      <c r="AE141" s="124">
        <f t="shared" ca="1" si="263"/>
        <v>1142617.7163542674</v>
      </c>
      <c r="AF141" s="124">
        <f t="shared" ca="1" si="263"/>
        <v>1217965.7196079146</v>
      </c>
      <c r="AG141" s="124">
        <f t="shared" ca="1" si="263"/>
        <v>1296762.0368051406</v>
      </c>
      <c r="AH141" s="124">
        <f t="shared" ca="1" si="263"/>
        <v>1379165.6936546965</v>
      </c>
      <c r="AI141" s="124">
        <f t="shared" ref="AI141:AJ141" ca="1" si="264">(AI85-AI96)+(AI140/2)</f>
        <v>1465343.2539277996</v>
      </c>
      <c r="AJ141" s="124">
        <f t="shared" ca="1" si="264"/>
        <v>1555469.1904923595</v>
      </c>
      <c r="AK141" s="708"/>
      <c r="AL141" s="708"/>
      <c r="AM141" s="708"/>
      <c r="AN141" s="708"/>
      <c r="AO141" s="708"/>
      <c r="AP141" s="708"/>
      <c r="AQ141" s="708"/>
      <c r="AR141" s="708"/>
      <c r="AS141" s="708"/>
      <c r="AT141" s="708"/>
      <c r="AU141" s="708"/>
      <c r="AV141" s="708"/>
      <c r="AW141" s="708"/>
      <c r="AX141" s="708"/>
      <c r="AY141" s="708"/>
      <c r="AZ141" s="708"/>
      <c r="BA141" s="708"/>
      <c r="BB141" s="708"/>
      <c r="BC141" s="708"/>
      <c r="BD141" s="708"/>
      <c r="BE141" s="708"/>
      <c r="BF141" s="708"/>
      <c r="BG141" s="708"/>
      <c r="BH141" s="708"/>
      <c r="BI141" s="708"/>
      <c r="BJ141" s="708"/>
      <c r="BK141" s="708"/>
      <c r="BL141" s="708"/>
      <c r="BM141" s="708"/>
      <c r="BN141" s="708"/>
      <c r="BO141" s="708"/>
      <c r="BP141" s="708"/>
      <c r="BQ141" s="708"/>
      <c r="BR141" s="708"/>
      <c r="BS141" s="708"/>
      <c r="BT141" s="708"/>
      <c r="BU141" s="708"/>
      <c r="BV141" s="708"/>
      <c r="BW141" s="708"/>
      <c r="BX141" s="708"/>
      <c r="BY141" s="708"/>
      <c r="BZ141" s="708"/>
    </row>
    <row r="142" spans="2:78" x14ac:dyDescent="0.15">
      <c r="C142" s="717" t="s">
        <v>225</v>
      </c>
      <c r="D142" s="78">
        <v>0.4</v>
      </c>
      <c r="E142" s="736"/>
      <c r="F142" s="8">
        <f>-F140*$D$142</f>
        <v>1840000</v>
      </c>
      <c r="G142" s="8">
        <f t="shared" ref="G142:AH142" si="265">-G140*$D$142</f>
        <v>0</v>
      </c>
      <c r="H142" s="8">
        <f t="shared" si="265"/>
        <v>0</v>
      </c>
      <c r="I142" s="8">
        <f t="shared" si="265"/>
        <v>0</v>
      </c>
      <c r="J142" s="8">
        <f t="shared" si="265"/>
        <v>0</v>
      </c>
      <c r="K142" s="8">
        <f t="shared" si="265"/>
        <v>0</v>
      </c>
      <c r="L142" s="8">
        <f t="shared" si="265"/>
        <v>0</v>
      </c>
      <c r="M142" s="8">
        <f t="shared" si="265"/>
        <v>0</v>
      </c>
      <c r="N142" s="8">
        <f t="shared" si="265"/>
        <v>0</v>
      </c>
      <c r="O142" s="8">
        <f t="shared" si="265"/>
        <v>0</v>
      </c>
      <c r="P142" s="8">
        <f t="shared" si="265"/>
        <v>0</v>
      </c>
      <c r="Q142" s="8">
        <f t="shared" si="265"/>
        <v>0</v>
      </c>
      <c r="R142" s="8">
        <f t="shared" si="265"/>
        <v>0</v>
      </c>
      <c r="S142" s="8">
        <f t="shared" si="265"/>
        <v>0</v>
      </c>
      <c r="T142" s="8">
        <f t="shared" si="265"/>
        <v>0</v>
      </c>
      <c r="U142" s="8">
        <f t="shared" si="265"/>
        <v>0</v>
      </c>
      <c r="V142" s="8">
        <f t="shared" si="265"/>
        <v>0</v>
      </c>
      <c r="W142" s="8">
        <f t="shared" si="265"/>
        <v>0</v>
      </c>
      <c r="X142" s="8">
        <f t="shared" si="265"/>
        <v>0</v>
      </c>
      <c r="Y142" s="8">
        <f t="shared" si="265"/>
        <v>0</v>
      </c>
      <c r="Z142" s="8">
        <f t="shared" si="265"/>
        <v>0</v>
      </c>
      <c r="AA142" s="8">
        <f t="shared" si="265"/>
        <v>0</v>
      </c>
      <c r="AB142" s="8">
        <f t="shared" si="265"/>
        <v>0</v>
      </c>
      <c r="AC142" s="8">
        <f t="shared" si="265"/>
        <v>0</v>
      </c>
      <c r="AD142" s="8">
        <f t="shared" si="265"/>
        <v>0</v>
      </c>
      <c r="AE142" s="8">
        <f t="shared" si="265"/>
        <v>0</v>
      </c>
      <c r="AF142" s="8">
        <f t="shared" si="265"/>
        <v>0</v>
      </c>
      <c r="AG142" s="8">
        <f t="shared" si="265"/>
        <v>0</v>
      </c>
      <c r="AH142" s="8">
        <f t="shared" si="265"/>
        <v>0</v>
      </c>
      <c r="AI142" s="8">
        <f t="shared" ref="AI142:AJ142" si="266">-AI140*$D$142</f>
        <v>0</v>
      </c>
      <c r="AJ142" s="8">
        <f t="shared" si="266"/>
        <v>0</v>
      </c>
      <c r="AK142" s="708"/>
      <c r="AL142" s="708"/>
      <c r="AM142" s="708"/>
      <c r="AN142" s="708"/>
      <c r="AO142" s="708"/>
      <c r="AP142" s="708"/>
      <c r="AQ142" s="708"/>
      <c r="AR142" s="708"/>
      <c r="AS142" s="708"/>
      <c r="AT142" s="708"/>
      <c r="AU142" s="708"/>
      <c r="AV142" s="708"/>
      <c r="AW142" s="708"/>
      <c r="AX142" s="708"/>
      <c r="AY142" s="708"/>
      <c r="AZ142" s="708"/>
      <c r="BA142" s="708"/>
      <c r="BB142" s="708"/>
      <c r="BC142" s="708"/>
      <c r="BD142" s="708"/>
      <c r="BE142" s="708"/>
      <c r="BF142" s="708"/>
      <c r="BG142" s="708"/>
      <c r="BH142" s="708"/>
      <c r="BI142" s="708"/>
      <c r="BJ142" s="708"/>
      <c r="BK142" s="708"/>
      <c r="BL142" s="708"/>
      <c r="BM142" s="708"/>
      <c r="BN142" s="708"/>
      <c r="BO142" s="708"/>
      <c r="BP142" s="708"/>
      <c r="BQ142" s="708"/>
      <c r="BR142" s="708"/>
      <c r="BS142" s="708"/>
      <c r="BT142" s="708"/>
      <c r="BU142" s="708"/>
      <c r="BV142" s="708"/>
      <c r="BW142" s="708"/>
      <c r="BX142" s="708"/>
      <c r="BY142" s="708"/>
      <c r="BZ142" s="708"/>
    </row>
    <row r="143" spans="2:78" x14ac:dyDescent="0.15">
      <c r="C143" s="717" t="s">
        <v>226</v>
      </c>
      <c r="D143" s="79"/>
      <c r="E143" s="149">
        <f>E130</f>
        <v>-2960000</v>
      </c>
      <c r="F143" s="149">
        <f t="shared" ref="F143:AH143" ca="1" si="267">F130+F142</f>
        <v>1884879.9166000001</v>
      </c>
      <c r="G143" s="149">
        <f t="shared" ca="1" si="267"/>
        <v>141962.10145377007</v>
      </c>
      <c r="H143" s="149">
        <f t="shared" ca="1" si="267"/>
        <v>415675.05733093224</v>
      </c>
      <c r="I143" s="149">
        <f t="shared" ca="1" si="267"/>
        <v>243875.85578658892</v>
      </c>
      <c r="J143" s="149">
        <f t="shared" ca="1" si="267"/>
        <v>3017056.9321864005</v>
      </c>
      <c r="K143" s="149">
        <f t="shared" ca="1" si="267"/>
        <v>47721.29126671335</v>
      </c>
      <c r="L143" s="149">
        <f t="shared" ca="1" si="267"/>
        <v>60888.826609006559</v>
      </c>
      <c r="M143" s="149">
        <f t="shared" ca="1" si="267"/>
        <v>74627.109625938465</v>
      </c>
      <c r="N143" s="149">
        <f t="shared" ca="1" si="267"/>
        <v>88959.851149713504</v>
      </c>
      <c r="O143" s="149">
        <f t="shared" ca="1" si="267"/>
        <v>103911.72806432837</v>
      </c>
      <c r="P143" s="149">
        <f t="shared" ca="1" si="267"/>
        <v>119508.42230001459</v>
      </c>
      <c r="Q143" s="149">
        <f t="shared" ca="1" si="267"/>
        <v>135776.66139450489</v>
      </c>
      <c r="R143" s="149">
        <f t="shared" ca="1" si="267"/>
        <v>152744.26068393892</v>
      </c>
      <c r="S143" s="149">
        <f t="shared" ca="1" si="267"/>
        <v>170440.1671887376</v>
      </c>
      <c r="T143" s="149">
        <f t="shared" ca="1" si="267"/>
        <v>188894.50526239118</v>
      </c>
      <c r="U143" s="149">
        <f t="shared" ca="1" si="267"/>
        <v>208138.62407382752</v>
      </c>
      <c r="V143" s="149">
        <f t="shared" ca="1" si="267"/>
        <v>228205.14699685428</v>
      </c>
      <c r="W143" s="149">
        <f t="shared" ca="1" si="267"/>
        <v>249128.0229831179</v>
      </c>
      <c r="X143" s="149">
        <f t="shared" ca="1" si="267"/>
        <v>270942.57999807404</v>
      </c>
      <c r="Y143" s="149">
        <f t="shared" ca="1" si="267"/>
        <v>293685.58060265542</v>
      </c>
      <c r="Z143" s="149">
        <f t="shared" ca="1" si="267"/>
        <v>317395.27976662741</v>
      </c>
      <c r="AA143" s="149">
        <f t="shared" ca="1" si="267"/>
        <v>342111.48500306992</v>
      </c>
      <c r="AB143" s="149">
        <f t="shared" ca="1" si="267"/>
        <v>367875.61891699996</v>
      </c>
      <c r="AC143" s="149">
        <f t="shared" ca="1" si="267"/>
        <v>394730.78426487773</v>
      </c>
      <c r="AD143" s="149">
        <f t="shared" ca="1" si="267"/>
        <v>422721.83162560867</v>
      </c>
      <c r="AE143" s="149">
        <f t="shared" ca="1" si="267"/>
        <v>451895.42978768604</v>
      </c>
      <c r="AF143" s="149">
        <f t="shared" ca="1" si="267"/>
        <v>482300.13896130194</v>
      </c>
      <c r="AG143" s="149">
        <f t="shared" ca="1" si="267"/>
        <v>513986.48692861834</v>
      </c>
      <c r="AH143" s="149">
        <f t="shared" ca="1" si="267"/>
        <v>547007.04824991943</v>
      </c>
      <c r="AI143" s="149">
        <f t="shared" ref="AI143:AJ143" ca="1" si="268">AI130+AI142</f>
        <v>581416.52664806996</v>
      </c>
      <c r="AJ143" s="149">
        <f t="shared" ca="1" si="268"/>
        <v>16568046.479869371</v>
      </c>
      <c r="AK143" s="708"/>
      <c r="AL143" s="708"/>
      <c r="AM143" s="708"/>
      <c r="AN143" s="708"/>
      <c r="AO143" s="708"/>
      <c r="AP143" s="708"/>
      <c r="AQ143" s="708"/>
      <c r="AR143" s="708"/>
      <c r="AS143" s="708"/>
      <c r="AT143" s="708"/>
      <c r="AU143" s="708"/>
      <c r="AV143" s="708"/>
      <c r="AW143" s="708"/>
      <c r="AX143" s="708"/>
      <c r="AY143" s="708"/>
      <c r="AZ143" s="708"/>
      <c r="BA143" s="708"/>
      <c r="BB143" s="708"/>
      <c r="BC143" s="708"/>
      <c r="BD143" s="708"/>
      <c r="BE143" s="708"/>
      <c r="BF143" s="708"/>
      <c r="BG143" s="708"/>
      <c r="BH143" s="708"/>
      <c r="BI143" s="708"/>
      <c r="BJ143" s="708"/>
      <c r="BK143" s="708"/>
      <c r="BL143" s="708"/>
      <c r="BM143" s="708"/>
      <c r="BN143" s="708"/>
      <c r="BO143" s="708"/>
      <c r="BP143" s="708"/>
      <c r="BQ143" s="708"/>
      <c r="BR143" s="708"/>
      <c r="BS143" s="708"/>
      <c r="BT143" s="708"/>
      <c r="BU143" s="708"/>
      <c r="BV143" s="708"/>
      <c r="BW143" s="708"/>
      <c r="BX143" s="708"/>
      <c r="BY143" s="708"/>
      <c r="BZ143" s="708"/>
    </row>
    <row r="144" spans="2:78" x14ac:dyDescent="0.15">
      <c r="C144" s="80" t="s">
        <v>227</v>
      </c>
      <c r="D144" s="33">
        <f ca="1">IRR(E143:AJ143)</f>
        <v>0.26283723798946013</v>
      </c>
      <c r="E144" s="708"/>
      <c r="F144" s="81"/>
      <c r="G144" s="81"/>
      <c r="H144" s="81"/>
      <c r="I144" s="81"/>
      <c r="J144" s="81"/>
      <c r="K144" s="81"/>
      <c r="L144" s="81"/>
      <c r="M144" s="81"/>
      <c r="N144" s="81"/>
      <c r="O144" s="81"/>
      <c r="P144" s="81"/>
      <c r="Q144" s="81"/>
      <c r="R144" s="81"/>
      <c r="S144" s="81"/>
      <c r="T144" s="81"/>
      <c r="U144" s="81"/>
      <c r="V144" s="81"/>
      <c r="W144" s="81"/>
      <c r="X144" s="81"/>
      <c r="Y144" s="81"/>
      <c r="Z144" s="81"/>
      <c r="AA144" s="81"/>
      <c r="AB144" s="81"/>
      <c r="AC144" s="81"/>
      <c r="AD144" s="81"/>
      <c r="AE144" s="81"/>
      <c r="AF144" s="81"/>
      <c r="AG144" s="81"/>
      <c r="AH144" s="81"/>
      <c r="AI144" s="81"/>
      <c r="AJ144" s="81"/>
      <c r="AK144" s="708"/>
      <c r="AL144" s="708"/>
      <c r="AM144" s="708"/>
      <c r="AN144" s="708"/>
      <c r="AO144" s="708"/>
      <c r="AP144" s="708"/>
      <c r="AQ144" s="708"/>
      <c r="AR144" s="708"/>
      <c r="AS144" s="708"/>
      <c r="AT144" s="708"/>
      <c r="AU144" s="708"/>
      <c r="AV144" s="708"/>
      <c r="AW144" s="708"/>
      <c r="AX144" s="708"/>
      <c r="AY144" s="708"/>
      <c r="AZ144" s="708"/>
      <c r="BA144" s="708"/>
      <c r="BB144" s="708"/>
      <c r="BC144" s="708"/>
      <c r="BD144" s="708"/>
      <c r="BE144" s="708"/>
      <c r="BF144" s="708"/>
      <c r="BG144" s="708"/>
      <c r="BH144" s="708"/>
      <c r="BI144" s="708"/>
      <c r="BJ144" s="708"/>
      <c r="BK144" s="708"/>
      <c r="BL144" s="708"/>
      <c r="BM144" s="708"/>
      <c r="BN144" s="708"/>
      <c r="BO144" s="708"/>
      <c r="BP144" s="708"/>
      <c r="BQ144" s="708"/>
      <c r="BR144" s="708"/>
      <c r="BS144" s="708"/>
      <c r="BT144" s="708"/>
      <c r="BU144" s="708"/>
      <c r="BV144" s="708"/>
      <c r="BW144" s="708"/>
      <c r="BX144" s="708"/>
      <c r="BY144" s="708"/>
      <c r="BZ144" s="708"/>
    </row>
    <row r="145" spans="1:36" x14ac:dyDescent="0.15">
      <c r="A145" s="708"/>
      <c r="C145" s="708"/>
      <c r="E145" s="708"/>
      <c r="F145" s="9"/>
      <c r="G145" s="12"/>
      <c r="H145" s="12"/>
      <c r="I145" s="12"/>
      <c r="J145" s="12"/>
      <c r="K145" s="12"/>
      <c r="L145" s="12"/>
      <c r="M145" s="12"/>
      <c r="N145" s="12"/>
      <c r="O145" s="12"/>
      <c r="P145" s="12"/>
      <c r="Q145" s="12"/>
      <c r="R145" s="12"/>
      <c r="S145" s="12"/>
      <c r="T145" s="12"/>
      <c r="U145" s="12"/>
      <c r="V145" s="12"/>
      <c r="W145" s="12"/>
      <c r="X145" s="12"/>
      <c r="Y145" s="12"/>
      <c r="Z145" s="12"/>
      <c r="AA145" s="12"/>
      <c r="AB145" s="12"/>
      <c r="AC145" s="12"/>
      <c r="AD145" s="12"/>
      <c r="AE145" s="12"/>
      <c r="AF145" s="12"/>
      <c r="AG145" s="12"/>
      <c r="AH145" s="12"/>
      <c r="AI145" s="12"/>
      <c r="AJ145" s="12"/>
    </row>
    <row r="146" spans="1:36" x14ac:dyDescent="0.15">
      <c r="A146" s="708"/>
      <c r="C146" s="708"/>
      <c r="E146" s="708"/>
      <c r="F146" s="708"/>
      <c r="G146" s="708"/>
      <c r="H146" s="708"/>
      <c r="I146" s="708"/>
      <c r="J146" s="743"/>
      <c r="K146" s="744"/>
      <c r="L146" s="744"/>
      <c r="M146" s="744"/>
      <c r="N146" s="744"/>
      <c r="O146" s="744"/>
      <c r="P146" s="744"/>
      <c r="Q146" s="744"/>
      <c r="R146" s="744"/>
      <c r="S146" s="744"/>
      <c r="T146" s="744"/>
      <c r="U146" s="744"/>
      <c r="V146" s="744"/>
      <c r="W146" s="744"/>
      <c r="X146" s="744"/>
      <c r="Y146" s="744"/>
      <c r="Z146" s="744"/>
      <c r="AA146" s="744"/>
      <c r="AB146" s="744"/>
      <c r="AC146" s="708"/>
      <c r="AD146" s="708"/>
      <c r="AE146" s="708"/>
      <c r="AF146" s="708"/>
      <c r="AG146" s="708"/>
      <c r="AH146" s="708"/>
      <c r="AI146" s="708"/>
      <c r="AJ146" s="708"/>
    </row>
    <row r="147" spans="1:36" x14ac:dyDescent="0.15">
      <c r="A147" s="708"/>
      <c r="C147" s="708"/>
      <c r="E147" s="708"/>
      <c r="F147" s="708"/>
      <c r="G147" s="708"/>
      <c r="H147" s="708"/>
      <c r="I147" s="708"/>
      <c r="J147" s="743"/>
      <c r="K147" s="744"/>
      <c r="L147" s="744"/>
      <c r="M147" s="744"/>
      <c r="N147" s="744"/>
      <c r="O147" s="744"/>
      <c r="P147" s="744"/>
      <c r="Q147" s="744"/>
      <c r="R147" s="744"/>
      <c r="S147" s="744"/>
      <c r="T147" s="744"/>
      <c r="U147" s="744"/>
      <c r="V147" s="744"/>
      <c r="W147" s="744"/>
      <c r="X147" s="744"/>
      <c r="Y147" s="744"/>
      <c r="Z147" s="744"/>
      <c r="AA147" s="744"/>
      <c r="AB147" s="744"/>
      <c r="AC147" s="708"/>
      <c r="AD147" s="708"/>
      <c r="AE147" s="708"/>
      <c r="AF147" s="708"/>
      <c r="AG147" s="708"/>
      <c r="AH147" s="708"/>
      <c r="AI147" s="708"/>
      <c r="AJ147" s="708"/>
    </row>
    <row r="148" spans="1:36" x14ac:dyDescent="0.15">
      <c r="A148" s="708"/>
      <c r="C148" s="708"/>
      <c r="E148" s="708"/>
      <c r="F148" s="708"/>
      <c r="G148" s="708"/>
      <c r="H148" s="708"/>
      <c r="I148" s="708"/>
      <c r="J148" s="743"/>
      <c r="K148" s="744"/>
      <c r="L148" s="744"/>
      <c r="M148" s="744"/>
      <c r="N148" s="744"/>
      <c r="O148" s="744"/>
      <c r="P148" s="744"/>
      <c r="Q148" s="744"/>
      <c r="R148" s="744"/>
      <c r="S148" s="744"/>
      <c r="T148" s="744"/>
      <c r="U148" s="744"/>
      <c r="V148" s="744"/>
      <c r="W148" s="744"/>
      <c r="X148" s="744"/>
      <c r="Y148" s="744"/>
      <c r="Z148" s="744"/>
      <c r="AA148" s="744"/>
      <c r="AB148" s="744"/>
      <c r="AC148" s="708"/>
      <c r="AD148" s="708"/>
      <c r="AE148" s="708"/>
      <c r="AF148" s="708"/>
      <c r="AG148" s="708"/>
      <c r="AH148" s="708"/>
      <c r="AI148" s="708"/>
      <c r="AJ148" s="708"/>
    </row>
    <row r="149" spans="1:36" x14ac:dyDescent="0.15">
      <c r="A149" s="708"/>
      <c r="C149" s="708"/>
      <c r="E149" s="708"/>
      <c r="F149" s="708"/>
      <c r="G149" s="708"/>
      <c r="H149" s="708"/>
      <c r="I149" s="708"/>
      <c r="J149" s="743"/>
      <c r="K149" s="744"/>
      <c r="L149" s="744"/>
      <c r="M149" s="744"/>
      <c r="N149" s="744"/>
      <c r="O149" s="744"/>
      <c r="P149" s="744"/>
      <c r="Q149" s="744"/>
      <c r="R149" s="744"/>
      <c r="S149" s="744"/>
      <c r="T149" s="744"/>
      <c r="U149" s="744"/>
      <c r="V149" s="744"/>
      <c r="W149" s="744"/>
      <c r="X149" s="744"/>
      <c r="Y149" s="744"/>
      <c r="Z149" s="744"/>
      <c r="AA149" s="744"/>
      <c r="AB149" s="744"/>
      <c r="AC149" s="708"/>
      <c r="AD149" s="708"/>
      <c r="AE149" s="708"/>
      <c r="AF149" s="708"/>
      <c r="AG149" s="708"/>
      <c r="AH149" s="708"/>
      <c r="AI149" s="708"/>
      <c r="AJ149" s="708"/>
    </row>
    <row r="150" spans="1:36" x14ac:dyDescent="0.15">
      <c r="A150" s="708"/>
      <c r="C150" s="708"/>
      <c r="E150" s="708"/>
      <c r="F150" s="708"/>
      <c r="G150" s="708"/>
      <c r="H150" s="708"/>
      <c r="I150" s="708"/>
      <c r="J150" s="743"/>
      <c r="K150" s="744"/>
      <c r="L150" s="744"/>
      <c r="M150" s="744"/>
      <c r="N150" s="744"/>
      <c r="O150" s="744"/>
      <c r="P150" s="744"/>
      <c r="Q150" s="744"/>
      <c r="R150" s="744"/>
      <c r="S150" s="744"/>
      <c r="T150" s="744"/>
      <c r="U150" s="744"/>
      <c r="V150" s="744"/>
      <c r="W150" s="744"/>
      <c r="X150" s="744"/>
      <c r="Y150" s="744"/>
      <c r="Z150" s="744"/>
      <c r="AA150" s="744"/>
      <c r="AB150" s="744"/>
      <c r="AC150" s="708"/>
      <c r="AD150" s="708"/>
      <c r="AE150" s="708"/>
      <c r="AF150" s="708"/>
      <c r="AG150" s="708"/>
      <c r="AH150" s="708"/>
      <c r="AI150" s="708"/>
      <c r="AJ150" s="708"/>
    </row>
    <row r="151" spans="1:36" x14ac:dyDescent="0.15">
      <c r="A151" s="708"/>
      <c r="C151" s="708"/>
      <c r="E151" s="708"/>
      <c r="F151" s="708"/>
      <c r="G151" s="708"/>
      <c r="H151" s="708"/>
      <c r="I151" s="708"/>
      <c r="J151" s="743"/>
      <c r="K151" s="744"/>
      <c r="L151" s="744"/>
      <c r="M151" s="744"/>
      <c r="N151" s="744"/>
      <c r="O151" s="744"/>
      <c r="P151" s="744"/>
      <c r="Q151" s="744"/>
      <c r="R151" s="744"/>
      <c r="S151" s="744"/>
      <c r="T151" s="744"/>
      <c r="U151" s="744"/>
      <c r="V151" s="744"/>
      <c r="W151" s="744"/>
      <c r="X151" s="744"/>
      <c r="Y151" s="744"/>
      <c r="Z151" s="744"/>
      <c r="AA151" s="744"/>
      <c r="AB151" s="744"/>
      <c r="AC151" s="708"/>
      <c r="AD151" s="708"/>
      <c r="AE151" s="708"/>
      <c r="AF151" s="708"/>
      <c r="AG151" s="708"/>
      <c r="AH151" s="708"/>
      <c r="AI151" s="708"/>
      <c r="AJ151" s="708"/>
    </row>
    <row r="152" spans="1:36" x14ac:dyDescent="0.15">
      <c r="A152" s="708"/>
      <c r="C152" s="708"/>
      <c r="E152" s="708"/>
      <c r="F152" s="708"/>
      <c r="G152" s="708"/>
      <c r="H152" s="708"/>
      <c r="I152" s="708"/>
      <c r="J152" s="743"/>
      <c r="K152" s="744"/>
      <c r="L152" s="744"/>
      <c r="M152" s="744"/>
      <c r="N152" s="744"/>
      <c r="O152" s="744"/>
      <c r="P152" s="744"/>
      <c r="Q152" s="744"/>
      <c r="R152" s="744"/>
      <c r="S152" s="744"/>
      <c r="T152" s="744"/>
      <c r="U152" s="744"/>
      <c r="V152" s="744"/>
      <c r="W152" s="744"/>
      <c r="X152" s="744"/>
      <c r="Y152" s="744"/>
      <c r="Z152" s="744"/>
      <c r="AA152" s="744"/>
      <c r="AB152" s="744"/>
      <c r="AC152" s="708"/>
      <c r="AD152" s="708"/>
      <c r="AE152" s="708"/>
      <c r="AF152" s="708"/>
      <c r="AG152" s="708"/>
      <c r="AH152" s="708"/>
      <c r="AI152" s="708"/>
      <c r="AJ152" s="708"/>
    </row>
    <row r="153" spans="1:36" hidden="1" x14ac:dyDescent="0.15">
      <c r="A153" s="708"/>
      <c r="C153" s="708"/>
      <c r="E153" s="708"/>
      <c r="F153" s="708"/>
      <c r="G153" s="708"/>
      <c r="H153" s="708"/>
      <c r="I153" s="708"/>
      <c r="J153" s="743"/>
      <c r="K153" s="744"/>
      <c r="L153" s="744"/>
      <c r="M153" s="744"/>
      <c r="N153" s="744"/>
      <c r="O153" s="744"/>
      <c r="P153" s="744"/>
      <c r="Q153" s="744"/>
      <c r="R153" s="744"/>
      <c r="S153" s="744"/>
      <c r="T153" s="744"/>
      <c r="U153" s="744"/>
      <c r="V153" s="744"/>
      <c r="W153" s="744"/>
      <c r="X153" s="744"/>
      <c r="Y153" s="744"/>
      <c r="Z153" s="744"/>
      <c r="AA153" s="744"/>
      <c r="AB153" s="744"/>
      <c r="AC153" s="708"/>
      <c r="AD153" s="708"/>
      <c r="AE153" s="708"/>
      <c r="AF153" s="708"/>
      <c r="AG153" s="708"/>
      <c r="AH153" s="708"/>
      <c r="AI153" s="708"/>
      <c r="AJ153" s="708"/>
    </row>
    <row r="154" spans="1:36" hidden="1" x14ac:dyDescent="0.15">
      <c r="A154" s="708"/>
      <c r="C154" s="708"/>
      <c r="E154" s="708"/>
      <c r="F154" s="708"/>
      <c r="G154" s="708"/>
      <c r="H154" s="708"/>
      <c r="I154" s="708"/>
      <c r="J154" s="743"/>
      <c r="K154" s="744"/>
      <c r="L154" s="744"/>
      <c r="M154" s="744"/>
      <c r="N154" s="744"/>
      <c r="O154" s="744"/>
      <c r="P154" s="744"/>
      <c r="Q154" s="744"/>
      <c r="R154" s="744"/>
      <c r="S154" s="744"/>
      <c r="T154" s="744"/>
      <c r="U154" s="744"/>
      <c r="V154" s="744"/>
      <c r="W154" s="744"/>
      <c r="X154" s="744"/>
      <c r="Y154" s="744"/>
      <c r="Z154" s="744"/>
      <c r="AA154" s="744"/>
      <c r="AB154" s="744"/>
      <c r="AC154" s="708"/>
      <c r="AD154" s="708"/>
      <c r="AE154" s="708"/>
      <c r="AF154" s="708"/>
      <c r="AG154" s="708"/>
      <c r="AH154" s="708"/>
      <c r="AI154" s="708"/>
      <c r="AJ154" s="708"/>
    </row>
    <row r="155" spans="1:36" s="223" customFormat="1" hidden="1" x14ac:dyDescent="0.15">
      <c r="A155" s="866" t="s">
        <v>228</v>
      </c>
      <c r="B155" s="866"/>
      <c r="C155" s="866"/>
      <c r="D155" s="866"/>
      <c r="E155" s="866"/>
      <c r="F155" s="866"/>
      <c r="G155" s="866"/>
      <c r="H155" s="866"/>
      <c r="I155" s="866"/>
      <c r="J155" s="866"/>
      <c r="K155" s="866"/>
      <c r="L155" s="866"/>
      <c r="M155" s="866"/>
      <c r="N155" s="866"/>
      <c r="O155" s="866"/>
      <c r="P155" s="224"/>
      <c r="Q155" s="224"/>
      <c r="R155" s="224"/>
      <c r="S155" s="224"/>
      <c r="T155" s="224"/>
      <c r="U155" s="224"/>
      <c r="V155" s="745"/>
      <c r="W155" s="745"/>
      <c r="X155" s="745"/>
      <c r="Y155" s="745"/>
      <c r="Z155" s="745"/>
      <c r="AA155" s="745"/>
      <c r="AB155" s="745"/>
      <c r="AC155" s="745"/>
      <c r="AD155" s="745"/>
      <c r="AE155" s="745"/>
      <c r="AF155" s="745"/>
      <c r="AG155" s="745"/>
      <c r="AH155" s="745"/>
      <c r="AI155" s="745"/>
      <c r="AJ155" s="745"/>
    </row>
    <row r="156" spans="1:36" hidden="1" x14ac:dyDescent="0.15">
      <c r="A156" s="708"/>
      <c r="C156" s="708"/>
      <c r="E156" s="708"/>
      <c r="F156" s="11"/>
      <c r="G156" s="11"/>
      <c r="H156" s="708"/>
      <c r="I156" s="708"/>
      <c r="J156" s="11"/>
      <c r="K156" s="11"/>
      <c r="L156" s="11"/>
      <c r="M156" s="11"/>
      <c r="N156" s="11"/>
      <c r="O156" s="11"/>
      <c r="P156" s="11"/>
      <c r="Q156" s="11"/>
      <c r="R156" s="11"/>
      <c r="S156" s="11"/>
      <c r="T156" s="11"/>
      <c r="U156" s="11"/>
      <c r="V156" s="708"/>
      <c r="W156" s="708"/>
      <c r="X156" s="708"/>
      <c r="Y156" s="708"/>
      <c r="Z156" s="708"/>
      <c r="AA156" s="708"/>
      <c r="AB156" s="708"/>
      <c r="AC156" s="708"/>
      <c r="AD156" s="708"/>
      <c r="AE156" s="708"/>
      <c r="AF156" s="708"/>
      <c r="AG156" s="708"/>
      <c r="AH156" s="708"/>
      <c r="AI156" s="708"/>
      <c r="AJ156" s="708"/>
    </row>
    <row r="157" spans="1:36" ht="15" hidden="1" x14ac:dyDescent="0.2">
      <c r="A157" s="708"/>
      <c r="C157" s="868" t="s">
        <v>229</v>
      </c>
      <c r="D157" s="868"/>
      <c r="E157" s="868"/>
      <c r="F157" s="11"/>
      <c r="G157" s="708"/>
      <c r="H157" s="366" t="s">
        <v>230</v>
      </c>
      <c r="I157" s="367">
        <v>0.03</v>
      </c>
      <c r="J157" s="708"/>
      <c r="K157" s="708"/>
      <c r="L157" s="708"/>
      <c r="M157" s="708"/>
      <c r="N157" s="708"/>
      <c r="O157" s="708"/>
      <c r="P157" s="708"/>
      <c r="Q157" s="708"/>
      <c r="R157" s="708"/>
      <c r="S157" s="11"/>
      <c r="T157" s="11"/>
      <c r="U157" s="11"/>
      <c r="V157" s="708"/>
      <c r="W157" s="708"/>
      <c r="X157" s="708"/>
      <c r="Y157" s="708"/>
      <c r="Z157" s="708"/>
      <c r="AA157" s="708"/>
      <c r="AB157" s="708"/>
      <c r="AC157" s="708"/>
      <c r="AD157" s="708"/>
      <c r="AE157" s="708"/>
      <c r="AF157" s="708"/>
      <c r="AG157" s="708"/>
      <c r="AH157" s="708"/>
      <c r="AI157" s="708"/>
      <c r="AJ157" s="708"/>
    </row>
    <row r="158" spans="1:36" ht="14" hidden="1" thickBot="1" x14ac:dyDescent="0.2">
      <c r="A158" s="708"/>
      <c r="C158" s="708"/>
      <c r="D158" s="155" t="s">
        <v>231</v>
      </c>
      <c r="E158" s="156" t="s">
        <v>143</v>
      </c>
      <c r="F158" s="11"/>
      <c r="G158" s="708"/>
      <c r="H158" s="11"/>
      <c r="I158" s="11"/>
      <c r="J158" s="11"/>
      <c r="K158" s="708"/>
      <c r="L158" s="708"/>
      <c r="M158" s="708"/>
      <c r="N158" s="708"/>
      <c r="O158" s="708"/>
      <c r="P158" s="708"/>
      <c r="Q158" s="708"/>
      <c r="R158" s="708"/>
      <c r="S158" s="708"/>
      <c r="T158" s="708"/>
      <c r="U158" s="708"/>
      <c r="V158" s="708"/>
      <c r="W158" s="708"/>
      <c r="X158" s="708"/>
      <c r="Y158" s="708"/>
      <c r="Z158" s="708"/>
      <c r="AA158" s="708"/>
      <c r="AB158" s="708"/>
      <c r="AC158" s="708"/>
      <c r="AD158" s="708"/>
      <c r="AE158" s="708"/>
      <c r="AF158" s="708"/>
      <c r="AG158" s="708"/>
      <c r="AH158" s="708"/>
      <c r="AI158" s="708"/>
      <c r="AJ158" s="708"/>
    </row>
    <row r="159" spans="1:36" hidden="1" x14ac:dyDescent="0.15">
      <c r="A159" s="708"/>
      <c r="C159" s="708" t="str">
        <f>+C41</f>
        <v>Net Rental Income</v>
      </c>
      <c r="D159" s="153">
        <f>+D29*NoOfSpaces*(1-G15)</f>
        <v>38912</v>
      </c>
      <c r="E159" s="731">
        <f>+D159*12</f>
        <v>466944</v>
      </c>
      <c r="F159" s="11"/>
      <c r="G159" s="708"/>
      <c r="H159" s="11"/>
      <c r="I159" s="11"/>
      <c r="J159" s="11"/>
      <c r="K159" s="11"/>
      <c r="L159" s="11"/>
      <c r="M159" s="708"/>
      <c r="N159" s="708"/>
      <c r="O159" s="708"/>
      <c r="P159" s="708"/>
      <c r="Q159" s="708"/>
      <c r="R159" s="708"/>
      <c r="S159" s="708"/>
      <c r="T159" s="708"/>
      <c r="U159" s="708"/>
      <c r="V159" s="708"/>
      <c r="W159" s="708"/>
      <c r="X159" s="708"/>
      <c r="Y159" s="708"/>
      <c r="Z159" s="708"/>
      <c r="AA159" s="708"/>
      <c r="AB159" s="708"/>
      <c r="AC159" s="708"/>
      <c r="AD159" s="708"/>
      <c r="AE159" s="708"/>
      <c r="AF159" s="708"/>
      <c r="AG159" s="708"/>
      <c r="AH159" s="708"/>
      <c r="AI159" s="708"/>
      <c r="AJ159" s="708"/>
    </row>
    <row r="160" spans="1:36" hidden="1" x14ac:dyDescent="0.15">
      <c r="A160" s="708"/>
      <c r="C160" s="708" t="s">
        <v>142</v>
      </c>
      <c r="D160" s="154">
        <f>+D50/12</f>
        <v>2718.8333333333335</v>
      </c>
      <c r="E160" s="731">
        <f t="shared" ref="E160:E162" si="269">+D160*12</f>
        <v>32626</v>
      </c>
      <c r="F160" s="11"/>
      <c r="G160" s="708"/>
      <c r="H160" s="11"/>
      <c r="I160" s="11"/>
      <c r="J160" s="11"/>
      <c r="K160" s="11"/>
      <c r="L160" s="11"/>
      <c r="M160" s="708"/>
      <c r="N160" s="708"/>
      <c r="O160" s="708"/>
      <c r="P160" s="708"/>
      <c r="Q160" s="708"/>
      <c r="R160" s="708"/>
      <c r="S160" s="708"/>
      <c r="T160" s="708"/>
      <c r="U160" s="708"/>
      <c r="V160" s="708"/>
      <c r="W160" s="708"/>
      <c r="X160" s="708"/>
      <c r="Y160" s="708"/>
      <c r="Z160" s="708"/>
      <c r="AA160" s="708"/>
      <c r="AB160" s="708"/>
      <c r="AC160" s="708"/>
      <c r="AD160" s="708"/>
      <c r="AE160" s="708"/>
      <c r="AF160" s="708"/>
      <c r="AG160" s="708"/>
      <c r="AH160" s="708"/>
      <c r="AI160" s="708"/>
      <c r="AJ160" s="708"/>
    </row>
    <row r="161" spans="3:7" hidden="1" x14ac:dyDescent="0.15">
      <c r="C161" s="720" t="s">
        <v>232</v>
      </c>
      <c r="D161" s="154">
        <f>+E51/12</f>
        <v>0</v>
      </c>
      <c r="E161" s="731">
        <f t="shared" si="269"/>
        <v>0</v>
      </c>
      <c r="F161" s="11"/>
      <c r="G161" s="708"/>
    </row>
    <row r="162" spans="3:7" hidden="1" x14ac:dyDescent="0.15">
      <c r="C162" s="720" t="s">
        <v>233</v>
      </c>
      <c r="D162" s="817">
        <f>SUM(D159:D161)</f>
        <v>41630.833333333336</v>
      </c>
      <c r="E162" s="817">
        <f t="shared" si="269"/>
        <v>499570</v>
      </c>
      <c r="F162" s="708"/>
      <c r="G162" s="708"/>
    </row>
    <row r="163" spans="3:7" hidden="1" x14ac:dyDescent="0.15">
      <c r="C163" s="708" t="s">
        <v>234</v>
      </c>
      <c r="D163" s="741">
        <f ca="1">+F80</f>
        <v>25349.042366666672</v>
      </c>
      <c r="E163" s="731">
        <f ca="1">+D163*12</f>
        <v>304188.50840000005</v>
      </c>
      <c r="F163" s="708"/>
      <c r="G163" s="708"/>
    </row>
    <row r="164" spans="3:7" hidden="1" x14ac:dyDescent="0.15">
      <c r="C164" s="720" t="s">
        <v>235</v>
      </c>
      <c r="D164" s="746">
        <f ca="1">+D162-D163</f>
        <v>16281.790966666664</v>
      </c>
      <c r="E164" s="733">
        <f ca="1">+D164*12</f>
        <v>195381.49159999995</v>
      </c>
      <c r="F164" s="708"/>
      <c r="G164" s="369"/>
    </row>
    <row r="165" spans="3:7" hidden="1" x14ac:dyDescent="0.15">
      <c r="C165" s="708" t="s">
        <v>88</v>
      </c>
      <c r="D165" s="708"/>
      <c r="E165" s="747">
        <f ca="1">E164/D6</f>
        <v>3.0480731918876746E-2</v>
      </c>
      <c r="F165" s="708"/>
      <c r="G165" s="708"/>
    </row>
    <row r="166" spans="3:7" hidden="1" x14ac:dyDescent="0.15">
      <c r="C166" s="708"/>
      <c r="D166" s="708"/>
      <c r="E166" s="708"/>
      <c r="F166" s="708"/>
      <c r="G166" s="708"/>
    </row>
    <row r="167" spans="3:7" ht="15" hidden="1" x14ac:dyDescent="0.2">
      <c r="C167" s="868" t="s">
        <v>236</v>
      </c>
      <c r="D167" s="868"/>
      <c r="E167" s="868"/>
      <c r="F167" s="868"/>
      <c r="G167" s="708"/>
    </row>
    <row r="168" spans="3:7" ht="14" hidden="1" thickBot="1" x14ac:dyDescent="0.2">
      <c r="C168" s="7"/>
      <c r="D168" s="748" t="s">
        <v>108</v>
      </c>
      <c r="E168" s="748" t="s">
        <v>109</v>
      </c>
      <c r="F168" s="748" t="s">
        <v>110</v>
      </c>
      <c r="G168" s="708"/>
    </row>
    <row r="169" spans="3:7" hidden="1" x14ac:dyDescent="0.15">
      <c r="C169" s="708" t="s">
        <v>237</v>
      </c>
      <c r="D169" s="749">
        <f ca="1">E200</f>
        <v>0.16717680594078699</v>
      </c>
      <c r="E169" s="749">
        <f ca="1">E208</f>
        <v>0.14710954609128257</v>
      </c>
      <c r="F169" s="749">
        <f ca="1">E212</f>
        <v>0.12786342132736594</v>
      </c>
      <c r="G169" s="708"/>
    </row>
    <row r="170" spans="3:7" hidden="1" x14ac:dyDescent="0.15">
      <c r="C170" s="708" t="s">
        <v>238</v>
      </c>
      <c r="D170" s="749">
        <f ca="1">E242</f>
        <v>0.26846252618544297</v>
      </c>
      <c r="E170" s="749">
        <f ca="1">E291</f>
        <v>0.22033318969867199</v>
      </c>
      <c r="F170" s="749">
        <f ca="1">+E340</f>
        <v>0.19991870390384237</v>
      </c>
      <c r="G170" s="708"/>
    </row>
    <row r="171" spans="3:7" hidden="1" x14ac:dyDescent="0.15">
      <c r="C171" s="708" t="s">
        <v>121</v>
      </c>
      <c r="D171" s="749">
        <f ca="1">+E259</f>
        <v>0.16960010768573075</v>
      </c>
      <c r="E171" s="749">
        <f ca="1">+E308</f>
        <v>0.14819687023826189</v>
      </c>
      <c r="F171" s="749">
        <f ca="1">+E357</f>
        <v>0.15036123968689852</v>
      </c>
      <c r="G171" s="708"/>
    </row>
    <row r="172" spans="3:7" ht="12.75" hidden="1" customHeight="1" x14ac:dyDescent="0.15">
      <c r="C172" s="708" t="s">
        <v>239</v>
      </c>
      <c r="D172" s="750" t="str">
        <f ca="1">+TEXT(E260,"0.0")&amp;"x"</f>
        <v>1.6x</v>
      </c>
      <c r="E172" s="750" t="str">
        <f ca="1">+TEXT(E309,"0.0")&amp;"x"</f>
        <v>1.9x</v>
      </c>
      <c r="F172" s="750" t="str">
        <f ca="1">+TEXT(E358,"0.0")&amp;"x"</f>
        <v>2.6x</v>
      </c>
      <c r="G172" s="708"/>
    </row>
    <row r="173" spans="3:7" hidden="1" x14ac:dyDescent="0.15">
      <c r="C173" s="708" t="s">
        <v>240</v>
      </c>
      <c r="D173" s="715">
        <f ca="1">ROUND(E261,-3)</f>
        <v>4695000</v>
      </c>
      <c r="E173" s="715">
        <f ca="1">ROUND(E310,-3)</f>
        <v>5696000</v>
      </c>
      <c r="F173" s="715">
        <f ca="1">ROUND(E359,-3)</f>
        <v>7647000</v>
      </c>
      <c r="G173" s="369"/>
    </row>
    <row r="174" spans="3:7" hidden="1" x14ac:dyDescent="0.15">
      <c r="C174" s="708" t="s">
        <v>129</v>
      </c>
      <c r="D174" s="715">
        <f ca="1">ROUND(SUM(F256:H256),-3)</f>
        <v>1280000</v>
      </c>
      <c r="E174" s="715">
        <f ca="1">ROUND(E311,-3)</f>
        <v>1985000</v>
      </c>
      <c r="F174" s="715">
        <f ca="1">ROUND(E360,-3)</f>
        <v>3936000</v>
      </c>
      <c r="G174" s="708"/>
    </row>
    <row r="175" spans="3:7" hidden="1" x14ac:dyDescent="0.15">
      <c r="C175" s="708"/>
      <c r="D175" s="708"/>
      <c r="E175" s="708"/>
      <c r="F175" s="708"/>
      <c r="G175" s="708"/>
    </row>
    <row r="176" spans="3:7" hidden="1" x14ac:dyDescent="0.15">
      <c r="C176" s="867"/>
      <c r="D176" s="867"/>
      <c r="E176" s="708"/>
      <c r="F176" s="11"/>
      <c r="G176" s="708"/>
    </row>
    <row r="177" spans="3:21" hidden="1" x14ac:dyDescent="0.15">
      <c r="C177" s="708"/>
      <c r="D177" s="720"/>
      <c r="E177" s="708"/>
      <c r="F177" s="11"/>
      <c r="G177" s="708"/>
      <c r="H177" s="708"/>
      <c r="I177" s="708"/>
      <c r="J177" s="708"/>
      <c r="K177" s="708"/>
      <c r="L177" s="708"/>
      <c r="M177" s="708"/>
      <c r="N177" s="708"/>
      <c r="O177" s="708"/>
      <c r="P177" s="708"/>
      <c r="Q177" s="708"/>
      <c r="R177" s="708"/>
      <c r="S177" s="708"/>
      <c r="T177" s="708"/>
      <c r="U177" s="708"/>
    </row>
    <row r="178" spans="3:21" hidden="1" x14ac:dyDescent="0.15">
      <c r="C178" s="708"/>
      <c r="D178" s="708"/>
      <c r="E178" s="708"/>
      <c r="F178" s="11"/>
      <c r="G178" s="11"/>
      <c r="H178" s="708"/>
      <c r="I178" s="708"/>
      <c r="J178" s="708"/>
      <c r="K178" s="708"/>
      <c r="L178" s="708"/>
      <c r="M178" s="708"/>
      <c r="N178" s="708"/>
      <c r="O178" s="708"/>
      <c r="P178" s="708"/>
      <c r="Q178" s="708"/>
      <c r="R178" s="708"/>
      <c r="S178" s="708"/>
      <c r="T178" s="708"/>
      <c r="U178" s="708"/>
    </row>
    <row r="179" spans="3:21" hidden="1" x14ac:dyDescent="0.15">
      <c r="C179" s="708"/>
      <c r="D179" s="708"/>
      <c r="E179" s="708"/>
      <c r="F179" s="11"/>
      <c r="G179" s="11"/>
      <c r="H179" s="11"/>
      <c r="I179" s="11"/>
      <c r="J179" s="11"/>
      <c r="K179" s="11"/>
      <c r="L179" s="11"/>
      <c r="M179" s="708"/>
      <c r="N179" s="708"/>
      <c r="O179" s="708"/>
      <c r="P179" s="708"/>
      <c r="Q179" s="708"/>
      <c r="R179" s="708"/>
      <c r="S179" s="708"/>
      <c r="T179" s="708"/>
      <c r="U179" s="708"/>
    </row>
    <row r="180" spans="3:21" hidden="1" x14ac:dyDescent="0.15">
      <c r="C180" s="708"/>
      <c r="D180" s="708"/>
      <c r="E180" s="708"/>
      <c r="F180" s="11"/>
      <c r="G180" s="11"/>
      <c r="H180" s="11"/>
      <c r="I180" s="11"/>
      <c r="J180" s="11"/>
      <c r="K180" s="11"/>
      <c r="L180" s="11"/>
      <c r="M180" s="708"/>
      <c r="N180" s="708"/>
      <c r="O180" s="708"/>
      <c r="P180" s="708"/>
      <c r="Q180" s="708"/>
      <c r="R180" s="708"/>
      <c r="S180" s="708"/>
      <c r="T180" s="708"/>
      <c r="U180" s="708"/>
    </row>
    <row r="181" spans="3:21" hidden="1" x14ac:dyDescent="0.15">
      <c r="C181" s="708"/>
      <c r="D181" s="708"/>
      <c r="E181" s="708"/>
      <c r="F181" s="11"/>
      <c r="G181" s="11"/>
      <c r="H181" s="11"/>
      <c r="I181" s="11"/>
      <c r="J181" s="11"/>
      <c r="K181" s="11"/>
      <c r="L181" s="11"/>
      <c r="M181" s="708"/>
      <c r="N181" s="708"/>
      <c r="O181" s="708"/>
      <c r="P181" s="708"/>
      <c r="Q181" s="708"/>
      <c r="R181" s="708"/>
      <c r="S181" s="708"/>
      <c r="T181" s="708"/>
      <c r="U181" s="708"/>
    </row>
    <row r="182" spans="3:21" hidden="1" x14ac:dyDescent="0.15">
      <c r="C182" s="708"/>
      <c r="D182" s="708"/>
      <c r="E182" s="708"/>
      <c r="F182" s="11"/>
      <c r="G182" s="11"/>
      <c r="H182" s="11"/>
      <c r="I182" s="11"/>
      <c r="J182" s="11"/>
      <c r="K182" s="11"/>
      <c r="L182" s="11"/>
      <c r="M182" s="708"/>
      <c r="N182" s="708"/>
      <c r="O182" s="708"/>
      <c r="P182" s="708"/>
      <c r="Q182" s="708"/>
      <c r="R182" s="708"/>
      <c r="S182" s="708"/>
      <c r="T182" s="708"/>
      <c r="U182" s="708"/>
    </row>
    <row r="183" spans="3:21" hidden="1" x14ac:dyDescent="0.15">
      <c r="C183" s="708"/>
      <c r="D183" s="708"/>
      <c r="E183" s="708"/>
      <c r="F183" s="11"/>
      <c r="G183" s="11"/>
      <c r="H183" s="11"/>
      <c r="I183" s="11"/>
      <c r="J183" s="11"/>
      <c r="K183" s="11"/>
      <c r="L183" s="11"/>
      <c r="M183" s="708"/>
      <c r="N183" s="708"/>
      <c r="O183" s="708"/>
      <c r="P183" s="708"/>
      <c r="Q183" s="708"/>
      <c r="R183" s="708"/>
      <c r="S183" s="708"/>
      <c r="T183" s="708"/>
      <c r="U183" s="708"/>
    </row>
    <row r="184" spans="3:21" hidden="1" x14ac:dyDescent="0.15">
      <c r="C184" s="708"/>
      <c r="D184" s="708"/>
      <c r="E184" s="708"/>
      <c r="F184" s="11"/>
      <c r="G184" s="11"/>
      <c r="H184" s="11"/>
      <c r="I184" s="11"/>
      <c r="J184" s="11"/>
      <c r="K184" s="11"/>
      <c r="L184" s="11"/>
      <c r="M184" s="708"/>
      <c r="N184" s="708"/>
      <c r="O184" s="708"/>
      <c r="P184" s="708"/>
      <c r="Q184" s="708"/>
      <c r="R184" s="708"/>
      <c r="S184" s="708"/>
      <c r="T184" s="708"/>
      <c r="U184" s="708"/>
    </row>
    <row r="185" spans="3:21" hidden="1" x14ac:dyDescent="0.15">
      <c r="C185" s="708"/>
      <c r="D185" s="708"/>
      <c r="E185" s="708"/>
      <c r="F185" s="11"/>
      <c r="G185" s="11"/>
      <c r="H185" s="332"/>
      <c r="I185" s="715"/>
      <c r="J185" s="715"/>
      <c r="K185" s="751"/>
      <c r="L185" s="715"/>
      <c r="M185" s="752"/>
      <c r="N185" s="715"/>
      <c r="O185" s="722"/>
      <c r="P185" s="722"/>
      <c r="Q185" s="11"/>
      <c r="R185" s="11"/>
      <c r="S185" s="11"/>
      <c r="T185" s="11"/>
      <c r="U185" s="11"/>
    </row>
    <row r="186" spans="3:21" hidden="1" x14ac:dyDescent="0.15">
      <c r="C186" s="708"/>
      <c r="D186" s="708"/>
      <c r="E186" s="708"/>
      <c r="F186" s="11"/>
      <c r="G186" s="11"/>
      <c r="H186" s="332"/>
      <c r="I186" s="715"/>
      <c r="J186" s="715"/>
      <c r="K186" s="751"/>
      <c r="L186" s="715"/>
      <c r="M186" s="752"/>
      <c r="N186" s="715"/>
      <c r="O186" s="722"/>
      <c r="P186" s="722"/>
      <c r="Q186" s="11"/>
      <c r="R186" s="11"/>
      <c r="S186" s="11"/>
      <c r="T186" s="11"/>
      <c r="U186" s="11"/>
    </row>
    <row r="187" spans="3:21" hidden="1" x14ac:dyDescent="0.15">
      <c r="C187" s="708"/>
      <c r="D187" s="708"/>
      <c r="E187" s="708"/>
      <c r="F187" s="11"/>
      <c r="G187" s="11"/>
      <c r="H187" s="332"/>
      <c r="I187" s="715"/>
      <c r="J187" s="715"/>
      <c r="K187" s="751"/>
      <c r="L187" s="715"/>
      <c r="M187" s="752"/>
      <c r="N187" s="715"/>
      <c r="O187" s="722"/>
      <c r="P187" s="722"/>
      <c r="Q187" s="11"/>
      <c r="R187" s="11"/>
      <c r="S187" s="11"/>
      <c r="T187" s="11"/>
      <c r="U187" s="11"/>
    </row>
    <row r="188" spans="3:21" hidden="1" x14ac:dyDescent="0.15">
      <c r="C188" s="708"/>
      <c r="D188" s="708"/>
      <c r="E188" s="708"/>
      <c r="F188" s="11"/>
      <c r="G188" s="11"/>
      <c r="H188" s="332"/>
      <c r="I188" s="715"/>
      <c r="J188" s="715"/>
      <c r="K188" s="751"/>
      <c r="L188" s="715"/>
      <c r="M188" s="752"/>
      <c r="N188" s="715"/>
      <c r="O188" s="722"/>
      <c r="P188" s="722"/>
      <c r="Q188" s="11"/>
      <c r="R188" s="11"/>
      <c r="S188" s="11"/>
      <c r="T188" s="11"/>
      <c r="U188" s="11"/>
    </row>
    <row r="189" spans="3:21" hidden="1" x14ac:dyDescent="0.15">
      <c r="C189" s="708"/>
      <c r="D189" s="708"/>
      <c r="E189" s="708"/>
      <c r="F189" s="11"/>
      <c r="G189" s="11"/>
      <c r="H189" s="332"/>
      <c r="I189" s="715"/>
      <c r="J189" s="715"/>
      <c r="K189" s="751"/>
      <c r="L189" s="715"/>
      <c r="M189" s="752"/>
      <c r="N189" s="715"/>
      <c r="O189" s="722"/>
      <c r="P189" s="722"/>
      <c r="Q189" s="11"/>
      <c r="R189" s="11"/>
      <c r="S189" s="11"/>
      <c r="T189" s="11"/>
      <c r="U189" s="11"/>
    </row>
    <row r="190" spans="3:21" ht="15" hidden="1" x14ac:dyDescent="0.2">
      <c r="C190" s="864" t="s">
        <v>241</v>
      </c>
      <c r="D190" s="864"/>
      <c r="E190" s="864"/>
      <c r="F190" s="864"/>
      <c r="G190" s="864"/>
      <c r="H190" s="864"/>
      <c r="I190" s="864"/>
      <c r="J190" s="864"/>
      <c r="K190" s="864"/>
      <c r="L190" s="864"/>
      <c r="M190" s="864"/>
      <c r="N190" s="864"/>
      <c r="O190" s="864"/>
      <c r="P190" s="11"/>
      <c r="Q190" s="708"/>
      <c r="R190" s="708"/>
      <c r="S190" s="708"/>
      <c r="T190" s="708"/>
      <c r="U190" s="708"/>
    </row>
    <row r="191" spans="3:21" hidden="1" x14ac:dyDescent="0.15">
      <c r="C191" s="708"/>
      <c r="D191" s="708"/>
      <c r="E191" s="708"/>
      <c r="F191" s="306">
        <v>1</v>
      </c>
      <c r="G191" s="306">
        <v>2</v>
      </c>
      <c r="H191" s="306">
        <v>3</v>
      </c>
      <c r="I191" s="306">
        <v>4</v>
      </c>
      <c r="J191" s="306">
        <v>5</v>
      </c>
      <c r="K191" s="306">
        <v>6</v>
      </c>
      <c r="L191" s="306">
        <v>7</v>
      </c>
      <c r="M191" s="306">
        <v>8</v>
      </c>
      <c r="N191" s="306">
        <v>9</v>
      </c>
      <c r="O191" s="306">
        <v>10</v>
      </c>
      <c r="P191" s="306"/>
      <c r="Q191" s="708"/>
      <c r="R191" s="708"/>
      <c r="S191" s="708"/>
      <c r="T191" s="708"/>
      <c r="U191" s="708"/>
    </row>
    <row r="192" spans="3:21" hidden="1" x14ac:dyDescent="0.15">
      <c r="C192" s="708" t="s">
        <v>127</v>
      </c>
      <c r="D192" s="708"/>
      <c r="E192" s="708"/>
      <c r="F192" s="9">
        <f t="shared" ref="F192:O192" ca="1" si="270">F85</f>
        <v>180698.2916</v>
      </c>
      <c r="G192" s="9">
        <f t="shared" ca="1" si="270"/>
        <v>347780.47645377007</v>
      </c>
      <c r="H192" s="9">
        <f t="shared" ca="1" si="270"/>
        <v>462978.08278284548</v>
      </c>
      <c r="I192" s="9">
        <f t="shared" ca="1" si="270"/>
        <v>491178.88123850216</v>
      </c>
      <c r="J192" s="9">
        <f t="shared" ca="1" si="270"/>
        <v>519603.02718327218</v>
      </c>
      <c r="K192" s="9">
        <f t="shared" ca="1" si="270"/>
        <v>548261.114747738</v>
      </c>
      <c r="L192" s="9">
        <f t="shared" ca="1" si="270"/>
        <v>574596.18543232442</v>
      </c>
      <c r="M192" s="9">
        <f t="shared" ca="1" si="270"/>
        <v>602072.75146618823</v>
      </c>
      <c r="N192" s="9">
        <f t="shared" ca="1" si="270"/>
        <v>630738.23451373831</v>
      </c>
      <c r="O192" s="9">
        <f t="shared" ca="1" si="270"/>
        <v>660641.98834296805</v>
      </c>
      <c r="P192" s="9"/>
      <c r="Q192" s="708"/>
      <c r="R192" s="708"/>
      <c r="S192" s="708"/>
      <c r="T192" s="708"/>
      <c r="U192" s="708"/>
    </row>
    <row r="193" spans="3:16" hidden="1" x14ac:dyDescent="0.15">
      <c r="C193" s="708" t="s">
        <v>242</v>
      </c>
      <c r="D193" s="708"/>
      <c r="E193" s="708"/>
      <c r="F193" s="11">
        <f t="shared" ref="F193:O193" si="271">SUM(F105:F108)</f>
        <v>70000</v>
      </c>
      <c r="G193" s="11">
        <f t="shared" si="271"/>
        <v>0</v>
      </c>
      <c r="H193" s="11">
        <f t="shared" si="271"/>
        <v>0</v>
      </c>
      <c r="I193" s="11">
        <f t="shared" si="271"/>
        <v>0</v>
      </c>
      <c r="J193" s="11">
        <f t="shared" si="271"/>
        <v>0</v>
      </c>
      <c r="K193" s="11">
        <f t="shared" si="271"/>
        <v>0</v>
      </c>
      <c r="L193" s="11">
        <f t="shared" si="271"/>
        <v>0</v>
      </c>
      <c r="M193" s="11">
        <f t="shared" si="271"/>
        <v>0</v>
      </c>
      <c r="N193" s="11">
        <f t="shared" si="271"/>
        <v>0</v>
      </c>
      <c r="O193" s="11">
        <f t="shared" si="271"/>
        <v>0</v>
      </c>
      <c r="P193" s="11"/>
    </row>
    <row r="194" spans="3:16" hidden="1" x14ac:dyDescent="0.15">
      <c r="C194" s="708"/>
      <c r="D194" s="708"/>
      <c r="E194" s="708"/>
      <c r="F194" s="11"/>
      <c r="G194" s="11"/>
      <c r="H194" s="11"/>
      <c r="I194" s="11"/>
      <c r="J194" s="11"/>
      <c r="K194" s="11"/>
      <c r="L194" s="11"/>
      <c r="M194" s="11"/>
      <c r="N194" s="11"/>
      <c r="O194" s="11"/>
      <c r="P194" s="11"/>
    </row>
    <row r="195" spans="3:16" hidden="1" x14ac:dyDescent="0.15">
      <c r="C195" s="708" t="s">
        <v>243</v>
      </c>
      <c r="D195" s="708"/>
      <c r="E195" s="708"/>
      <c r="F195" s="11"/>
      <c r="G195" s="11"/>
      <c r="H195" s="368">
        <f ca="1">(H192/RefiCap)*(1-Cost_of_Sale)</f>
        <v>8981774.8059872016</v>
      </c>
      <c r="I195" s="11"/>
      <c r="J195" s="11"/>
      <c r="K195" s="11"/>
      <c r="L195" s="11"/>
      <c r="M195" s="11"/>
      <c r="N195" s="11"/>
      <c r="O195" s="11"/>
      <c r="P195" s="11"/>
    </row>
    <row r="196" spans="3:16" hidden="1" x14ac:dyDescent="0.15">
      <c r="C196" s="708"/>
      <c r="D196" s="708"/>
      <c r="E196" s="708"/>
      <c r="F196" s="11"/>
      <c r="G196" s="11"/>
      <c r="H196" s="11"/>
      <c r="I196" s="11"/>
      <c r="J196" s="11"/>
      <c r="K196" s="11"/>
      <c r="L196" s="11"/>
      <c r="M196" s="11"/>
      <c r="N196" s="11"/>
      <c r="O196" s="11"/>
      <c r="P196" s="11"/>
    </row>
    <row r="197" spans="3:16" hidden="1" x14ac:dyDescent="0.15">
      <c r="C197" s="708"/>
      <c r="D197" s="708"/>
      <c r="E197" s="708"/>
      <c r="F197" s="11"/>
      <c r="G197" s="11"/>
      <c r="H197" s="11"/>
      <c r="I197" s="11"/>
      <c r="J197" s="11"/>
      <c r="K197" s="11"/>
      <c r="L197" s="11"/>
      <c r="M197" s="11"/>
      <c r="N197" s="11"/>
      <c r="O197" s="11"/>
      <c r="P197" s="11"/>
    </row>
    <row r="198" spans="3:16" hidden="1" x14ac:dyDescent="0.15">
      <c r="C198" s="708"/>
      <c r="D198" s="708"/>
      <c r="E198" s="708"/>
      <c r="F198" s="11"/>
      <c r="G198" s="11"/>
      <c r="H198" s="11"/>
      <c r="I198" s="11"/>
      <c r="J198" s="11"/>
      <c r="K198" s="11"/>
      <c r="L198" s="11"/>
      <c r="M198" s="11"/>
      <c r="N198" s="11"/>
      <c r="O198" s="11"/>
      <c r="P198" s="11"/>
    </row>
    <row r="199" spans="3:16" hidden="1" x14ac:dyDescent="0.15">
      <c r="C199" s="708" t="s">
        <v>244</v>
      </c>
      <c r="D199" s="708"/>
      <c r="E199" s="741">
        <f>-D6</f>
        <v>-6410000</v>
      </c>
      <c r="F199" s="9">
        <f ca="1">SUM(F192:F195)</f>
        <v>250698.2916</v>
      </c>
      <c r="G199" s="9">
        <f t="shared" ref="G199:H199" ca="1" si="272">SUM(G192:G195)</f>
        <v>347780.47645377007</v>
      </c>
      <c r="H199" s="9">
        <f t="shared" ca="1" si="272"/>
        <v>9444752.8887700476</v>
      </c>
      <c r="I199" s="11"/>
      <c r="J199" s="11"/>
      <c r="K199" s="11"/>
      <c r="L199" s="11"/>
      <c r="M199" s="11"/>
      <c r="N199" s="11"/>
      <c r="O199" s="11"/>
      <c r="P199" s="11"/>
    </row>
    <row r="200" spans="3:16" hidden="1" x14ac:dyDescent="0.15">
      <c r="C200" s="708" t="s">
        <v>245</v>
      </c>
      <c r="D200" s="708"/>
      <c r="E200" s="742">
        <f ca="1">IRR(E199:H199)</f>
        <v>0.16717680594078699</v>
      </c>
      <c r="F200" s="11"/>
      <c r="G200" s="11"/>
      <c r="H200" s="11"/>
      <c r="I200" s="11"/>
      <c r="J200" s="11"/>
      <c r="K200" s="11"/>
      <c r="L200" s="11"/>
      <c r="M200" s="11"/>
      <c r="N200" s="11"/>
      <c r="O200" s="11"/>
      <c r="P200" s="11"/>
    </row>
    <row r="201" spans="3:16" hidden="1" x14ac:dyDescent="0.15">
      <c r="C201" s="708"/>
      <c r="D201" s="708"/>
      <c r="E201" s="742"/>
      <c r="F201" s="11"/>
      <c r="G201" s="11"/>
      <c r="H201" s="11"/>
      <c r="I201" s="11"/>
      <c r="J201" s="11"/>
      <c r="K201" s="11"/>
      <c r="L201" s="11"/>
      <c r="M201" s="11"/>
      <c r="N201" s="11"/>
      <c r="O201" s="11"/>
      <c r="P201" s="11"/>
    </row>
    <row r="202" spans="3:16" hidden="1" x14ac:dyDescent="0.15">
      <c r="C202" s="708"/>
      <c r="D202" s="708"/>
      <c r="E202" s="742"/>
      <c r="F202" s="11"/>
      <c r="G202" s="11"/>
      <c r="H202" s="11"/>
      <c r="I202" s="11"/>
      <c r="J202" s="11"/>
      <c r="K202" s="11"/>
      <c r="L202" s="11"/>
      <c r="M202" s="11"/>
      <c r="N202" s="11"/>
      <c r="O202" s="11"/>
      <c r="P202" s="11"/>
    </row>
    <row r="203" spans="3:16" hidden="1" x14ac:dyDescent="0.15">
      <c r="C203" s="708"/>
      <c r="D203" s="708"/>
      <c r="E203" s="742"/>
      <c r="F203" s="11"/>
      <c r="G203" s="11"/>
      <c r="H203" s="11"/>
      <c r="I203" s="11"/>
      <c r="J203" s="11"/>
      <c r="K203" s="11"/>
      <c r="L203" s="11"/>
      <c r="M203" s="11"/>
      <c r="N203" s="11"/>
      <c r="O203" s="11"/>
      <c r="P203" s="11"/>
    </row>
    <row r="204" spans="3:16" hidden="1" x14ac:dyDescent="0.15">
      <c r="C204" s="708"/>
      <c r="D204" s="708"/>
      <c r="E204" s="742"/>
      <c r="F204" s="11"/>
      <c r="G204" s="11"/>
      <c r="H204" s="11"/>
      <c r="I204" s="11"/>
      <c r="J204" s="11"/>
      <c r="K204" s="11"/>
      <c r="L204" s="11"/>
      <c r="M204" s="11"/>
      <c r="N204" s="11"/>
      <c r="O204" s="11"/>
      <c r="P204" s="11"/>
    </row>
    <row r="205" spans="3:16" hidden="1" x14ac:dyDescent="0.15">
      <c r="C205" s="708"/>
      <c r="D205" s="708"/>
      <c r="E205" s="708"/>
      <c r="F205" s="11"/>
      <c r="G205" s="11"/>
      <c r="H205" s="11"/>
      <c r="I205" s="11"/>
      <c r="J205" s="11"/>
      <c r="K205" s="11"/>
      <c r="L205" s="11"/>
      <c r="M205" s="11"/>
      <c r="N205" s="11"/>
      <c r="O205" s="11"/>
      <c r="P205" s="11"/>
    </row>
    <row r="206" spans="3:16" hidden="1" x14ac:dyDescent="0.15">
      <c r="C206" s="708" t="s">
        <v>246</v>
      </c>
      <c r="D206" s="708"/>
      <c r="E206" s="708"/>
      <c r="F206" s="11"/>
      <c r="G206" s="11"/>
      <c r="H206" s="11"/>
      <c r="I206" s="11"/>
      <c r="J206" s="368">
        <f ca="1">(J192/RefiCap)*(1-Cost_of_Sale)</f>
        <v>10080298.727355478</v>
      </c>
      <c r="K206" s="11"/>
      <c r="L206" s="11"/>
      <c r="M206" s="11"/>
      <c r="N206" s="11"/>
      <c r="O206" s="11"/>
      <c r="P206" s="11"/>
    </row>
    <row r="207" spans="3:16" hidden="1" x14ac:dyDescent="0.15">
      <c r="C207" s="708" t="s">
        <v>247</v>
      </c>
      <c r="D207" s="708"/>
      <c r="E207" s="741">
        <f>E199</f>
        <v>-6410000</v>
      </c>
      <c r="F207" s="9">
        <f ca="1">SUM(F192:F193,F206)</f>
        <v>250698.2916</v>
      </c>
      <c r="G207" s="9">
        <f t="shared" ref="G207:J207" ca="1" si="273">SUM(G192:G193,G206)</f>
        <v>347780.47645377007</v>
      </c>
      <c r="H207" s="9">
        <f t="shared" ca="1" si="273"/>
        <v>462978.08278284548</v>
      </c>
      <c r="I207" s="9">
        <f t="shared" ca="1" si="273"/>
        <v>491178.88123850216</v>
      </c>
      <c r="J207" s="9">
        <f t="shared" ca="1" si="273"/>
        <v>10599901.75453875</v>
      </c>
      <c r="K207" s="11"/>
      <c r="L207" s="11"/>
      <c r="M207" s="11"/>
      <c r="N207" s="11"/>
      <c r="O207" s="11"/>
      <c r="P207" s="11"/>
    </row>
    <row r="208" spans="3:16" hidden="1" x14ac:dyDescent="0.15">
      <c r="C208" s="708" t="s">
        <v>248</v>
      </c>
      <c r="D208" s="708"/>
      <c r="E208" s="728">
        <f ca="1">IRR(E207:J207)</f>
        <v>0.14710954609128257</v>
      </c>
      <c r="F208" s="11"/>
      <c r="G208" s="11"/>
      <c r="H208" s="11"/>
      <c r="I208" s="11"/>
      <c r="J208" s="11"/>
      <c r="K208" s="11"/>
      <c r="L208" s="331"/>
      <c r="M208" s="11"/>
      <c r="N208" s="11"/>
      <c r="O208" s="11"/>
      <c r="P208" s="11"/>
    </row>
    <row r="209" spans="3:16" hidden="1" x14ac:dyDescent="0.15">
      <c r="C209" s="708"/>
      <c r="D209" s="708"/>
      <c r="E209" s="708"/>
      <c r="F209" s="11"/>
      <c r="G209" s="11"/>
      <c r="H209" s="11"/>
      <c r="I209" s="11"/>
      <c r="J209" s="11"/>
      <c r="K209" s="11"/>
      <c r="L209" s="11"/>
      <c r="M209" s="11"/>
      <c r="N209" s="11"/>
      <c r="O209" s="11"/>
      <c r="P209" s="11"/>
    </row>
    <row r="210" spans="3:16" hidden="1" x14ac:dyDescent="0.15">
      <c r="C210" s="708" t="s">
        <v>249</v>
      </c>
      <c r="D210" s="708"/>
      <c r="E210" s="708"/>
      <c r="F210" s="11"/>
      <c r="G210" s="11"/>
      <c r="H210" s="11"/>
      <c r="I210" s="11"/>
      <c r="J210" s="9"/>
      <c r="K210" s="11"/>
      <c r="L210" s="11"/>
      <c r="M210" s="11"/>
      <c r="N210" s="11"/>
      <c r="O210" s="368">
        <f ca="1">(O192/RefiCap)*(1-Cost_of_Sale)</f>
        <v>12816454.573853578</v>
      </c>
      <c r="P210" s="11"/>
    </row>
    <row r="211" spans="3:16" hidden="1" x14ac:dyDescent="0.15">
      <c r="C211" s="708" t="s">
        <v>250</v>
      </c>
      <c r="D211" s="708"/>
      <c r="E211" s="741">
        <f>E207</f>
        <v>-6410000</v>
      </c>
      <c r="F211" s="9">
        <f ca="1">SUM(F192:F193,F210)</f>
        <v>250698.2916</v>
      </c>
      <c r="G211" s="9">
        <f t="shared" ref="G211:O211" ca="1" si="274">SUM(G192:G193,G210)</f>
        <v>347780.47645377007</v>
      </c>
      <c r="H211" s="9">
        <f t="shared" ca="1" si="274"/>
        <v>462978.08278284548</v>
      </c>
      <c r="I211" s="9">
        <f t="shared" ca="1" si="274"/>
        <v>491178.88123850216</v>
      </c>
      <c r="J211" s="9">
        <f t="shared" ca="1" si="274"/>
        <v>519603.02718327218</v>
      </c>
      <c r="K211" s="9">
        <f t="shared" ca="1" si="274"/>
        <v>548261.114747738</v>
      </c>
      <c r="L211" s="9">
        <f t="shared" ca="1" si="274"/>
        <v>574596.18543232442</v>
      </c>
      <c r="M211" s="9">
        <f t="shared" ca="1" si="274"/>
        <v>602072.75146618823</v>
      </c>
      <c r="N211" s="9">
        <f t="shared" ca="1" si="274"/>
        <v>630738.23451373831</v>
      </c>
      <c r="O211" s="9">
        <f t="shared" ca="1" si="274"/>
        <v>13477096.562196547</v>
      </c>
      <c r="P211" s="11"/>
    </row>
    <row r="212" spans="3:16" hidden="1" x14ac:dyDescent="0.15">
      <c r="C212" s="708" t="s">
        <v>251</v>
      </c>
      <c r="D212" s="708"/>
      <c r="E212" s="742">
        <f ca="1">IRR(E211:O211)</f>
        <v>0.12786342132736594</v>
      </c>
      <c r="F212" s="11"/>
      <c r="G212" s="11"/>
      <c r="H212" s="11"/>
      <c r="I212" s="11"/>
      <c r="J212" s="11"/>
      <c r="K212" s="11"/>
      <c r="L212" s="11"/>
      <c r="M212" s="11"/>
      <c r="N212" s="11"/>
      <c r="O212" s="11"/>
      <c r="P212" s="11"/>
    </row>
    <row r="213" spans="3:16" hidden="1" x14ac:dyDescent="0.15">
      <c r="C213" s="708"/>
      <c r="D213" s="708"/>
      <c r="E213" s="708"/>
      <c r="F213" s="11"/>
      <c r="G213" s="11"/>
      <c r="H213" s="11"/>
      <c r="I213" s="11"/>
      <c r="J213" s="11"/>
      <c r="K213" s="11"/>
      <c r="L213" s="11"/>
      <c r="M213" s="11"/>
      <c r="N213" s="11"/>
      <c r="O213" s="11"/>
      <c r="P213" s="11"/>
    </row>
    <row r="214" spans="3:16" hidden="1" x14ac:dyDescent="0.15">
      <c r="C214" s="708"/>
      <c r="D214" s="708"/>
      <c r="E214" s="708"/>
      <c r="F214" s="11"/>
      <c r="G214" s="11"/>
      <c r="H214" s="11"/>
      <c r="I214" s="11"/>
      <c r="J214" s="11"/>
      <c r="K214" s="11"/>
      <c r="L214" s="11"/>
      <c r="M214" s="11"/>
      <c r="N214" s="11"/>
      <c r="O214" s="11"/>
      <c r="P214" s="11"/>
    </row>
    <row r="215" spans="3:16" hidden="1" x14ac:dyDescent="0.15">
      <c r="C215" s="708"/>
      <c r="D215" s="708"/>
      <c r="E215" s="708"/>
      <c r="F215" s="11"/>
      <c r="G215" s="11"/>
      <c r="H215" s="11"/>
      <c r="I215" s="11"/>
      <c r="J215" s="11"/>
      <c r="K215" s="11"/>
      <c r="L215" s="11"/>
      <c r="M215" s="11"/>
      <c r="N215" s="11"/>
      <c r="O215" s="11"/>
      <c r="P215" s="11"/>
    </row>
    <row r="216" spans="3:16" ht="15" hidden="1" x14ac:dyDescent="0.2">
      <c r="C216" s="864" t="s">
        <v>252</v>
      </c>
      <c r="D216" s="864"/>
      <c r="E216" s="864"/>
      <c r="F216" s="864"/>
      <c r="G216" s="864"/>
      <c r="H216" s="864"/>
      <c r="I216" s="11"/>
      <c r="J216" s="11"/>
      <c r="K216" s="11"/>
      <c r="L216" s="11"/>
      <c r="M216" s="11"/>
      <c r="N216" s="11"/>
      <c r="O216" s="11"/>
      <c r="P216" s="11"/>
    </row>
    <row r="217" spans="3:16" ht="15" hidden="1" x14ac:dyDescent="0.2">
      <c r="C217" s="318"/>
      <c r="D217" s="318"/>
      <c r="E217" s="318"/>
      <c r="F217" s="11" t="s">
        <v>28</v>
      </c>
      <c r="G217" s="11" t="s">
        <v>29</v>
      </c>
      <c r="H217" s="11" t="s">
        <v>30</v>
      </c>
      <c r="I217" s="319"/>
      <c r="J217" s="319"/>
      <c r="K217" s="319"/>
      <c r="L217" s="319"/>
      <c r="M217" s="319"/>
      <c r="N217" s="319"/>
      <c r="O217" s="319"/>
      <c r="P217" s="319"/>
    </row>
    <row r="218" spans="3:16" hidden="1" x14ac:dyDescent="0.15">
      <c r="C218" s="708" t="s">
        <v>127</v>
      </c>
      <c r="D218" s="708"/>
      <c r="E218" s="708"/>
      <c r="F218" s="11">
        <f ca="1">+F192</f>
        <v>180698.2916</v>
      </c>
      <c r="G218" s="11">
        <f t="shared" ref="G218:H218" ca="1" si="275">+G192</f>
        <v>347780.47645377007</v>
      </c>
      <c r="H218" s="11">
        <f t="shared" ca="1" si="275"/>
        <v>462978.08278284548</v>
      </c>
      <c r="I218" s="11"/>
      <c r="J218" s="11"/>
      <c r="K218" s="11"/>
      <c r="L218" s="11"/>
      <c r="M218" s="11"/>
      <c r="N218" s="11"/>
      <c r="O218" s="11"/>
      <c r="P218" s="11"/>
    </row>
    <row r="219" spans="3:16" hidden="1" x14ac:dyDescent="0.15">
      <c r="C219" s="708"/>
      <c r="D219" s="708"/>
      <c r="E219" s="708"/>
      <c r="F219" s="11"/>
      <c r="G219" s="11"/>
      <c r="H219" s="11"/>
      <c r="I219" s="11"/>
      <c r="J219" s="11"/>
      <c r="K219" s="11"/>
      <c r="L219" s="11"/>
      <c r="M219" s="11"/>
      <c r="N219" s="11"/>
      <c r="O219" s="11"/>
      <c r="P219" s="11"/>
    </row>
    <row r="220" spans="3:16" hidden="1" x14ac:dyDescent="0.15">
      <c r="C220" s="7" t="str">
        <f t="shared" ref="C220:C226" si="276">+C91</f>
        <v>Debt service</v>
      </c>
      <c r="D220" s="708"/>
      <c r="E220" s="708"/>
      <c r="F220" s="11"/>
      <c r="G220" s="11"/>
      <c r="H220" s="11"/>
      <c r="I220" s="11"/>
      <c r="J220" s="11"/>
      <c r="K220" s="11"/>
      <c r="L220" s="11"/>
      <c r="M220" s="11"/>
      <c r="N220" s="11"/>
      <c r="O220" s="11"/>
      <c r="P220" s="11"/>
    </row>
    <row r="221" spans="3:16" hidden="1" x14ac:dyDescent="0.15">
      <c r="C221" s="28" t="str">
        <f t="shared" si="276"/>
        <v>Additional debt/Refinance</v>
      </c>
      <c r="D221" s="708"/>
      <c r="E221" s="708"/>
      <c r="F221" s="741">
        <f t="shared" ref="F221:H226" si="277">+F92</f>
        <v>3450000</v>
      </c>
      <c r="G221" s="741">
        <f t="shared" si="277"/>
        <v>3450000</v>
      </c>
      <c r="H221" s="741">
        <f t="shared" si="277"/>
        <v>3450000</v>
      </c>
      <c r="I221" s="11"/>
      <c r="J221" s="11"/>
      <c r="K221" s="11"/>
      <c r="L221" s="11"/>
      <c r="M221" s="11"/>
      <c r="N221" s="11"/>
      <c r="O221" s="11"/>
      <c r="P221" s="11"/>
    </row>
    <row r="222" spans="3:16" hidden="1" x14ac:dyDescent="0.15">
      <c r="C222" s="717" t="str">
        <f t="shared" si="276"/>
        <v>Additional debt/Refinance</v>
      </c>
      <c r="D222" s="708"/>
      <c r="E222" s="708"/>
      <c r="F222" s="741">
        <f t="shared" si="277"/>
        <v>0</v>
      </c>
      <c r="G222" s="741">
        <f t="shared" si="277"/>
        <v>0</v>
      </c>
      <c r="H222" s="741">
        <f t="shared" si="277"/>
        <v>0</v>
      </c>
      <c r="I222" s="11"/>
      <c r="J222" s="11"/>
      <c r="K222" s="11"/>
      <c r="L222" s="11"/>
      <c r="M222" s="11"/>
      <c r="N222" s="11"/>
      <c r="O222" s="11"/>
      <c r="P222" s="11"/>
    </row>
    <row r="223" spans="3:16" hidden="1" x14ac:dyDescent="0.15">
      <c r="C223" s="28" t="str">
        <f t="shared" si="276"/>
        <v>Payment</v>
      </c>
      <c r="D223" s="708"/>
      <c r="E223" s="708"/>
      <c r="F223" s="741">
        <f t="shared" si="277"/>
        <v>205818.375</v>
      </c>
      <c r="G223" s="741">
        <f t="shared" si="277"/>
        <v>205818.375</v>
      </c>
      <c r="H223" s="741">
        <f t="shared" si="277"/>
        <v>247303.02545191324</v>
      </c>
      <c r="I223" s="11"/>
      <c r="J223" s="11"/>
      <c r="K223" s="11"/>
      <c r="L223" s="11"/>
      <c r="M223" s="11"/>
      <c r="N223" s="11"/>
      <c r="O223" s="11"/>
      <c r="P223" s="11"/>
    </row>
    <row r="224" spans="3:16" hidden="1" x14ac:dyDescent="0.15">
      <c r="C224" s="28" t="str">
        <f t="shared" si="276"/>
        <v>Principal</v>
      </c>
      <c r="D224" s="708"/>
      <c r="E224" s="708"/>
      <c r="F224" s="741">
        <f t="shared" si="277"/>
        <v>0</v>
      </c>
      <c r="G224" s="741">
        <f t="shared" si="277"/>
        <v>0</v>
      </c>
      <c r="H224" s="741">
        <f t="shared" si="277"/>
        <v>41484.650451913243</v>
      </c>
      <c r="I224" s="11"/>
      <c r="J224" s="11"/>
      <c r="K224" s="11"/>
      <c r="L224" s="11"/>
      <c r="M224" s="11"/>
      <c r="N224" s="11"/>
      <c r="O224" s="11"/>
      <c r="P224" s="11"/>
    </row>
    <row r="225" spans="3:21" hidden="1" x14ac:dyDescent="0.15">
      <c r="C225" s="28" t="str">
        <f t="shared" si="276"/>
        <v>Interest</v>
      </c>
      <c r="D225" s="708"/>
      <c r="E225" s="708"/>
      <c r="F225" s="741">
        <f t="shared" si="277"/>
        <v>205818.375</v>
      </c>
      <c r="G225" s="741">
        <f t="shared" si="277"/>
        <v>205818.375</v>
      </c>
      <c r="H225" s="741">
        <f t="shared" si="277"/>
        <v>205818.375</v>
      </c>
      <c r="I225" s="11"/>
      <c r="J225" s="11"/>
      <c r="K225" s="11"/>
      <c r="L225" s="11"/>
      <c r="M225" s="11"/>
      <c r="N225" s="11"/>
      <c r="O225" s="11"/>
      <c r="P225" s="11"/>
      <c r="Q225" s="708"/>
      <c r="R225" s="708"/>
      <c r="S225" s="708"/>
      <c r="T225" s="708"/>
      <c r="U225" s="708"/>
    </row>
    <row r="226" spans="3:21" hidden="1" x14ac:dyDescent="0.15">
      <c r="C226" s="28" t="str">
        <f t="shared" si="276"/>
        <v>Ending balance</v>
      </c>
      <c r="D226" s="708"/>
      <c r="E226" s="708"/>
      <c r="F226" s="741">
        <f t="shared" si="277"/>
        <v>3450000</v>
      </c>
      <c r="G226" s="741">
        <f t="shared" si="277"/>
        <v>3450000</v>
      </c>
      <c r="H226" s="741">
        <f t="shared" si="277"/>
        <v>3408515.3495480865</v>
      </c>
      <c r="I226" s="11"/>
      <c r="J226" s="11"/>
      <c r="K226" s="11"/>
      <c r="L226" s="11"/>
      <c r="M226" s="11"/>
      <c r="N226" s="11"/>
      <c r="O226" s="11"/>
      <c r="P226" s="11"/>
      <c r="Q226" s="708"/>
      <c r="R226" s="708"/>
      <c r="S226" s="708"/>
      <c r="T226" s="708"/>
      <c r="U226" s="708"/>
    </row>
    <row r="227" spans="3:21" hidden="1" x14ac:dyDescent="0.15">
      <c r="C227" s="708"/>
      <c r="D227" s="708"/>
      <c r="E227" s="708"/>
      <c r="F227" s="741"/>
      <c r="G227" s="741"/>
      <c r="H227" s="741"/>
      <c r="I227" s="11"/>
      <c r="J227" s="11"/>
      <c r="K227" s="11"/>
      <c r="L227" s="11"/>
      <c r="M227" s="11"/>
      <c r="N227" s="11"/>
      <c r="O227" s="11"/>
      <c r="P227" s="11"/>
      <c r="Q227" s="708"/>
      <c r="R227" s="708"/>
      <c r="S227" s="708"/>
      <c r="T227" s="708"/>
      <c r="U227" s="708"/>
    </row>
    <row r="228" spans="3:21" hidden="1" x14ac:dyDescent="0.15">
      <c r="C228" s="283"/>
      <c r="D228" s="708"/>
      <c r="E228" s="708"/>
      <c r="F228" s="741"/>
      <c r="G228" s="741"/>
      <c r="H228" s="741"/>
      <c r="I228" s="11"/>
      <c r="J228" s="11"/>
      <c r="K228" s="11"/>
      <c r="L228" s="11"/>
      <c r="M228" s="11"/>
      <c r="N228" s="11"/>
      <c r="O228" s="11"/>
      <c r="P228" s="11"/>
      <c r="Q228" s="708"/>
      <c r="R228" s="708"/>
      <c r="S228" s="708"/>
      <c r="T228" s="708"/>
      <c r="U228" s="708"/>
    </row>
    <row r="229" spans="3:21" hidden="1" x14ac:dyDescent="0.15">
      <c r="C229" s="708"/>
      <c r="D229" s="708"/>
      <c r="E229" s="708"/>
      <c r="F229" s="741">
        <f t="shared" ref="F229:H230" si="278">+F101</f>
        <v>0</v>
      </c>
      <c r="G229" s="741">
        <f t="shared" si="278"/>
        <v>0</v>
      </c>
      <c r="H229" s="741">
        <f t="shared" si="278"/>
        <v>0</v>
      </c>
      <c r="I229" s="11"/>
      <c r="J229" s="11"/>
      <c r="K229" s="11"/>
      <c r="L229" s="11"/>
      <c r="M229" s="11"/>
      <c r="N229" s="11"/>
      <c r="O229" s="11"/>
      <c r="P229" s="11"/>
      <c r="Q229" s="708"/>
      <c r="R229" s="708"/>
      <c r="S229" s="708"/>
      <c r="T229" s="708"/>
      <c r="U229" s="708"/>
    </row>
    <row r="230" spans="3:21" hidden="1" x14ac:dyDescent="0.15">
      <c r="C230" s="32" t="str">
        <f>+C102</f>
        <v>Refinance Valuation</v>
      </c>
      <c r="D230" s="708"/>
      <c r="E230" s="708"/>
      <c r="F230" s="741">
        <f t="shared" ca="1" si="278"/>
        <v>3613965.8319999999</v>
      </c>
      <c r="G230" s="741">
        <f t="shared" ca="1" si="278"/>
        <v>6955609.5290754009</v>
      </c>
      <c r="H230" s="741">
        <f t="shared" ca="1" si="278"/>
        <v>9259561.6556569096</v>
      </c>
      <c r="I230" s="11"/>
      <c r="J230" s="11"/>
      <c r="K230" s="11"/>
      <c r="L230" s="11"/>
      <c r="M230" s="11"/>
      <c r="N230" s="11"/>
      <c r="O230" s="11"/>
      <c r="P230" s="11"/>
      <c r="Q230" s="708"/>
      <c r="R230" s="708"/>
      <c r="S230" s="708"/>
      <c r="T230" s="708"/>
      <c r="U230" s="708"/>
    </row>
    <row r="231" spans="3:21" hidden="1" x14ac:dyDescent="0.15">
      <c r="C231" s="31"/>
      <c r="D231" s="708"/>
      <c r="E231" s="708"/>
      <c r="F231" s="741"/>
      <c r="G231" s="741"/>
      <c r="H231" s="741"/>
      <c r="I231" s="11"/>
      <c r="J231" s="11"/>
      <c r="K231" s="11"/>
      <c r="L231" s="11"/>
      <c r="M231" s="11"/>
      <c r="N231" s="11"/>
      <c r="O231" s="11"/>
      <c r="P231" s="11"/>
      <c r="Q231" s="708"/>
      <c r="R231" s="708"/>
      <c r="S231" s="708"/>
      <c r="T231" s="708"/>
      <c r="U231" s="708"/>
    </row>
    <row r="232" spans="3:21" hidden="1" x14ac:dyDescent="0.15">
      <c r="C232" s="717" t="str">
        <f>+C104</f>
        <v>Net Cash Flow after Debt Service</v>
      </c>
      <c r="D232" s="708"/>
      <c r="E232" s="708"/>
      <c r="F232" s="741">
        <f t="shared" ref="F232:H236" ca="1" si="279">+F104</f>
        <v>-25120.083400000003</v>
      </c>
      <c r="G232" s="741">
        <f t="shared" ca="1" si="279"/>
        <v>141962.10145377007</v>
      </c>
      <c r="H232" s="741">
        <f t="shared" ca="1" si="279"/>
        <v>215675.05733093224</v>
      </c>
      <c r="I232" s="11"/>
      <c r="J232" s="11"/>
      <c r="K232" s="11"/>
      <c r="L232" s="11"/>
      <c r="M232" s="11"/>
      <c r="N232" s="11"/>
      <c r="O232" s="11"/>
      <c r="P232" s="11"/>
      <c r="Q232" s="708"/>
      <c r="R232" s="708"/>
      <c r="S232" s="708"/>
      <c r="T232" s="708"/>
      <c r="U232" s="708"/>
    </row>
    <row r="233" spans="3:21" hidden="1" x14ac:dyDescent="0.15">
      <c r="C233" s="717" t="str">
        <f>+C105</f>
        <v>Cash from Sale of POH</v>
      </c>
      <c r="D233" s="708"/>
      <c r="E233" s="708"/>
      <c r="F233" s="741">
        <f t="shared" si="279"/>
        <v>70000</v>
      </c>
      <c r="G233" s="741">
        <f t="shared" si="279"/>
        <v>0</v>
      </c>
      <c r="H233" s="741">
        <f t="shared" si="279"/>
        <v>0</v>
      </c>
      <c r="I233" s="11"/>
      <c r="J233" s="11"/>
      <c r="K233" s="11"/>
      <c r="L233" s="11"/>
      <c r="M233" s="11"/>
      <c r="N233" s="11"/>
      <c r="O233" s="11"/>
      <c r="P233" s="11"/>
      <c r="Q233" s="708"/>
      <c r="R233" s="708"/>
      <c r="S233" s="708"/>
      <c r="T233" s="708"/>
      <c r="U233" s="708"/>
    </row>
    <row r="234" spans="3:21" hidden="1" x14ac:dyDescent="0.15">
      <c r="C234" s="717" t="str">
        <f>+C106</f>
        <v>Rental Income from POH</v>
      </c>
      <c r="D234" s="708"/>
      <c r="E234" s="708"/>
      <c r="F234" s="741">
        <f t="shared" si="279"/>
        <v>0</v>
      </c>
      <c r="G234" s="741">
        <f t="shared" si="279"/>
        <v>0</v>
      </c>
      <c r="H234" s="741">
        <f t="shared" si="279"/>
        <v>0</v>
      </c>
      <c r="I234" s="11"/>
      <c r="J234" s="11"/>
      <c r="K234" s="11"/>
      <c r="L234" s="11"/>
      <c r="M234" s="11"/>
      <c r="N234" s="11"/>
      <c r="O234" s="11"/>
      <c r="P234" s="11"/>
      <c r="Q234" s="708"/>
      <c r="R234" s="708"/>
      <c r="S234" s="708"/>
      <c r="T234" s="708"/>
      <c r="U234" s="708"/>
    </row>
    <row r="235" spans="3:21" hidden="1" x14ac:dyDescent="0.15">
      <c r="C235" s="717" t="str">
        <f>+C107</f>
        <v>Note Income from POH</v>
      </c>
      <c r="D235" s="708"/>
      <c r="E235" s="708"/>
      <c r="F235" s="741">
        <f t="shared" si="279"/>
        <v>0</v>
      </c>
      <c r="G235" s="741">
        <f t="shared" si="279"/>
        <v>0</v>
      </c>
      <c r="H235" s="741">
        <f t="shared" si="279"/>
        <v>0</v>
      </c>
      <c r="I235" s="11"/>
      <c r="J235" s="11"/>
      <c r="K235" s="11"/>
      <c r="L235" s="11"/>
      <c r="M235" s="11"/>
      <c r="N235" s="11"/>
      <c r="O235" s="11"/>
      <c r="P235" s="11"/>
      <c r="Q235" s="708"/>
      <c r="R235" s="708"/>
      <c r="S235" s="708"/>
      <c r="T235" s="708"/>
      <c r="U235" s="708"/>
    </row>
    <row r="236" spans="3:21" hidden="1" x14ac:dyDescent="0.15">
      <c r="C236" s="717" t="str">
        <f>+C108</f>
        <v>POH Seller Carry Note</v>
      </c>
      <c r="D236" s="708"/>
      <c r="E236" s="708"/>
      <c r="F236" s="741">
        <f t="shared" si="279"/>
        <v>0</v>
      </c>
      <c r="G236" s="741">
        <f t="shared" si="279"/>
        <v>0</v>
      </c>
      <c r="H236" s="741">
        <f t="shared" si="279"/>
        <v>0</v>
      </c>
      <c r="I236" s="11"/>
      <c r="J236" s="11"/>
      <c r="K236" s="11"/>
      <c r="L236" s="11"/>
      <c r="M236" s="11"/>
      <c r="N236" s="11"/>
      <c r="O236" s="11"/>
      <c r="P236" s="11"/>
      <c r="Q236" s="11"/>
      <c r="R236" s="11"/>
      <c r="S236" s="11"/>
      <c r="T236" s="11"/>
      <c r="U236" s="11"/>
    </row>
    <row r="237" spans="3:21" hidden="1" x14ac:dyDescent="0.15">
      <c r="C237" s="717" t="str">
        <f t="shared" ref="C237:C238" si="280">+C113</f>
        <v>Return of Capital (other)</v>
      </c>
      <c r="D237" s="708"/>
      <c r="E237" s="708"/>
      <c r="F237" s="741">
        <f t="shared" ref="F237:H237" si="281">+F113</f>
        <v>0</v>
      </c>
      <c r="G237" s="741">
        <f t="shared" si="281"/>
        <v>0</v>
      </c>
      <c r="H237" s="741">
        <f t="shared" si="281"/>
        <v>0</v>
      </c>
      <c r="I237" s="11"/>
      <c r="J237" s="11"/>
      <c r="K237" s="11"/>
      <c r="L237" s="11"/>
      <c r="M237" s="11"/>
      <c r="N237" s="11"/>
      <c r="O237" s="11"/>
      <c r="P237" s="11"/>
      <c r="Q237" s="11"/>
      <c r="R237" s="11"/>
      <c r="S237" s="11"/>
      <c r="T237" s="11"/>
      <c r="U237" s="11"/>
    </row>
    <row r="238" spans="3:21" hidden="1" x14ac:dyDescent="0.15">
      <c r="C238" s="717" t="str">
        <f t="shared" si="280"/>
        <v>Sale Proceeds at Exit</v>
      </c>
      <c r="D238" s="708"/>
      <c r="E238" s="708"/>
      <c r="F238" s="741">
        <f>+F114</f>
        <v>0</v>
      </c>
      <c r="G238" s="741">
        <f>+G114</f>
        <v>0</v>
      </c>
      <c r="H238" s="741">
        <f ca="1">+(H218/RefiCap)*(1-Cost_of_Sale)</f>
        <v>8981774.8059872016</v>
      </c>
      <c r="I238" s="11"/>
      <c r="J238" s="11"/>
      <c r="K238" s="11"/>
      <c r="L238" s="11"/>
      <c r="M238" s="11"/>
      <c r="N238" s="11"/>
      <c r="O238" s="11"/>
      <c r="P238" s="11"/>
      <c r="Q238" s="11"/>
      <c r="R238" s="11"/>
      <c r="S238" s="11"/>
      <c r="T238" s="11"/>
      <c r="U238" s="11"/>
    </row>
    <row r="239" spans="3:21" hidden="1" x14ac:dyDescent="0.15">
      <c r="C239" s="717" t="s">
        <v>253</v>
      </c>
      <c r="D239" s="708"/>
      <c r="E239" s="708"/>
      <c r="F239" s="741"/>
      <c r="G239" s="741"/>
      <c r="H239" s="741">
        <f>-H226</f>
        <v>-3408515.3495480865</v>
      </c>
      <c r="I239" s="11"/>
      <c r="J239" s="11"/>
      <c r="K239" s="11"/>
      <c r="L239" s="11"/>
      <c r="M239" s="11"/>
      <c r="N239" s="11"/>
      <c r="O239" s="11"/>
      <c r="P239" s="11"/>
      <c r="Q239" s="11"/>
      <c r="R239" s="11"/>
      <c r="S239" s="11"/>
      <c r="T239" s="11"/>
      <c r="U239" s="11"/>
    </row>
    <row r="240" spans="3:21" ht="14" hidden="1" thickBot="1" x14ac:dyDescent="0.2">
      <c r="C240" s="635" t="str">
        <f>+C115</f>
        <v>Pretax Income Available for Distribution</v>
      </c>
      <c r="D240" s="708"/>
      <c r="E240" s="741">
        <f>+E115</f>
        <v>-2960000</v>
      </c>
      <c r="F240" s="741">
        <f ca="1">SUM(F232:F239)</f>
        <v>44879.916599999997</v>
      </c>
      <c r="G240" s="741">
        <f ca="1">SUM(G232:G239)</f>
        <v>141962.10145377007</v>
      </c>
      <c r="H240" s="741">
        <f ca="1">SUM(H232:H239)</f>
        <v>5788934.5137700476</v>
      </c>
      <c r="I240" s="11"/>
      <c r="J240" s="11"/>
      <c r="K240" s="11"/>
      <c r="L240" s="11"/>
      <c r="M240" s="11"/>
      <c r="N240" s="11"/>
      <c r="O240" s="11"/>
      <c r="P240" s="11"/>
      <c r="Q240" s="11"/>
      <c r="R240" s="11"/>
      <c r="S240" s="11"/>
      <c r="T240" s="11"/>
      <c r="U240" s="11"/>
    </row>
    <row r="241" spans="3:28" ht="14" hidden="1" thickTop="1" x14ac:dyDescent="0.15">
      <c r="C241" s="708"/>
      <c r="D241" s="708"/>
      <c r="E241" s="708"/>
      <c r="F241" s="11"/>
      <c r="G241" s="11"/>
      <c r="H241" s="11"/>
      <c r="I241" s="11"/>
      <c r="J241" s="11"/>
      <c r="K241" s="11"/>
      <c r="L241" s="11"/>
      <c r="M241" s="11"/>
      <c r="N241" s="11"/>
      <c r="O241" s="11"/>
      <c r="P241" s="11"/>
      <c r="Q241" s="11"/>
      <c r="R241" s="11"/>
      <c r="S241" s="11"/>
      <c r="T241" s="11"/>
      <c r="U241" s="11"/>
      <c r="V241" s="11"/>
      <c r="W241" s="11"/>
      <c r="X241" s="11"/>
      <c r="Y241" s="11"/>
      <c r="Z241" s="11"/>
      <c r="AA241" s="11"/>
      <c r="AB241" s="11"/>
    </row>
    <row r="242" spans="3:28" hidden="1" x14ac:dyDescent="0.15">
      <c r="C242" s="708" t="s">
        <v>254</v>
      </c>
      <c r="D242" s="708"/>
      <c r="E242" s="742">
        <f ca="1">IRR(E240:H240)</f>
        <v>0.26846252618544297</v>
      </c>
      <c r="F242" s="11"/>
      <c r="G242" s="11"/>
      <c r="H242" s="11"/>
      <c r="I242" s="11"/>
      <c r="J242" s="11"/>
      <c r="K242" s="11"/>
      <c r="L242" s="11"/>
      <c r="M242" s="11"/>
      <c r="N242" s="11"/>
      <c r="O242" s="11"/>
      <c r="P242" s="11"/>
      <c r="Q242" s="11"/>
      <c r="R242" s="11"/>
      <c r="S242" s="11"/>
      <c r="T242" s="11"/>
      <c r="U242" s="11"/>
      <c r="V242" s="11"/>
      <c r="W242" s="11"/>
      <c r="X242" s="11"/>
      <c r="Y242" s="11"/>
      <c r="Z242" s="11"/>
      <c r="AA242" s="11"/>
      <c r="AB242" s="11"/>
    </row>
    <row r="243" spans="3:28" hidden="1" x14ac:dyDescent="0.15">
      <c r="C243" s="708"/>
      <c r="D243" s="708"/>
      <c r="E243" s="708"/>
      <c r="F243" s="11"/>
      <c r="G243" s="11"/>
      <c r="H243" s="11"/>
      <c r="I243" s="11"/>
      <c r="J243" s="11"/>
      <c r="K243" s="11"/>
      <c r="L243" s="11"/>
      <c r="M243" s="11"/>
      <c r="N243" s="11"/>
      <c r="O243" s="11"/>
      <c r="P243" s="11"/>
      <c r="Q243" s="11"/>
      <c r="R243" s="11"/>
      <c r="S243" s="11"/>
      <c r="T243" s="11"/>
      <c r="U243" s="11"/>
      <c r="V243" s="11"/>
      <c r="W243" s="11"/>
      <c r="X243" s="11"/>
      <c r="Y243" s="11"/>
      <c r="Z243" s="11"/>
      <c r="AA243" s="11"/>
      <c r="AB243" s="11"/>
    </row>
    <row r="244" spans="3:28" hidden="1" x14ac:dyDescent="0.15">
      <c r="C244" s="7" t="str">
        <f t="shared" ref="C244:C249" si="282">+C119</f>
        <v>Distributions</v>
      </c>
      <c r="D244" s="708"/>
      <c r="E244" s="708"/>
      <c r="F244" s="9"/>
      <c r="G244" s="11"/>
      <c r="H244" s="11"/>
      <c r="I244" s="11"/>
      <c r="J244" s="11"/>
      <c r="K244" s="11"/>
      <c r="L244" s="11"/>
      <c r="M244" s="11"/>
      <c r="N244" s="11"/>
      <c r="O244" s="11"/>
      <c r="P244" s="11"/>
      <c r="Q244" s="11"/>
      <c r="R244" s="11"/>
      <c r="S244" s="11"/>
      <c r="T244" s="11"/>
      <c r="U244" s="11"/>
      <c r="V244" s="11"/>
      <c r="W244" s="11"/>
      <c r="X244" s="11"/>
      <c r="Y244" s="11"/>
      <c r="Z244" s="11"/>
      <c r="AA244" s="11"/>
      <c r="AB244" s="11"/>
    </row>
    <row r="245" spans="3:28" hidden="1" x14ac:dyDescent="0.15">
      <c r="C245" s="717" t="str">
        <f t="shared" si="282"/>
        <v>Investor Preferred Return</v>
      </c>
      <c r="D245" s="708"/>
      <c r="E245" s="708"/>
      <c r="F245" s="9"/>
      <c r="G245" s="11"/>
      <c r="H245" s="11"/>
      <c r="I245" s="11"/>
      <c r="J245" s="11"/>
      <c r="K245" s="11"/>
      <c r="L245" s="11"/>
      <c r="M245" s="11"/>
      <c r="N245" s="11"/>
      <c r="O245" s="11"/>
      <c r="P245" s="11"/>
      <c r="Q245" s="11"/>
      <c r="R245" s="11"/>
      <c r="S245" s="11"/>
      <c r="T245" s="11"/>
      <c r="U245" s="11"/>
      <c r="V245" s="11"/>
      <c r="W245" s="11"/>
      <c r="X245" s="11"/>
      <c r="Y245" s="11"/>
      <c r="Z245" s="11"/>
      <c r="AA245" s="11"/>
      <c r="AB245" s="11"/>
    </row>
    <row r="246" spans="3:28" hidden="1" x14ac:dyDescent="0.15">
      <c r="C246" s="19" t="str">
        <f t="shared" si="282"/>
        <v>Beginning balance</v>
      </c>
      <c r="D246" s="708"/>
      <c r="E246" s="708"/>
      <c r="F246" s="9">
        <f>+F121</f>
        <v>2960000</v>
      </c>
      <c r="G246" s="9">
        <f ca="1">+G121</f>
        <v>3063120.0833999999</v>
      </c>
      <c r="H246" s="9">
        <f ca="1">+H121</f>
        <v>3074313.98611623</v>
      </c>
      <c r="I246" s="11"/>
      <c r="J246" s="11"/>
      <c r="K246" s="11"/>
      <c r="L246" s="11"/>
      <c r="M246" s="11"/>
      <c r="N246" s="11"/>
      <c r="O246" s="11"/>
      <c r="P246" s="11"/>
      <c r="Q246" s="11"/>
      <c r="R246" s="11"/>
      <c r="S246" s="11"/>
      <c r="T246" s="11"/>
      <c r="U246" s="11"/>
      <c r="V246" s="11"/>
      <c r="W246" s="11"/>
      <c r="X246" s="11"/>
      <c r="Y246" s="11"/>
      <c r="Z246" s="11"/>
      <c r="AA246" s="11"/>
      <c r="AB246" s="11"/>
    </row>
    <row r="247" spans="3:28" hidden="1" x14ac:dyDescent="0.15">
      <c r="C247" s="19" t="str">
        <f t="shared" si="282"/>
        <v>Preferred return</v>
      </c>
      <c r="D247" s="708"/>
      <c r="E247" s="708"/>
      <c r="F247" s="9">
        <f>+F246*InvestorPref</f>
        <v>148000</v>
      </c>
      <c r="G247" s="9">
        <f ca="1">+G246*InvestorPref</f>
        <v>153156.00417</v>
      </c>
      <c r="H247" s="9">
        <f ca="1">+H246*InvestorPref</f>
        <v>153715.69930581152</v>
      </c>
      <c r="I247" s="11"/>
      <c r="J247" s="11"/>
      <c r="K247" s="11"/>
      <c r="L247" s="11"/>
      <c r="M247" s="11"/>
      <c r="N247" s="11"/>
      <c r="O247" s="11"/>
      <c r="P247" s="11"/>
      <c r="Q247" s="11"/>
      <c r="R247" s="11"/>
      <c r="S247" s="11"/>
      <c r="T247" s="11"/>
      <c r="U247" s="11"/>
      <c r="V247" s="11"/>
      <c r="W247" s="11"/>
      <c r="X247" s="11"/>
      <c r="Y247" s="11"/>
      <c r="Z247" s="11"/>
      <c r="AA247" s="11"/>
      <c r="AB247" s="11"/>
    </row>
    <row r="248" spans="3:28" hidden="1" x14ac:dyDescent="0.15">
      <c r="C248" s="19" t="str">
        <f t="shared" si="282"/>
        <v>Payment</v>
      </c>
      <c r="D248" s="708"/>
      <c r="E248" s="708"/>
      <c r="F248" s="9">
        <f ca="1">MAX(-F246-F247,-F240)</f>
        <v>-44879.916599999997</v>
      </c>
      <c r="G248" s="9">
        <f t="shared" ref="G248:H248" ca="1" si="283">MAX(-G246-G247,-G240)</f>
        <v>-141962.10145377007</v>
      </c>
      <c r="H248" s="9">
        <f t="shared" ca="1" si="283"/>
        <v>-3228029.6854220415</v>
      </c>
      <c r="I248" s="11"/>
      <c r="J248" s="11"/>
      <c r="K248" s="11"/>
      <c r="L248" s="11"/>
      <c r="M248" s="11"/>
      <c r="N248" s="11"/>
      <c r="O248" s="11"/>
      <c r="P248" s="11"/>
      <c r="Q248" s="11"/>
      <c r="R248" s="11"/>
      <c r="S248" s="11"/>
      <c r="T248" s="11"/>
      <c r="U248" s="11"/>
      <c r="V248" s="11"/>
      <c r="W248" s="11"/>
      <c r="X248" s="11"/>
      <c r="Y248" s="11"/>
      <c r="Z248" s="11"/>
      <c r="AA248" s="11"/>
      <c r="AB248" s="11"/>
    </row>
    <row r="249" spans="3:28" hidden="1" x14ac:dyDescent="0.15">
      <c r="C249" s="19" t="str">
        <f t="shared" si="282"/>
        <v>Ending balance</v>
      </c>
      <c r="D249" s="708"/>
      <c r="E249" s="708"/>
      <c r="F249" s="818">
        <f ca="1">SUM(F246:F248)</f>
        <v>3063120.0833999999</v>
      </c>
      <c r="G249" s="818">
        <f t="shared" ref="G249:H249" ca="1" si="284">SUM(G246:G248)</f>
        <v>3074313.98611623</v>
      </c>
      <c r="H249" s="818">
        <f t="shared" ca="1" si="284"/>
        <v>0</v>
      </c>
      <c r="I249" s="11"/>
      <c r="J249" s="11"/>
      <c r="K249" s="11"/>
      <c r="L249" s="11"/>
      <c r="M249" s="11"/>
      <c r="N249" s="11"/>
      <c r="O249" s="11"/>
      <c r="P249" s="11"/>
      <c r="Q249" s="11"/>
      <c r="R249" s="11"/>
      <c r="S249" s="11"/>
      <c r="T249" s="11"/>
      <c r="U249" s="11"/>
      <c r="V249" s="11"/>
      <c r="W249" s="11"/>
      <c r="X249" s="11"/>
      <c r="Y249" s="11"/>
      <c r="Z249" s="11"/>
      <c r="AA249" s="11"/>
      <c r="AB249" s="11"/>
    </row>
    <row r="250" spans="3:28" hidden="1" x14ac:dyDescent="0.15">
      <c r="C250" s="717" t="s">
        <v>255</v>
      </c>
      <c r="D250" s="708"/>
      <c r="E250" s="708"/>
      <c r="F250" s="9">
        <f ca="1">+F240+F248</f>
        <v>0</v>
      </c>
      <c r="G250" s="9">
        <f t="shared" ref="G250:H250" ca="1" si="285">+G240+G248</f>
        <v>0</v>
      </c>
      <c r="H250" s="9">
        <f t="shared" ca="1" si="285"/>
        <v>2560904.8283480061</v>
      </c>
      <c r="I250" s="11"/>
      <c r="J250" s="11"/>
      <c r="K250" s="11"/>
      <c r="L250" s="11"/>
      <c r="M250" s="11"/>
      <c r="N250" s="11"/>
      <c r="O250" s="11"/>
      <c r="P250" s="11"/>
      <c r="Q250" s="11"/>
      <c r="R250" s="11"/>
      <c r="S250" s="11"/>
      <c r="T250" s="11"/>
      <c r="U250" s="11"/>
      <c r="V250" s="11"/>
      <c r="W250" s="11"/>
      <c r="X250" s="11"/>
      <c r="Y250" s="11"/>
      <c r="Z250" s="11"/>
      <c r="AA250" s="11"/>
      <c r="AB250" s="11"/>
    </row>
    <row r="251" spans="3:28" hidden="1" x14ac:dyDescent="0.15">
      <c r="C251" s="37" t="str">
        <f t="shared" ref="C251:C257" si="286">+C126</f>
        <v>Split</v>
      </c>
      <c r="D251" s="708"/>
      <c r="E251" s="708"/>
      <c r="F251" s="9"/>
      <c r="G251" s="9"/>
      <c r="H251" s="9"/>
      <c r="I251" s="11"/>
      <c r="J251" s="11"/>
      <c r="K251" s="11"/>
      <c r="L251" s="11"/>
      <c r="M251" s="11"/>
      <c r="N251" s="11"/>
      <c r="O251" s="11"/>
      <c r="P251" s="11"/>
      <c r="Q251" s="11"/>
      <c r="R251" s="11"/>
      <c r="S251" s="11"/>
      <c r="T251" s="11"/>
      <c r="U251" s="11"/>
      <c r="V251" s="11"/>
      <c r="W251" s="11"/>
      <c r="X251" s="11"/>
      <c r="Y251" s="11"/>
      <c r="Z251" s="11"/>
      <c r="AA251" s="11"/>
      <c r="AB251" s="11"/>
    </row>
    <row r="252" spans="3:28" hidden="1" x14ac:dyDescent="0.15">
      <c r="C252" s="740" t="str">
        <f t="shared" si="286"/>
        <v>Investor</v>
      </c>
      <c r="D252" s="708"/>
      <c r="E252" s="708"/>
      <c r="F252" s="9">
        <f ca="1">+F250*InvestorPromote</f>
        <v>0</v>
      </c>
      <c r="G252" s="9">
        <f ca="1">+G250*InvestorPromote</f>
        <v>0</v>
      </c>
      <c r="H252" s="9">
        <f ca="1">+H250*InvestorPromote</f>
        <v>1280452.4141740031</v>
      </c>
      <c r="I252" s="11"/>
      <c r="J252" s="11"/>
      <c r="K252" s="11"/>
      <c r="L252" s="11"/>
      <c r="M252" s="11"/>
      <c r="N252" s="11"/>
      <c r="O252" s="11"/>
      <c r="P252" s="11"/>
      <c r="Q252" s="11"/>
      <c r="R252" s="11"/>
      <c r="S252" s="11"/>
      <c r="T252" s="11"/>
      <c r="U252" s="11"/>
      <c r="V252" s="11"/>
      <c r="W252" s="11"/>
      <c r="X252" s="11"/>
      <c r="Y252" s="11"/>
      <c r="Z252" s="11"/>
      <c r="AA252" s="11"/>
      <c r="AB252" s="11"/>
    </row>
    <row r="253" spans="3:28" hidden="1" x14ac:dyDescent="0.15">
      <c r="C253" s="740" t="str">
        <f t="shared" si="286"/>
        <v>BVG</v>
      </c>
      <c r="D253" s="708"/>
      <c r="E253" s="708"/>
      <c r="F253" s="9">
        <f ca="1">+F250*BVGPromote</f>
        <v>0</v>
      </c>
      <c r="G253" s="9">
        <f ca="1">+G250*BVGPromote</f>
        <v>0</v>
      </c>
      <c r="H253" s="9">
        <f ca="1">+H250*BVGPromote</f>
        <v>1280452.4141740031</v>
      </c>
      <c r="I253" s="11"/>
      <c r="J253" s="11"/>
      <c r="K253" s="11"/>
      <c r="L253" s="11"/>
      <c r="M253" s="11"/>
      <c r="N253" s="11"/>
      <c r="O253" s="11"/>
      <c r="P253" s="11"/>
      <c r="Q253" s="11"/>
      <c r="R253" s="11"/>
      <c r="S253" s="11"/>
      <c r="T253" s="11"/>
      <c r="U253" s="11"/>
      <c r="V253" s="11"/>
      <c r="W253" s="11"/>
      <c r="X253" s="11"/>
      <c r="Y253" s="11"/>
      <c r="Z253" s="11"/>
      <c r="AA253" s="11"/>
      <c r="AB253" s="11"/>
    </row>
    <row r="254" spans="3:28" hidden="1" x14ac:dyDescent="0.15">
      <c r="C254" s="37" t="str">
        <f t="shared" si="286"/>
        <v>Total</v>
      </c>
      <c r="D254" s="708"/>
      <c r="E254" s="708"/>
      <c r="F254" s="9"/>
      <c r="G254" s="9"/>
      <c r="H254" s="9"/>
      <c r="I254" s="11"/>
      <c r="J254" s="11"/>
      <c r="K254" s="11"/>
      <c r="L254" s="11"/>
      <c r="M254" s="11"/>
      <c r="N254" s="11"/>
      <c r="O254" s="11"/>
      <c r="P254" s="11"/>
      <c r="Q254" s="11"/>
      <c r="R254" s="11"/>
      <c r="S254" s="11"/>
      <c r="T254" s="11"/>
      <c r="U254" s="11"/>
      <c r="V254" s="11"/>
      <c r="W254" s="11"/>
      <c r="X254" s="11"/>
      <c r="Y254" s="11"/>
      <c r="Z254" s="11"/>
      <c r="AA254" s="11"/>
      <c r="AB254" s="11"/>
    </row>
    <row r="255" spans="3:28" hidden="1" x14ac:dyDescent="0.15">
      <c r="C255" s="740" t="str">
        <f t="shared" si="286"/>
        <v>Investor</v>
      </c>
      <c r="D255" s="708"/>
      <c r="E255" s="708"/>
      <c r="F255" s="9">
        <f ca="1">-F248+F252</f>
        <v>44879.916599999997</v>
      </c>
      <c r="G255" s="9">
        <f t="shared" ref="G255:H255" ca="1" si="287">-G248+G252</f>
        <v>141962.10145377007</v>
      </c>
      <c r="H255" s="9">
        <f t="shared" ca="1" si="287"/>
        <v>4508482.099596044</v>
      </c>
      <c r="I255" s="11"/>
      <c r="J255" s="11"/>
      <c r="K255" s="11"/>
      <c r="L255" s="11"/>
      <c r="M255" s="11"/>
      <c r="N255" s="11"/>
      <c r="O255" s="11"/>
      <c r="P255" s="11"/>
      <c r="Q255" s="11"/>
      <c r="R255" s="11"/>
      <c r="S255" s="11"/>
      <c r="T255" s="11"/>
      <c r="U255" s="11"/>
      <c r="V255" s="11"/>
      <c r="W255" s="11"/>
      <c r="X255" s="11"/>
      <c r="Y255" s="11"/>
      <c r="Z255" s="11"/>
      <c r="AA255" s="11"/>
      <c r="AB255" s="11"/>
    </row>
    <row r="256" spans="3:28" hidden="1" x14ac:dyDescent="0.15">
      <c r="C256" s="740" t="str">
        <f t="shared" si="286"/>
        <v>BVG</v>
      </c>
      <c r="D256" s="708"/>
      <c r="E256" s="708"/>
      <c r="F256" s="9">
        <f ca="1">+F253</f>
        <v>0</v>
      </c>
      <c r="G256" s="9">
        <f t="shared" ref="G256:H256" ca="1" si="288">+G253</f>
        <v>0</v>
      </c>
      <c r="H256" s="9">
        <f t="shared" ca="1" si="288"/>
        <v>1280452.4141740031</v>
      </c>
      <c r="I256" s="11"/>
      <c r="J256" s="11"/>
      <c r="K256" s="11"/>
      <c r="L256" s="11"/>
      <c r="M256" s="11"/>
      <c r="N256" s="11"/>
      <c r="O256" s="11"/>
      <c r="P256" s="11"/>
      <c r="Q256" s="11"/>
      <c r="R256" s="11"/>
      <c r="S256" s="11"/>
      <c r="T256" s="11"/>
      <c r="U256" s="11"/>
      <c r="V256" s="11"/>
      <c r="W256" s="11"/>
      <c r="X256" s="11"/>
      <c r="Y256" s="11"/>
      <c r="Z256" s="11"/>
      <c r="AA256" s="11"/>
      <c r="AB256" s="11"/>
    </row>
    <row r="257" spans="3:28" ht="14" hidden="1" x14ac:dyDescent="0.15">
      <c r="C257" s="125" t="str">
        <f t="shared" si="286"/>
        <v>Total Project Cash Flow</v>
      </c>
      <c r="D257" s="708"/>
      <c r="E257" s="741">
        <f>E240</f>
        <v>-2960000</v>
      </c>
      <c r="F257" s="9">
        <f ca="1">+F255</f>
        <v>44879.916599999997</v>
      </c>
      <c r="G257" s="9">
        <f t="shared" ref="G257:H257" ca="1" si="289">+G255</f>
        <v>141962.10145377007</v>
      </c>
      <c r="H257" s="9">
        <f t="shared" ca="1" si="289"/>
        <v>4508482.099596044</v>
      </c>
      <c r="I257" s="11"/>
      <c r="J257" s="11"/>
      <c r="K257" s="11"/>
      <c r="L257" s="11"/>
      <c r="M257" s="11"/>
      <c r="N257" s="11"/>
      <c r="O257" s="11"/>
      <c r="P257" s="11"/>
      <c r="Q257" s="11"/>
      <c r="R257" s="11"/>
      <c r="S257" s="11"/>
      <c r="T257" s="11"/>
      <c r="U257" s="11"/>
      <c r="V257" s="11"/>
      <c r="W257" s="11"/>
      <c r="X257" s="11"/>
      <c r="Y257" s="11"/>
      <c r="Z257" s="11"/>
      <c r="AA257" s="11"/>
      <c r="AB257" s="11"/>
    </row>
    <row r="258" spans="3:28" hidden="1" x14ac:dyDescent="0.15">
      <c r="C258" s="292"/>
      <c r="D258" s="708"/>
      <c r="E258" s="708"/>
      <c r="F258" s="11"/>
      <c r="G258" s="11"/>
      <c r="H258" s="11"/>
      <c r="I258" s="11"/>
      <c r="J258" s="11"/>
      <c r="K258" s="11"/>
      <c r="L258" s="11"/>
      <c r="M258" s="11"/>
      <c r="N258" s="11"/>
      <c r="O258" s="11"/>
      <c r="P258" s="11"/>
      <c r="Q258" s="11"/>
      <c r="R258" s="11"/>
      <c r="S258" s="11"/>
      <c r="T258" s="11"/>
      <c r="U258" s="11"/>
      <c r="V258" s="11"/>
      <c r="W258" s="11"/>
      <c r="X258" s="11"/>
      <c r="Y258" s="11"/>
      <c r="Z258" s="11"/>
      <c r="AA258" s="11"/>
      <c r="AB258" s="11"/>
    </row>
    <row r="259" spans="3:28" hidden="1" x14ac:dyDescent="0.15">
      <c r="C259" s="7" t="s">
        <v>256</v>
      </c>
      <c r="D259" s="708"/>
      <c r="E259" s="742">
        <f ca="1">IRR(E257:H257)</f>
        <v>0.16960010768573075</v>
      </c>
      <c r="F259" s="11"/>
      <c r="G259" s="11"/>
      <c r="H259" s="11"/>
      <c r="I259" s="11"/>
      <c r="J259" s="11"/>
      <c r="K259" s="11"/>
      <c r="L259" s="11"/>
      <c r="M259" s="11"/>
      <c r="N259" s="11"/>
      <c r="O259" s="11"/>
      <c r="P259" s="11"/>
      <c r="Q259" s="11"/>
      <c r="R259" s="11"/>
      <c r="S259" s="11"/>
      <c r="T259" s="11"/>
      <c r="U259" s="11"/>
      <c r="V259" s="11"/>
      <c r="W259" s="11"/>
      <c r="X259" s="11"/>
      <c r="Y259" s="11"/>
      <c r="Z259" s="11"/>
      <c r="AA259" s="11"/>
      <c r="AB259" s="11"/>
    </row>
    <row r="260" spans="3:28" hidden="1" x14ac:dyDescent="0.15">
      <c r="C260" s="708" t="s">
        <v>257</v>
      </c>
      <c r="D260" s="708"/>
      <c r="E260" s="753">
        <f ca="1">SUM(F257:H257)/-E257</f>
        <v>1.5862581478546669</v>
      </c>
      <c r="F260" s="11"/>
      <c r="G260" s="11"/>
      <c r="H260" s="11"/>
      <c r="I260" s="11"/>
      <c r="J260" s="11"/>
      <c r="K260" s="11"/>
      <c r="L260" s="11"/>
      <c r="M260" s="11"/>
      <c r="N260" s="11"/>
      <c r="O260" s="11"/>
      <c r="P260" s="11"/>
      <c r="Q260" s="11"/>
      <c r="R260" s="11"/>
      <c r="S260" s="11"/>
      <c r="T260" s="11"/>
      <c r="U260" s="11"/>
      <c r="V260" s="11"/>
      <c r="W260" s="11"/>
      <c r="X260" s="11"/>
      <c r="Y260" s="11"/>
      <c r="Z260" s="11"/>
      <c r="AA260" s="11"/>
      <c r="AB260" s="11"/>
    </row>
    <row r="261" spans="3:28" hidden="1" x14ac:dyDescent="0.15">
      <c r="C261" s="708" t="s">
        <v>258</v>
      </c>
      <c r="D261" s="708"/>
      <c r="E261" s="729">
        <f ca="1">SUM(F257:H257)</f>
        <v>4695324.1176498141</v>
      </c>
      <c r="F261" s="11"/>
      <c r="G261" s="11"/>
      <c r="H261" s="11"/>
      <c r="I261" s="11"/>
      <c r="J261" s="11"/>
      <c r="K261" s="11"/>
      <c r="L261" s="11"/>
      <c r="M261" s="11"/>
      <c r="N261" s="11"/>
      <c r="O261" s="11"/>
      <c r="P261" s="11"/>
      <c r="Q261" s="11"/>
      <c r="R261" s="11"/>
      <c r="S261" s="11"/>
      <c r="T261" s="11"/>
      <c r="U261" s="11"/>
      <c r="V261" s="11"/>
      <c r="W261" s="11"/>
      <c r="X261" s="11"/>
      <c r="Y261" s="11"/>
      <c r="Z261" s="11"/>
      <c r="AA261" s="11"/>
      <c r="AB261" s="11"/>
    </row>
    <row r="262" spans="3:28" hidden="1" x14ac:dyDescent="0.15">
      <c r="C262" s="708"/>
      <c r="D262" s="708"/>
      <c r="E262" s="708"/>
      <c r="F262" s="11"/>
      <c r="G262" s="11"/>
      <c r="H262" s="11"/>
      <c r="I262" s="11"/>
      <c r="J262" s="11"/>
      <c r="K262" s="11"/>
      <c r="L262" s="11"/>
      <c r="M262" s="11"/>
      <c r="N262" s="11"/>
      <c r="O262" s="11"/>
      <c r="P262" s="11"/>
      <c r="Q262" s="11"/>
      <c r="R262" s="11"/>
      <c r="S262" s="11"/>
      <c r="T262" s="11"/>
      <c r="U262" s="11"/>
      <c r="V262" s="11"/>
      <c r="W262" s="11"/>
      <c r="X262" s="11"/>
      <c r="Y262" s="11"/>
      <c r="Z262" s="11"/>
      <c r="AA262" s="11"/>
      <c r="AB262" s="11"/>
    </row>
    <row r="263" spans="3:28" hidden="1" x14ac:dyDescent="0.15">
      <c r="C263" s="708"/>
      <c r="D263" s="708"/>
      <c r="E263" s="708"/>
      <c r="F263" s="11"/>
      <c r="G263" s="11"/>
      <c r="H263" s="11"/>
      <c r="I263" s="11"/>
      <c r="J263" s="11"/>
      <c r="K263" s="11"/>
      <c r="L263" s="11"/>
      <c r="M263" s="11"/>
      <c r="N263" s="11"/>
      <c r="O263" s="11"/>
      <c r="P263" s="11"/>
      <c r="Q263" s="11"/>
      <c r="R263" s="11"/>
      <c r="S263" s="11"/>
      <c r="T263" s="11"/>
      <c r="U263" s="11"/>
      <c r="V263" s="11"/>
      <c r="W263" s="11"/>
      <c r="X263" s="11"/>
      <c r="Y263" s="11"/>
      <c r="Z263" s="11"/>
      <c r="AA263" s="11"/>
      <c r="AB263" s="11"/>
    </row>
    <row r="264" spans="3:28" hidden="1" x14ac:dyDescent="0.15"/>
    <row r="265" spans="3:28" ht="15" hidden="1" x14ac:dyDescent="0.2">
      <c r="C265" s="864" t="s">
        <v>259</v>
      </c>
      <c r="D265" s="864"/>
      <c r="E265" s="864"/>
      <c r="F265" s="864"/>
      <c r="G265" s="864"/>
      <c r="H265" s="864"/>
      <c r="I265" s="864"/>
      <c r="J265" s="864"/>
      <c r="K265" s="11"/>
      <c r="L265" s="11"/>
      <c r="M265" s="11"/>
      <c r="N265" s="11"/>
      <c r="O265" s="11"/>
      <c r="P265" s="11"/>
      <c r="Q265" s="11"/>
      <c r="R265" s="11"/>
      <c r="S265" s="11"/>
      <c r="T265" s="11"/>
      <c r="U265" s="11"/>
      <c r="V265" s="708"/>
      <c r="W265" s="708"/>
      <c r="X265" s="708"/>
      <c r="Y265" s="708"/>
      <c r="Z265" s="708"/>
      <c r="AA265" s="708"/>
      <c r="AB265" s="708"/>
    </row>
    <row r="266" spans="3:28" ht="15" hidden="1" x14ac:dyDescent="0.2">
      <c r="C266" s="318"/>
      <c r="D266" s="318"/>
      <c r="E266" s="318"/>
      <c r="F266" s="11" t="s">
        <v>28</v>
      </c>
      <c r="G266" s="11" t="s">
        <v>29</v>
      </c>
      <c r="H266" s="11" t="s">
        <v>30</v>
      </c>
      <c r="I266" s="11" t="s">
        <v>31</v>
      </c>
      <c r="J266" s="11" t="s">
        <v>45</v>
      </c>
      <c r="K266" s="319"/>
      <c r="L266" s="319"/>
      <c r="M266" s="319"/>
      <c r="N266" s="319"/>
      <c r="O266" s="319"/>
      <c r="P266" s="319"/>
      <c r="Q266" s="319"/>
      <c r="R266" s="319"/>
      <c r="S266" s="319"/>
      <c r="T266" s="319"/>
      <c r="U266" s="319"/>
      <c r="V266" s="708"/>
      <c r="W266" s="708"/>
      <c r="X266" s="708"/>
      <c r="Y266" s="708"/>
      <c r="Z266" s="708"/>
      <c r="AA266" s="708"/>
      <c r="AB266" s="708"/>
    </row>
    <row r="267" spans="3:28" hidden="1" x14ac:dyDescent="0.15">
      <c r="C267" s="708" t="s">
        <v>127</v>
      </c>
      <c r="D267" s="708"/>
      <c r="E267" s="708"/>
      <c r="F267" s="11">
        <f ca="1">+F85</f>
        <v>180698.2916</v>
      </c>
      <c r="G267" s="11">
        <f ca="1">+G85</f>
        <v>347780.47645377007</v>
      </c>
      <c r="H267" s="11">
        <f ca="1">+H85</f>
        <v>462978.08278284548</v>
      </c>
      <c r="I267" s="11">
        <f ca="1">+I85</f>
        <v>491178.88123850216</v>
      </c>
      <c r="J267" s="11">
        <f ca="1">+J85</f>
        <v>519603.02718327218</v>
      </c>
      <c r="K267" s="11"/>
      <c r="L267" s="11"/>
      <c r="M267" s="11"/>
      <c r="N267" s="11"/>
      <c r="O267" s="11"/>
      <c r="P267" s="11"/>
      <c r="Q267" s="11"/>
      <c r="R267" s="11"/>
      <c r="S267" s="11"/>
      <c r="T267" s="11"/>
      <c r="U267" s="11"/>
      <c r="V267" s="708"/>
      <c r="W267" s="708"/>
      <c r="X267" s="708"/>
      <c r="Y267" s="708"/>
      <c r="Z267" s="708"/>
      <c r="AA267" s="708"/>
      <c r="AB267" s="708"/>
    </row>
    <row r="268" spans="3:28" hidden="1" x14ac:dyDescent="0.15">
      <c r="C268" s="708"/>
      <c r="D268" s="708"/>
      <c r="E268" s="708"/>
      <c r="F268" s="11"/>
      <c r="G268" s="11"/>
      <c r="H268" s="11"/>
      <c r="I268" s="11"/>
      <c r="J268" s="11"/>
      <c r="K268" s="11"/>
      <c r="L268" s="11"/>
      <c r="M268" s="11"/>
      <c r="N268" s="11"/>
      <c r="O268" s="11"/>
      <c r="P268" s="11"/>
      <c r="Q268" s="11"/>
      <c r="R268" s="11"/>
      <c r="S268" s="11"/>
      <c r="T268" s="11"/>
      <c r="U268" s="11"/>
      <c r="V268" s="708"/>
      <c r="W268" s="708"/>
      <c r="X268" s="708"/>
      <c r="Y268" s="708"/>
      <c r="Z268" s="708"/>
      <c r="AA268" s="708"/>
      <c r="AB268" s="708"/>
    </row>
    <row r="269" spans="3:28" hidden="1" x14ac:dyDescent="0.15">
      <c r="C269" s="7" t="str">
        <f>+C220</f>
        <v>Debt service</v>
      </c>
      <c r="D269" s="708"/>
      <c r="E269" s="708"/>
      <c r="F269" s="11"/>
      <c r="G269" s="11"/>
      <c r="H269" s="11"/>
      <c r="I269" s="11"/>
      <c r="J269" s="11"/>
      <c r="K269" s="11"/>
      <c r="L269" s="11"/>
      <c r="M269" s="11"/>
      <c r="N269" s="11"/>
      <c r="O269" s="11"/>
      <c r="P269" s="11"/>
      <c r="Q269" s="11"/>
      <c r="R269" s="11"/>
      <c r="S269" s="11"/>
      <c r="T269" s="11"/>
      <c r="U269" s="11"/>
      <c r="V269" s="708"/>
      <c r="W269" s="708"/>
      <c r="X269" s="708"/>
      <c r="Y269" s="708"/>
      <c r="Z269" s="708"/>
      <c r="AA269" s="708"/>
      <c r="AB269" s="708"/>
    </row>
    <row r="270" spans="3:28" hidden="1" x14ac:dyDescent="0.15">
      <c r="C270" s="28" t="str">
        <f t="shared" ref="C270:C289" si="290">+C221</f>
        <v>Additional debt/Refinance</v>
      </c>
      <c r="D270" s="708"/>
      <c r="E270" s="708"/>
      <c r="F270" s="741">
        <f t="shared" ref="F270:F275" si="291">F92</f>
        <v>3450000</v>
      </c>
      <c r="G270" s="741">
        <f t="shared" ref="G270:J270" si="292">G92</f>
        <v>3450000</v>
      </c>
      <c r="H270" s="741">
        <f t="shared" si="292"/>
        <v>3450000</v>
      </c>
      <c r="I270" s="741">
        <f t="shared" si="292"/>
        <v>3408515.3495480865</v>
      </c>
      <c r="J270" s="741">
        <f t="shared" si="292"/>
        <v>3364555.8285618383</v>
      </c>
      <c r="K270" s="11"/>
      <c r="L270" s="11"/>
      <c r="M270" s="11"/>
      <c r="N270" s="11"/>
      <c r="O270" s="11"/>
      <c r="P270" s="11"/>
      <c r="Q270" s="11"/>
      <c r="R270" s="11"/>
      <c r="S270" s="11"/>
      <c r="T270" s="11"/>
      <c r="U270" s="11"/>
      <c r="V270" s="708"/>
      <c r="W270" s="708"/>
      <c r="X270" s="708"/>
      <c r="Y270" s="708"/>
      <c r="Z270" s="708"/>
      <c r="AA270" s="708"/>
      <c r="AB270" s="708"/>
    </row>
    <row r="271" spans="3:28" hidden="1" x14ac:dyDescent="0.15">
      <c r="C271" s="717" t="str">
        <f t="shared" si="290"/>
        <v>Additional debt/Refinance</v>
      </c>
      <c r="D271" s="708"/>
      <c r="E271" s="708"/>
      <c r="F271" s="741">
        <f t="shared" si="291"/>
        <v>0</v>
      </c>
      <c r="G271" s="741">
        <f t="shared" ref="G271:J275" si="293">G93</f>
        <v>0</v>
      </c>
      <c r="H271" s="741">
        <f t="shared" si="293"/>
        <v>0</v>
      </c>
      <c r="I271" s="741">
        <f t="shared" si="293"/>
        <v>0</v>
      </c>
      <c r="J271" s="741">
        <f t="shared" si="293"/>
        <v>0</v>
      </c>
      <c r="K271" s="11"/>
      <c r="L271" s="11"/>
      <c r="M271" s="11"/>
      <c r="N271" s="11"/>
      <c r="O271" s="11"/>
      <c r="P271" s="11"/>
      <c r="Q271" s="11"/>
      <c r="R271" s="11"/>
      <c r="S271" s="11"/>
      <c r="T271" s="11"/>
      <c r="U271" s="11"/>
      <c r="V271" s="708"/>
      <c r="W271" s="708"/>
      <c r="X271" s="708"/>
      <c r="Y271" s="708"/>
      <c r="Z271" s="708"/>
      <c r="AA271" s="708"/>
      <c r="AB271" s="708"/>
    </row>
    <row r="272" spans="3:28" hidden="1" x14ac:dyDescent="0.15">
      <c r="C272" s="28" t="str">
        <f t="shared" si="290"/>
        <v>Payment</v>
      </c>
      <c r="D272" s="708"/>
      <c r="E272" s="708"/>
      <c r="F272" s="741">
        <f t="shared" si="291"/>
        <v>205818.375</v>
      </c>
      <c r="G272" s="741">
        <f t="shared" si="293"/>
        <v>205818.375</v>
      </c>
      <c r="H272" s="741">
        <f t="shared" si="293"/>
        <v>247303.02545191324</v>
      </c>
      <c r="I272" s="741">
        <f t="shared" si="293"/>
        <v>247303.02545191324</v>
      </c>
      <c r="J272" s="741">
        <f t="shared" si="293"/>
        <v>247303.02545191324</v>
      </c>
      <c r="K272" s="11"/>
      <c r="L272" s="11"/>
      <c r="M272" s="11"/>
      <c r="N272" s="11"/>
      <c r="O272" s="11"/>
      <c r="P272" s="11"/>
      <c r="Q272" s="11"/>
      <c r="R272" s="11"/>
      <c r="S272" s="11"/>
      <c r="T272" s="11"/>
      <c r="U272" s="11"/>
      <c r="V272" s="708"/>
      <c r="W272" s="708"/>
      <c r="X272" s="708"/>
      <c r="Y272" s="708"/>
      <c r="Z272" s="708"/>
      <c r="AA272" s="708"/>
      <c r="AB272" s="708"/>
    </row>
    <row r="273" spans="3:21" hidden="1" x14ac:dyDescent="0.15">
      <c r="C273" s="28" t="str">
        <f t="shared" si="290"/>
        <v>Principal</v>
      </c>
      <c r="D273" s="708"/>
      <c r="E273" s="708"/>
      <c r="F273" s="741">
        <f t="shared" si="291"/>
        <v>0</v>
      </c>
      <c r="G273" s="741">
        <f t="shared" si="293"/>
        <v>0</v>
      </c>
      <c r="H273" s="741">
        <f t="shared" si="293"/>
        <v>41484.650451913243</v>
      </c>
      <c r="I273" s="741">
        <f t="shared" si="293"/>
        <v>43959.520986248273</v>
      </c>
      <c r="J273" s="741">
        <f t="shared" si="293"/>
        <v>46582.036109485372</v>
      </c>
      <c r="K273" s="11"/>
      <c r="L273" s="11"/>
      <c r="M273" s="11"/>
      <c r="N273" s="11"/>
      <c r="O273" s="11"/>
      <c r="P273" s="11"/>
      <c r="Q273" s="11"/>
      <c r="R273" s="11"/>
      <c r="S273" s="11"/>
      <c r="T273" s="11"/>
      <c r="U273" s="11"/>
    </row>
    <row r="274" spans="3:21" hidden="1" x14ac:dyDescent="0.15">
      <c r="C274" s="28" t="str">
        <f t="shared" si="290"/>
        <v>Interest</v>
      </c>
      <c r="D274" s="708"/>
      <c r="E274" s="708"/>
      <c r="F274" s="741">
        <f t="shared" si="291"/>
        <v>205818.375</v>
      </c>
      <c r="G274" s="741">
        <f t="shared" si="293"/>
        <v>205818.375</v>
      </c>
      <c r="H274" s="741">
        <f t="shared" si="293"/>
        <v>205818.375</v>
      </c>
      <c r="I274" s="741">
        <f t="shared" si="293"/>
        <v>203343.50446566497</v>
      </c>
      <c r="J274" s="741">
        <f t="shared" si="293"/>
        <v>200720.98934242787</v>
      </c>
      <c r="K274" s="11"/>
      <c r="L274" s="11"/>
      <c r="M274" s="11"/>
      <c r="N274" s="11"/>
      <c r="O274" s="11"/>
      <c r="P274" s="11"/>
      <c r="Q274" s="11"/>
      <c r="R274" s="11"/>
      <c r="S274" s="11"/>
      <c r="T274" s="11"/>
      <c r="U274" s="11"/>
    </row>
    <row r="275" spans="3:21" hidden="1" x14ac:dyDescent="0.15">
      <c r="C275" s="28" t="str">
        <f t="shared" si="290"/>
        <v>Ending balance</v>
      </c>
      <c r="D275" s="708"/>
      <c r="E275" s="708"/>
      <c r="F275" s="741">
        <f t="shared" si="291"/>
        <v>3450000</v>
      </c>
      <c r="G275" s="741">
        <f t="shared" si="293"/>
        <v>3450000</v>
      </c>
      <c r="H275" s="741">
        <f t="shared" si="293"/>
        <v>3408515.3495480865</v>
      </c>
      <c r="I275" s="741">
        <f t="shared" si="293"/>
        <v>3364555.8285618383</v>
      </c>
      <c r="J275" s="741">
        <f t="shared" si="293"/>
        <v>3317973.7924523531</v>
      </c>
      <c r="K275" s="11"/>
      <c r="L275" s="11"/>
      <c r="M275" s="11"/>
      <c r="N275" s="11"/>
      <c r="O275" s="11"/>
      <c r="P275" s="11"/>
      <c r="Q275" s="11"/>
      <c r="R275" s="11"/>
      <c r="S275" s="11"/>
      <c r="T275" s="11"/>
      <c r="U275" s="11"/>
    </row>
    <row r="276" spans="3:21" hidden="1" x14ac:dyDescent="0.15">
      <c r="C276" s="708"/>
      <c r="D276" s="708"/>
      <c r="E276" s="708"/>
      <c r="F276" s="741"/>
      <c r="G276" s="741"/>
      <c r="H276" s="741"/>
      <c r="I276" s="11"/>
      <c r="J276" s="11"/>
      <c r="K276" s="11"/>
      <c r="L276" s="11"/>
      <c r="M276" s="11"/>
      <c r="N276" s="11"/>
      <c r="O276" s="11"/>
      <c r="P276" s="11"/>
      <c r="Q276" s="11"/>
      <c r="R276" s="11"/>
      <c r="S276" s="11"/>
      <c r="T276" s="11"/>
      <c r="U276" s="11"/>
    </row>
    <row r="277" spans="3:21" hidden="1" x14ac:dyDescent="0.15">
      <c r="C277" s="283">
        <f t="shared" si="290"/>
        <v>0</v>
      </c>
      <c r="D277" s="708"/>
      <c r="E277" s="708"/>
      <c r="F277" s="741"/>
      <c r="G277" s="741"/>
      <c r="H277" s="741"/>
      <c r="I277" s="11"/>
      <c r="J277" s="11"/>
      <c r="K277" s="11"/>
      <c r="L277" s="11"/>
      <c r="M277" s="11"/>
      <c r="N277" s="11"/>
      <c r="O277" s="11"/>
      <c r="P277" s="11"/>
      <c r="Q277" s="11"/>
      <c r="R277" s="11"/>
      <c r="S277" s="11"/>
      <c r="T277" s="11"/>
      <c r="U277" s="11"/>
    </row>
    <row r="278" spans="3:21" hidden="1" x14ac:dyDescent="0.15">
      <c r="C278" s="708"/>
      <c r="D278" s="708"/>
      <c r="E278" s="708"/>
      <c r="F278" s="741"/>
      <c r="G278" s="741"/>
      <c r="H278" s="741"/>
      <c r="I278" s="11"/>
      <c r="J278" s="11"/>
      <c r="K278" s="11"/>
      <c r="L278" s="11"/>
      <c r="M278" s="11"/>
      <c r="N278" s="11"/>
      <c r="O278" s="11"/>
      <c r="P278" s="11"/>
      <c r="Q278" s="11"/>
      <c r="R278" s="11"/>
      <c r="S278" s="11"/>
      <c r="T278" s="11"/>
      <c r="U278" s="11"/>
    </row>
    <row r="279" spans="3:21" hidden="1" x14ac:dyDescent="0.15">
      <c r="C279" s="32" t="str">
        <f t="shared" si="290"/>
        <v>Refinance Valuation</v>
      </c>
      <c r="D279" s="708"/>
      <c r="E279" s="708"/>
      <c r="F279" s="741">
        <f ca="1">F102</f>
        <v>3613965.8319999999</v>
      </c>
      <c r="G279" s="741">
        <f t="shared" ref="G279:J279" ca="1" si="294">G102</f>
        <v>6955609.5290754009</v>
      </c>
      <c r="H279" s="741">
        <f t="shared" ca="1" si="294"/>
        <v>9259561.6556569096</v>
      </c>
      <c r="I279" s="741">
        <f t="shared" ca="1" si="294"/>
        <v>9823577.6247700434</v>
      </c>
      <c r="J279" s="741">
        <f t="shared" ca="1" si="294"/>
        <v>10392060.543665443</v>
      </c>
      <c r="K279" s="11"/>
      <c r="L279" s="11"/>
      <c r="M279" s="11"/>
      <c r="N279" s="11"/>
      <c r="O279" s="11"/>
      <c r="P279" s="11"/>
      <c r="Q279" s="11"/>
      <c r="R279" s="11"/>
      <c r="S279" s="11"/>
      <c r="T279" s="11"/>
      <c r="U279" s="11"/>
    </row>
    <row r="280" spans="3:21" hidden="1" x14ac:dyDescent="0.15">
      <c r="C280" s="31"/>
      <c r="D280" s="708"/>
      <c r="E280" s="708"/>
      <c r="F280" s="741"/>
      <c r="G280" s="741"/>
      <c r="H280" s="741"/>
      <c r="I280" s="11"/>
      <c r="J280" s="11"/>
      <c r="K280" s="11"/>
      <c r="L280" s="11"/>
      <c r="M280" s="11"/>
      <c r="N280" s="11"/>
      <c r="O280" s="11"/>
      <c r="P280" s="11"/>
      <c r="Q280" s="11"/>
      <c r="R280" s="11"/>
      <c r="S280" s="11"/>
      <c r="T280" s="11"/>
      <c r="U280" s="11"/>
    </row>
    <row r="281" spans="3:21" hidden="1" x14ac:dyDescent="0.15">
      <c r="C281" s="717" t="str">
        <f t="shared" si="290"/>
        <v>Net Cash Flow after Debt Service</v>
      </c>
      <c r="D281" s="708"/>
      <c r="E281" s="708"/>
      <c r="F281" s="741">
        <f ca="1">F104</f>
        <v>-25120.083400000003</v>
      </c>
      <c r="G281" s="741">
        <f t="shared" ref="G281:J281" ca="1" si="295">G104</f>
        <v>141962.10145377007</v>
      </c>
      <c r="H281" s="741">
        <f t="shared" ca="1" si="295"/>
        <v>215675.05733093224</v>
      </c>
      <c r="I281" s="741">
        <f t="shared" ca="1" si="295"/>
        <v>243875.85578658892</v>
      </c>
      <c r="J281" s="741">
        <f t="shared" ca="1" si="295"/>
        <v>272300.00173135893</v>
      </c>
      <c r="K281" s="11"/>
      <c r="L281" s="11"/>
      <c r="M281" s="11"/>
      <c r="N281" s="11"/>
      <c r="O281" s="11"/>
      <c r="P281" s="11"/>
      <c r="Q281" s="11"/>
      <c r="R281" s="11"/>
      <c r="S281" s="11"/>
      <c r="T281" s="11"/>
      <c r="U281" s="11"/>
    </row>
    <row r="282" spans="3:21" hidden="1" x14ac:dyDescent="0.15">
      <c r="C282" s="717" t="str">
        <f t="shared" si="290"/>
        <v>Cash from Sale of POH</v>
      </c>
      <c r="D282" s="708"/>
      <c r="E282" s="708"/>
      <c r="F282" s="741">
        <f>F105</f>
        <v>70000</v>
      </c>
      <c r="G282" s="741">
        <f t="shared" ref="G282:J285" si="296">G105</f>
        <v>0</v>
      </c>
      <c r="H282" s="741">
        <f t="shared" si="296"/>
        <v>0</v>
      </c>
      <c r="I282" s="741">
        <f t="shared" si="296"/>
        <v>0</v>
      </c>
      <c r="J282" s="741">
        <f t="shared" si="296"/>
        <v>0</v>
      </c>
      <c r="K282" s="11"/>
      <c r="L282" s="11"/>
      <c r="M282" s="11"/>
      <c r="N282" s="11"/>
      <c r="O282" s="11"/>
      <c r="P282" s="11"/>
      <c r="Q282" s="11"/>
      <c r="R282" s="11"/>
      <c r="S282" s="11"/>
      <c r="T282" s="11"/>
      <c r="U282" s="11"/>
    </row>
    <row r="283" spans="3:21" hidden="1" x14ac:dyDescent="0.15">
      <c r="C283" s="717" t="str">
        <f t="shared" si="290"/>
        <v>Rental Income from POH</v>
      </c>
      <c r="D283" s="708"/>
      <c r="E283" s="708"/>
      <c r="F283" s="741">
        <f>F106</f>
        <v>0</v>
      </c>
      <c r="G283" s="741">
        <f t="shared" si="296"/>
        <v>0</v>
      </c>
      <c r="H283" s="741">
        <f t="shared" si="296"/>
        <v>0</v>
      </c>
      <c r="I283" s="741">
        <f t="shared" si="296"/>
        <v>0</v>
      </c>
      <c r="J283" s="741">
        <f t="shared" si="296"/>
        <v>0</v>
      </c>
      <c r="K283" s="11"/>
      <c r="L283" s="11"/>
      <c r="M283" s="11"/>
      <c r="N283" s="11"/>
      <c r="O283" s="11"/>
      <c r="P283" s="11"/>
      <c r="Q283" s="11"/>
      <c r="R283" s="11"/>
      <c r="S283" s="11"/>
      <c r="T283" s="11"/>
      <c r="U283" s="11"/>
    </row>
    <row r="284" spans="3:21" hidden="1" x14ac:dyDescent="0.15">
      <c r="C284" s="717" t="str">
        <f t="shared" si="290"/>
        <v>Note Income from POH</v>
      </c>
      <c r="D284" s="708"/>
      <c r="E284" s="708"/>
      <c r="F284" s="741">
        <f>F107</f>
        <v>0</v>
      </c>
      <c r="G284" s="741">
        <f t="shared" si="296"/>
        <v>0</v>
      </c>
      <c r="H284" s="741">
        <f t="shared" si="296"/>
        <v>0</v>
      </c>
      <c r="I284" s="741">
        <f t="shared" si="296"/>
        <v>0</v>
      </c>
      <c r="J284" s="741">
        <f t="shared" si="296"/>
        <v>0</v>
      </c>
      <c r="K284" s="11"/>
      <c r="L284" s="11"/>
      <c r="M284" s="11"/>
      <c r="N284" s="11"/>
      <c r="O284" s="11"/>
      <c r="P284" s="11"/>
      <c r="Q284" s="11"/>
      <c r="R284" s="11"/>
      <c r="S284" s="11"/>
      <c r="T284" s="11"/>
      <c r="U284" s="11"/>
    </row>
    <row r="285" spans="3:21" hidden="1" x14ac:dyDescent="0.15">
      <c r="C285" s="717" t="str">
        <f t="shared" si="290"/>
        <v>POH Seller Carry Note</v>
      </c>
      <c r="D285" s="708"/>
      <c r="E285" s="708"/>
      <c r="F285" s="741">
        <f>F108</f>
        <v>0</v>
      </c>
      <c r="G285" s="741">
        <f t="shared" si="296"/>
        <v>0</v>
      </c>
      <c r="H285" s="741">
        <f t="shared" si="296"/>
        <v>0</v>
      </c>
      <c r="I285" s="741">
        <f t="shared" si="296"/>
        <v>0</v>
      </c>
      <c r="J285" s="741">
        <f t="shared" si="296"/>
        <v>0</v>
      </c>
      <c r="K285" s="11"/>
      <c r="L285" s="11"/>
      <c r="M285" s="11"/>
      <c r="N285" s="11"/>
      <c r="O285" s="11"/>
      <c r="P285" s="11"/>
      <c r="Q285" s="11"/>
      <c r="R285" s="11"/>
      <c r="S285" s="11"/>
      <c r="T285" s="11"/>
      <c r="U285" s="11"/>
    </row>
    <row r="286" spans="3:21" hidden="1" x14ac:dyDescent="0.15">
      <c r="C286" s="717" t="str">
        <f t="shared" si="290"/>
        <v>Return of Capital (other)</v>
      </c>
      <c r="D286" s="708"/>
      <c r="E286" s="708"/>
      <c r="F286" s="741">
        <f t="shared" ref="F286:F287" si="297">F113</f>
        <v>0</v>
      </c>
      <c r="G286" s="741">
        <f t="shared" ref="G286:I287" si="298">G113</f>
        <v>0</v>
      </c>
      <c r="H286" s="741">
        <f t="shared" si="298"/>
        <v>0</v>
      </c>
      <c r="I286" s="741">
        <f t="shared" si="298"/>
        <v>0</v>
      </c>
      <c r="J286" s="741"/>
      <c r="K286" s="11"/>
      <c r="L286" s="11"/>
      <c r="M286" s="11"/>
      <c r="N286" s="11"/>
      <c r="O286" s="11"/>
      <c r="P286" s="11"/>
      <c r="Q286" s="11"/>
      <c r="R286" s="11"/>
      <c r="S286" s="11"/>
      <c r="T286" s="11"/>
      <c r="U286" s="11"/>
    </row>
    <row r="287" spans="3:21" hidden="1" x14ac:dyDescent="0.15">
      <c r="C287" s="717" t="str">
        <f t="shared" si="290"/>
        <v>Sale Proceeds at Exit</v>
      </c>
      <c r="D287" s="708"/>
      <c r="E287" s="708"/>
      <c r="F287" s="741">
        <f t="shared" si="297"/>
        <v>0</v>
      </c>
      <c r="G287" s="741">
        <f t="shared" si="298"/>
        <v>0</v>
      </c>
      <c r="H287" s="741">
        <f t="shared" si="298"/>
        <v>0</v>
      </c>
      <c r="I287" s="741">
        <f t="shared" si="298"/>
        <v>0</v>
      </c>
      <c r="J287" s="741">
        <f ca="1">+(J267/RefiCap)*(1-Cost_of_Sale)</f>
        <v>10080298.727355478</v>
      </c>
      <c r="K287" s="11"/>
      <c r="L287" s="11"/>
      <c r="M287" s="11"/>
      <c r="N287" s="11"/>
      <c r="O287" s="11"/>
      <c r="P287" s="11"/>
      <c r="Q287" s="11"/>
      <c r="R287" s="11"/>
      <c r="S287" s="11"/>
      <c r="T287" s="11"/>
      <c r="U287" s="11"/>
    </row>
    <row r="288" spans="3:21" hidden="1" x14ac:dyDescent="0.15">
      <c r="C288" s="717" t="str">
        <f t="shared" si="290"/>
        <v>Repay Outstanding Loan</v>
      </c>
      <c r="D288" s="708"/>
      <c r="E288" s="708"/>
      <c r="F288" s="741"/>
      <c r="G288" s="741"/>
      <c r="H288" s="741"/>
      <c r="I288" s="741"/>
      <c r="J288" s="741">
        <f>-J275</f>
        <v>-3317973.7924523531</v>
      </c>
      <c r="K288" s="11"/>
      <c r="L288" s="11"/>
      <c r="M288" s="11"/>
      <c r="N288" s="11"/>
      <c r="O288" s="11"/>
      <c r="P288" s="11"/>
      <c r="Q288" s="11"/>
      <c r="R288" s="11"/>
      <c r="S288" s="11"/>
      <c r="T288" s="11"/>
      <c r="U288" s="11"/>
    </row>
    <row r="289" spans="3:28" ht="14" hidden="1" thickBot="1" x14ac:dyDescent="0.2">
      <c r="C289" s="635" t="str">
        <f t="shared" si="290"/>
        <v>Pretax Income Available for Distribution</v>
      </c>
      <c r="D289" s="708"/>
      <c r="E289" s="741">
        <f>E240</f>
        <v>-2960000</v>
      </c>
      <c r="F289" s="741">
        <f ca="1">SUM(F281:F288)</f>
        <v>44879.916599999997</v>
      </c>
      <c r="G289" s="741">
        <f t="shared" ref="G289:J289" ca="1" si="299">SUM(G281:G288)</f>
        <v>141962.10145377007</v>
      </c>
      <c r="H289" s="741">
        <f t="shared" ca="1" si="299"/>
        <v>215675.05733093224</v>
      </c>
      <c r="I289" s="741">
        <f t="shared" ca="1" si="299"/>
        <v>243875.85578658892</v>
      </c>
      <c r="J289" s="741">
        <f t="shared" ca="1" si="299"/>
        <v>7034624.9366344837</v>
      </c>
      <c r="K289" s="11"/>
      <c r="L289" s="11"/>
      <c r="M289" s="11"/>
      <c r="N289" s="11"/>
      <c r="O289" s="11"/>
      <c r="P289" s="11"/>
      <c r="Q289" s="11"/>
      <c r="R289" s="11"/>
      <c r="S289" s="11"/>
      <c r="T289" s="11"/>
      <c r="U289" s="11"/>
      <c r="V289" s="708"/>
      <c r="W289" s="708"/>
      <c r="X289" s="708"/>
      <c r="Y289" s="708"/>
      <c r="Z289" s="708"/>
      <c r="AA289" s="708"/>
      <c r="AB289" s="708"/>
    </row>
    <row r="290" spans="3:28" ht="14" hidden="1" thickTop="1" x14ac:dyDescent="0.15">
      <c r="C290" s="708"/>
      <c r="D290" s="708"/>
      <c r="E290" s="708"/>
      <c r="F290" s="11"/>
      <c r="G290" s="11"/>
      <c r="H290" s="11"/>
      <c r="I290" s="11"/>
      <c r="J290" s="11"/>
      <c r="K290" s="11"/>
      <c r="L290" s="11"/>
      <c r="M290" s="11"/>
      <c r="N290" s="11"/>
      <c r="O290" s="11"/>
      <c r="P290" s="11"/>
      <c r="Q290" s="11"/>
      <c r="R290" s="11"/>
      <c r="S290" s="11"/>
      <c r="T290" s="11"/>
      <c r="U290" s="11"/>
      <c r="V290" s="11"/>
      <c r="W290" s="11"/>
      <c r="X290" s="11"/>
      <c r="Y290" s="11"/>
      <c r="Z290" s="11"/>
      <c r="AA290" s="11"/>
      <c r="AB290" s="11"/>
    </row>
    <row r="291" spans="3:28" hidden="1" x14ac:dyDescent="0.15">
      <c r="C291" s="7" t="s">
        <v>260</v>
      </c>
      <c r="D291" s="708"/>
      <c r="E291" s="742">
        <f ca="1">IRR(E289:J289)</f>
        <v>0.22033318969867199</v>
      </c>
      <c r="F291" s="11"/>
      <c r="G291" s="11"/>
      <c r="H291" s="11"/>
      <c r="I291" s="11"/>
      <c r="J291" s="11"/>
      <c r="K291" s="11"/>
      <c r="L291" s="11"/>
      <c r="M291" s="11"/>
      <c r="N291" s="11"/>
      <c r="O291" s="11"/>
      <c r="P291" s="11"/>
      <c r="Q291" s="11"/>
      <c r="R291" s="11"/>
      <c r="S291" s="11"/>
      <c r="T291" s="11"/>
      <c r="U291" s="11"/>
      <c r="V291" s="11"/>
      <c r="W291" s="11"/>
      <c r="X291" s="11"/>
      <c r="Y291" s="11"/>
      <c r="Z291" s="11"/>
      <c r="AA291" s="11"/>
      <c r="AB291" s="11"/>
    </row>
    <row r="292" spans="3:28" hidden="1" x14ac:dyDescent="0.15">
      <c r="C292" s="717"/>
      <c r="D292" s="708"/>
      <c r="E292" s="708"/>
      <c r="F292" s="11"/>
      <c r="G292" s="11"/>
      <c r="H292" s="11"/>
      <c r="I292" s="11"/>
      <c r="J292" s="11"/>
      <c r="K292" s="11"/>
      <c r="L292" s="11"/>
      <c r="M292" s="11"/>
      <c r="N292" s="11"/>
      <c r="O292" s="11"/>
      <c r="P292" s="11"/>
      <c r="Q292" s="11"/>
      <c r="R292" s="11"/>
      <c r="S292" s="11"/>
      <c r="T292" s="11"/>
      <c r="U292" s="11"/>
      <c r="V292" s="11"/>
      <c r="W292" s="11"/>
      <c r="X292" s="11"/>
      <c r="Y292" s="11"/>
      <c r="Z292" s="11"/>
      <c r="AA292" s="11"/>
      <c r="AB292" s="11"/>
    </row>
    <row r="293" spans="3:28" hidden="1" x14ac:dyDescent="0.15">
      <c r="C293" s="7" t="str">
        <f t="shared" ref="C293:C306" si="300">+C244</f>
        <v>Distributions</v>
      </c>
      <c r="D293" s="708"/>
      <c r="E293" s="708"/>
      <c r="F293" s="9"/>
      <c r="G293" s="11"/>
      <c r="H293" s="11"/>
      <c r="I293" s="11"/>
      <c r="J293" s="11"/>
      <c r="K293" s="11"/>
      <c r="L293" s="11"/>
      <c r="M293" s="11"/>
      <c r="N293" s="11"/>
      <c r="O293" s="11"/>
      <c r="P293" s="11"/>
      <c r="Q293" s="11"/>
      <c r="R293" s="11"/>
      <c r="S293" s="11"/>
      <c r="T293" s="11"/>
      <c r="U293" s="11"/>
      <c r="V293" s="11"/>
      <c r="W293" s="11"/>
      <c r="X293" s="11"/>
      <c r="Y293" s="11"/>
      <c r="Z293" s="11"/>
      <c r="AA293" s="11"/>
      <c r="AB293" s="11"/>
    </row>
    <row r="294" spans="3:28" hidden="1" x14ac:dyDescent="0.15">
      <c r="C294" s="717" t="str">
        <f t="shared" si="300"/>
        <v>Investor Preferred Return</v>
      </c>
      <c r="D294" s="708"/>
      <c r="E294" s="708"/>
      <c r="F294" s="9"/>
      <c r="G294" s="11"/>
      <c r="H294" s="11"/>
      <c r="I294" s="11"/>
      <c r="J294" s="11"/>
      <c r="K294" s="11"/>
      <c r="L294" s="11"/>
      <c r="M294" s="11"/>
      <c r="N294" s="11"/>
      <c r="O294" s="11"/>
      <c r="P294" s="11"/>
      <c r="Q294" s="11"/>
      <c r="R294" s="11"/>
      <c r="S294" s="11"/>
      <c r="T294" s="11"/>
      <c r="U294" s="11"/>
      <c r="V294" s="11"/>
      <c r="W294" s="11"/>
      <c r="X294" s="11"/>
      <c r="Y294" s="11"/>
      <c r="Z294" s="11"/>
      <c r="AA294" s="11"/>
      <c r="AB294" s="11"/>
    </row>
    <row r="295" spans="3:28" hidden="1" x14ac:dyDescent="0.15">
      <c r="C295" s="19" t="str">
        <f t="shared" si="300"/>
        <v>Beginning balance</v>
      </c>
      <c r="D295" s="708"/>
      <c r="E295" s="708"/>
      <c r="F295" s="9">
        <f>-E289</f>
        <v>2960000</v>
      </c>
      <c r="G295" s="9">
        <f ca="1">+F298</f>
        <v>3063120.0833999999</v>
      </c>
      <c r="H295" s="9">
        <f t="shared" ref="H295:J295" ca="1" si="301">+G298</f>
        <v>3074313.98611623</v>
      </c>
      <c r="I295" s="9">
        <f t="shared" ca="1" si="301"/>
        <v>3012354.628091109</v>
      </c>
      <c r="J295" s="9">
        <f t="shared" ca="1" si="301"/>
        <v>2919096.5037090755</v>
      </c>
      <c r="K295" s="11"/>
      <c r="L295" s="11"/>
      <c r="M295" s="11"/>
      <c r="N295" s="11"/>
      <c r="O295" s="11"/>
      <c r="P295" s="11"/>
      <c r="Q295" s="11"/>
      <c r="R295" s="11"/>
      <c r="S295" s="11"/>
      <c r="T295" s="11"/>
      <c r="U295" s="11"/>
      <c r="V295" s="11"/>
      <c r="W295" s="11"/>
      <c r="X295" s="11"/>
      <c r="Y295" s="11"/>
      <c r="Z295" s="11"/>
      <c r="AA295" s="11"/>
      <c r="AB295" s="11"/>
    </row>
    <row r="296" spans="3:28" hidden="1" x14ac:dyDescent="0.15">
      <c r="C296" s="19" t="str">
        <f t="shared" si="300"/>
        <v>Preferred return</v>
      </c>
      <c r="D296" s="708"/>
      <c r="E296" s="708"/>
      <c r="F296" s="9">
        <f>+F295*InvestorPref</f>
        <v>148000</v>
      </c>
      <c r="G296" s="9">
        <f ca="1">+G295*InvestorPref</f>
        <v>153156.00417</v>
      </c>
      <c r="H296" s="9">
        <f ca="1">+H295*InvestorPref</f>
        <v>153715.69930581152</v>
      </c>
      <c r="I296" s="9">
        <f ca="1">+I295*InvestorPref</f>
        <v>150617.73140455547</v>
      </c>
      <c r="J296" s="9">
        <f ca="1">+J295*InvestorPref</f>
        <v>145954.82518545378</v>
      </c>
      <c r="K296" s="11"/>
      <c r="L296" s="11"/>
      <c r="M296" s="11"/>
      <c r="N296" s="11"/>
      <c r="O296" s="11"/>
      <c r="P296" s="11"/>
      <c r="Q296" s="11"/>
      <c r="R296" s="11"/>
      <c r="S296" s="11"/>
      <c r="T296" s="11"/>
      <c r="U296" s="11"/>
      <c r="V296" s="11"/>
      <c r="W296" s="11"/>
      <c r="X296" s="11"/>
      <c r="Y296" s="11"/>
      <c r="Z296" s="11"/>
      <c r="AA296" s="11"/>
      <c r="AB296" s="11"/>
    </row>
    <row r="297" spans="3:28" hidden="1" x14ac:dyDescent="0.15">
      <c r="C297" s="19" t="str">
        <f t="shared" si="300"/>
        <v>Payment</v>
      </c>
      <c r="D297" s="708"/>
      <c r="E297" s="708"/>
      <c r="F297" s="9">
        <f ca="1">MAX(-F295-F296,-F289)</f>
        <v>-44879.916599999997</v>
      </c>
      <c r="G297" s="9">
        <f t="shared" ref="G297:J297" ca="1" si="302">MAX(-G295-G296,-G289)</f>
        <v>-141962.10145377007</v>
      </c>
      <c r="H297" s="9">
        <f t="shared" ca="1" si="302"/>
        <v>-215675.05733093224</v>
      </c>
      <c r="I297" s="9">
        <f t="shared" ca="1" si="302"/>
        <v>-243875.85578658892</v>
      </c>
      <c r="J297" s="9">
        <f t="shared" ca="1" si="302"/>
        <v>-3065051.3288945295</v>
      </c>
      <c r="K297" s="11"/>
      <c r="L297" s="11"/>
      <c r="M297" s="11"/>
      <c r="N297" s="11"/>
      <c r="O297" s="11"/>
      <c r="P297" s="11"/>
      <c r="Q297" s="11"/>
      <c r="R297" s="11"/>
      <c r="S297" s="11"/>
      <c r="T297" s="11"/>
      <c r="U297" s="11"/>
      <c r="V297" s="11"/>
      <c r="W297" s="11"/>
      <c r="X297" s="11"/>
      <c r="Y297" s="11"/>
      <c r="Z297" s="11"/>
      <c r="AA297" s="11"/>
      <c r="AB297" s="11"/>
    </row>
    <row r="298" spans="3:28" hidden="1" x14ac:dyDescent="0.15">
      <c r="C298" s="19" t="str">
        <f t="shared" si="300"/>
        <v>Ending balance</v>
      </c>
      <c r="D298" s="708"/>
      <c r="E298" s="708"/>
      <c r="F298" s="818">
        <f ca="1">SUM(F295:F297)</f>
        <v>3063120.0833999999</v>
      </c>
      <c r="G298" s="818">
        <f t="shared" ref="G298:J298" ca="1" si="303">SUM(G295:G297)</f>
        <v>3074313.98611623</v>
      </c>
      <c r="H298" s="818">
        <f t="shared" ca="1" si="303"/>
        <v>3012354.628091109</v>
      </c>
      <c r="I298" s="818">
        <f t="shared" ca="1" si="303"/>
        <v>2919096.5037090755</v>
      </c>
      <c r="J298" s="818">
        <f t="shared" ca="1" si="303"/>
        <v>0</v>
      </c>
      <c r="K298" s="11"/>
      <c r="L298" s="11"/>
      <c r="M298" s="11"/>
      <c r="N298" s="11"/>
      <c r="O298" s="11"/>
      <c r="P298" s="11"/>
      <c r="Q298" s="11"/>
      <c r="R298" s="11"/>
      <c r="S298" s="11"/>
      <c r="T298" s="11"/>
      <c r="U298" s="11"/>
      <c r="V298" s="11"/>
      <c r="W298" s="11"/>
      <c r="X298" s="11"/>
      <c r="Y298" s="11"/>
      <c r="Z298" s="11"/>
      <c r="AA298" s="11"/>
      <c r="AB298" s="11"/>
    </row>
    <row r="299" spans="3:28" hidden="1" x14ac:dyDescent="0.15">
      <c r="C299" s="717" t="str">
        <f t="shared" si="300"/>
        <v>Available After Pref / Return Of Capital</v>
      </c>
      <c r="D299" s="708"/>
      <c r="E299" s="708"/>
      <c r="F299" s="9">
        <f ca="1">+F289+F297</f>
        <v>0</v>
      </c>
      <c r="G299" s="9">
        <f t="shared" ref="G299:J299" ca="1" si="304">+G289+G297</f>
        <v>0</v>
      </c>
      <c r="H299" s="9">
        <f t="shared" ca="1" si="304"/>
        <v>0</v>
      </c>
      <c r="I299" s="9">
        <f t="shared" ca="1" si="304"/>
        <v>0</v>
      </c>
      <c r="J299" s="9">
        <f t="shared" ca="1" si="304"/>
        <v>3969573.6077399543</v>
      </c>
      <c r="K299" s="11"/>
      <c r="L299" s="11"/>
      <c r="M299" s="11"/>
      <c r="N299" s="11"/>
      <c r="O299" s="11"/>
      <c r="P299" s="11"/>
      <c r="Q299" s="11"/>
      <c r="R299" s="11"/>
      <c r="S299" s="11"/>
      <c r="T299" s="11"/>
      <c r="U299" s="11"/>
      <c r="V299" s="11"/>
      <c r="W299" s="11"/>
      <c r="X299" s="11"/>
      <c r="Y299" s="11"/>
      <c r="Z299" s="11"/>
      <c r="AA299" s="11"/>
      <c r="AB299" s="11"/>
    </row>
    <row r="300" spans="3:28" hidden="1" x14ac:dyDescent="0.15">
      <c r="C300" s="37" t="str">
        <f t="shared" si="300"/>
        <v>Split</v>
      </c>
      <c r="D300" s="708"/>
      <c r="E300" s="708"/>
      <c r="F300" s="9"/>
      <c r="G300" s="9"/>
      <c r="H300" s="9"/>
      <c r="I300" s="11"/>
      <c r="J300" s="11"/>
      <c r="K300" s="11"/>
      <c r="L300" s="11"/>
      <c r="M300" s="11"/>
      <c r="N300" s="11"/>
      <c r="O300" s="11"/>
      <c r="P300" s="11"/>
      <c r="Q300" s="11"/>
      <c r="R300" s="11"/>
      <c r="S300" s="11"/>
      <c r="T300" s="11"/>
      <c r="U300" s="11"/>
      <c r="V300" s="11"/>
      <c r="W300" s="11"/>
      <c r="X300" s="11"/>
      <c r="Y300" s="11"/>
      <c r="Z300" s="11"/>
      <c r="AA300" s="11"/>
      <c r="AB300" s="11"/>
    </row>
    <row r="301" spans="3:28" hidden="1" x14ac:dyDescent="0.15">
      <c r="C301" s="740" t="str">
        <f t="shared" si="300"/>
        <v>Investor</v>
      </c>
      <c r="D301" s="708"/>
      <c r="E301" s="708"/>
      <c r="F301" s="9">
        <f ca="1">+F299*InvestorPromote</f>
        <v>0</v>
      </c>
      <c r="G301" s="9">
        <f ca="1">+G299*InvestorPromote</f>
        <v>0</v>
      </c>
      <c r="H301" s="9">
        <f ca="1">+H299*InvestorPromote</f>
        <v>0</v>
      </c>
      <c r="I301" s="9">
        <f ca="1">+I299*InvestorPromote</f>
        <v>0</v>
      </c>
      <c r="J301" s="9">
        <f ca="1">+J299*InvestorPromote</f>
        <v>1984786.8038699771</v>
      </c>
      <c r="K301" s="11"/>
      <c r="L301" s="11"/>
      <c r="M301" s="11"/>
      <c r="N301" s="11"/>
      <c r="O301" s="11"/>
      <c r="P301" s="11"/>
      <c r="Q301" s="11"/>
      <c r="R301" s="11"/>
      <c r="S301" s="11"/>
      <c r="T301" s="11"/>
      <c r="U301" s="11"/>
      <c r="V301" s="11"/>
      <c r="W301" s="11"/>
      <c r="X301" s="11"/>
      <c r="Y301" s="11"/>
      <c r="Z301" s="11"/>
      <c r="AA301" s="11"/>
      <c r="AB301" s="11"/>
    </row>
    <row r="302" spans="3:28" hidden="1" x14ac:dyDescent="0.15">
      <c r="C302" s="740" t="str">
        <f t="shared" si="300"/>
        <v>BVG</v>
      </c>
      <c r="D302" s="708"/>
      <c r="E302" s="708"/>
      <c r="F302" s="9">
        <f ca="1">+F299*BVGPromote</f>
        <v>0</v>
      </c>
      <c r="G302" s="9">
        <f ca="1">+G299*BVGPromote</f>
        <v>0</v>
      </c>
      <c r="H302" s="9">
        <f ca="1">+H299*BVGPromote</f>
        <v>0</v>
      </c>
      <c r="I302" s="9">
        <f ca="1">+I299*BVGPromote</f>
        <v>0</v>
      </c>
      <c r="J302" s="9">
        <f ca="1">+J299*BVGPromote</f>
        <v>1984786.8038699771</v>
      </c>
      <c r="K302" s="11"/>
      <c r="L302" s="11"/>
      <c r="M302" s="11"/>
      <c r="N302" s="11"/>
      <c r="O302" s="11"/>
      <c r="P302" s="11"/>
      <c r="Q302" s="11"/>
      <c r="R302" s="11"/>
      <c r="S302" s="11"/>
      <c r="T302" s="11"/>
      <c r="U302" s="11"/>
      <c r="V302" s="11"/>
      <c r="W302" s="11"/>
      <c r="X302" s="11"/>
      <c r="Y302" s="11"/>
      <c r="Z302" s="11"/>
      <c r="AA302" s="11"/>
      <c r="AB302" s="11"/>
    </row>
    <row r="303" spans="3:28" hidden="1" x14ac:dyDescent="0.15">
      <c r="C303" s="37" t="str">
        <f t="shared" si="300"/>
        <v>Total</v>
      </c>
      <c r="D303" s="708"/>
      <c r="E303" s="708"/>
      <c r="F303" s="9"/>
      <c r="G303" s="9"/>
      <c r="H303" s="9"/>
      <c r="I303" s="11"/>
      <c r="J303" s="11"/>
      <c r="K303" s="11"/>
      <c r="L303" s="11"/>
      <c r="M303" s="11"/>
      <c r="N303" s="11"/>
      <c r="O303" s="11"/>
      <c r="P303" s="11"/>
      <c r="Q303" s="11"/>
      <c r="R303" s="11"/>
      <c r="S303" s="11"/>
      <c r="T303" s="11"/>
      <c r="U303" s="11"/>
      <c r="V303" s="11"/>
      <c r="W303" s="11"/>
      <c r="X303" s="11"/>
      <c r="Y303" s="11"/>
      <c r="Z303" s="11"/>
      <c r="AA303" s="11"/>
      <c r="AB303" s="11"/>
    </row>
    <row r="304" spans="3:28" hidden="1" x14ac:dyDescent="0.15">
      <c r="C304" s="740" t="str">
        <f t="shared" si="300"/>
        <v>Investor</v>
      </c>
      <c r="D304" s="708"/>
      <c r="E304" s="708"/>
      <c r="F304" s="9">
        <f ca="1">-F297+F301</f>
        <v>44879.916599999997</v>
      </c>
      <c r="G304" s="9">
        <f t="shared" ref="G304:H304" ca="1" si="305">-G297+G301</f>
        <v>141962.10145377007</v>
      </c>
      <c r="H304" s="9">
        <f t="shared" ca="1" si="305"/>
        <v>215675.05733093224</v>
      </c>
      <c r="I304" s="9">
        <f t="shared" ref="I304:J304" ca="1" si="306">-I297+I301</f>
        <v>243875.85578658892</v>
      </c>
      <c r="J304" s="9">
        <f t="shared" ca="1" si="306"/>
        <v>5049838.1327645071</v>
      </c>
      <c r="K304" s="11"/>
      <c r="L304" s="11"/>
      <c r="M304" s="11"/>
      <c r="N304" s="11"/>
      <c r="O304" s="11"/>
      <c r="P304" s="11"/>
      <c r="Q304" s="11"/>
      <c r="R304" s="11"/>
      <c r="S304" s="11"/>
      <c r="T304" s="11"/>
      <c r="U304" s="11"/>
      <c r="V304" s="11"/>
      <c r="W304" s="11"/>
      <c r="X304" s="11"/>
      <c r="Y304" s="11"/>
      <c r="Z304" s="11"/>
      <c r="AA304" s="11"/>
      <c r="AB304" s="11"/>
    </row>
    <row r="305" spans="3:28" hidden="1" x14ac:dyDescent="0.15">
      <c r="C305" s="740" t="str">
        <f t="shared" si="300"/>
        <v>BVG</v>
      </c>
      <c r="D305" s="708"/>
      <c r="E305" s="708"/>
      <c r="F305" s="9">
        <f ca="1">+F302</f>
        <v>0</v>
      </c>
      <c r="G305" s="9">
        <f t="shared" ref="G305:H305" ca="1" si="307">+G302</f>
        <v>0</v>
      </c>
      <c r="H305" s="9">
        <f t="shared" ca="1" si="307"/>
        <v>0</v>
      </c>
      <c r="I305" s="9">
        <f t="shared" ref="I305:J305" ca="1" si="308">+I302</f>
        <v>0</v>
      </c>
      <c r="J305" s="9">
        <f t="shared" ca="1" si="308"/>
        <v>1984786.8038699771</v>
      </c>
      <c r="K305" s="11"/>
      <c r="L305" s="11"/>
      <c r="M305" s="11"/>
      <c r="N305" s="11"/>
      <c r="O305" s="11"/>
      <c r="P305" s="11"/>
      <c r="Q305" s="11"/>
      <c r="R305" s="11"/>
      <c r="S305" s="11"/>
      <c r="T305" s="11"/>
      <c r="U305" s="11"/>
      <c r="V305" s="11"/>
      <c r="W305" s="11"/>
      <c r="X305" s="11"/>
      <c r="Y305" s="11"/>
      <c r="Z305" s="11"/>
      <c r="AA305" s="11"/>
      <c r="AB305" s="11"/>
    </row>
    <row r="306" spans="3:28" ht="14" hidden="1" x14ac:dyDescent="0.15">
      <c r="C306" s="125" t="str">
        <f t="shared" si="300"/>
        <v>Total Project Cash Flow</v>
      </c>
      <c r="D306" s="708"/>
      <c r="E306" s="741">
        <f>E289</f>
        <v>-2960000</v>
      </c>
      <c r="F306" s="9">
        <f ca="1">+F304</f>
        <v>44879.916599999997</v>
      </c>
      <c r="G306" s="9">
        <f t="shared" ref="G306:H306" ca="1" si="309">+G304</f>
        <v>141962.10145377007</v>
      </c>
      <c r="H306" s="9">
        <f t="shared" ca="1" si="309"/>
        <v>215675.05733093224</v>
      </c>
      <c r="I306" s="9">
        <f t="shared" ref="I306:J306" ca="1" si="310">+I304</f>
        <v>243875.85578658892</v>
      </c>
      <c r="J306" s="9">
        <f t="shared" ca="1" si="310"/>
        <v>5049838.1327645071</v>
      </c>
      <c r="K306" s="11"/>
      <c r="L306" s="11"/>
      <c r="M306" s="11"/>
      <c r="N306" s="11"/>
      <c r="O306" s="11"/>
      <c r="P306" s="11"/>
      <c r="Q306" s="11"/>
      <c r="R306" s="11"/>
      <c r="S306" s="11"/>
      <c r="T306" s="11"/>
      <c r="U306" s="11"/>
      <c r="V306" s="11"/>
      <c r="W306" s="11"/>
      <c r="X306" s="11"/>
      <c r="Y306" s="11"/>
      <c r="Z306" s="11"/>
      <c r="AA306" s="11"/>
      <c r="AB306" s="11"/>
    </row>
    <row r="307" spans="3:28" hidden="1" x14ac:dyDescent="0.15">
      <c r="C307" s="708"/>
      <c r="D307" s="708"/>
      <c r="E307" s="708"/>
      <c r="F307" s="11"/>
      <c r="G307" s="11"/>
      <c r="H307" s="11"/>
      <c r="I307" s="11"/>
      <c r="J307" s="11"/>
      <c r="K307" s="11"/>
      <c r="L307" s="11"/>
      <c r="M307" s="11"/>
      <c r="N307" s="11"/>
      <c r="O307" s="11"/>
      <c r="P307" s="11"/>
      <c r="Q307" s="11"/>
      <c r="R307" s="11"/>
      <c r="S307" s="11"/>
      <c r="T307" s="11"/>
      <c r="U307" s="11"/>
      <c r="V307" s="11"/>
      <c r="W307" s="11"/>
      <c r="X307" s="11"/>
      <c r="Y307" s="11"/>
      <c r="Z307" s="11"/>
      <c r="AA307" s="11"/>
      <c r="AB307" s="11"/>
    </row>
    <row r="308" spans="3:28" hidden="1" x14ac:dyDescent="0.15">
      <c r="C308" s="708" t="s">
        <v>261</v>
      </c>
      <c r="D308" s="708"/>
      <c r="E308" s="742">
        <f ca="1">IRR(E306:J306)</f>
        <v>0.14819687023826189</v>
      </c>
      <c r="F308" s="11"/>
      <c r="G308" s="11"/>
      <c r="H308" s="11"/>
      <c r="I308" s="11"/>
      <c r="J308" s="11"/>
      <c r="K308" s="11"/>
      <c r="L308" s="11"/>
      <c r="M308" s="11"/>
      <c r="N308" s="11"/>
      <c r="O308" s="11"/>
      <c r="P308" s="11"/>
      <c r="Q308" s="11"/>
      <c r="R308" s="11"/>
      <c r="S308" s="11"/>
      <c r="T308" s="11"/>
      <c r="U308" s="11"/>
      <c r="V308" s="11"/>
      <c r="W308" s="11"/>
      <c r="X308" s="11"/>
      <c r="Y308" s="11"/>
      <c r="Z308" s="11"/>
      <c r="AA308" s="11"/>
      <c r="AB308" s="11"/>
    </row>
    <row r="309" spans="3:28" hidden="1" x14ac:dyDescent="0.15">
      <c r="C309" s="708" t="str">
        <f>+C260</f>
        <v>Investor Multiple</v>
      </c>
      <c r="D309" s="708"/>
      <c r="E309" s="753">
        <f ca="1">SUM(F306:J306)/-E306</f>
        <v>1.9244023864647968</v>
      </c>
      <c r="F309" s="11"/>
      <c r="G309" s="11"/>
      <c r="H309" s="11"/>
      <c r="I309" s="11"/>
      <c r="J309" s="11"/>
      <c r="K309" s="11"/>
      <c r="L309" s="11"/>
      <c r="M309" s="11"/>
      <c r="N309" s="11"/>
      <c r="O309" s="11"/>
      <c r="P309" s="11"/>
      <c r="Q309" s="11"/>
      <c r="R309" s="11"/>
      <c r="S309" s="11"/>
      <c r="T309" s="11"/>
      <c r="U309" s="11"/>
      <c r="V309" s="11"/>
      <c r="W309" s="11"/>
      <c r="X309" s="11"/>
      <c r="Y309" s="11"/>
      <c r="Z309" s="11"/>
      <c r="AA309" s="11"/>
      <c r="AB309" s="11"/>
    </row>
    <row r="310" spans="3:28" hidden="1" x14ac:dyDescent="0.15">
      <c r="C310" s="708" t="str">
        <f>+C261</f>
        <v>investor cash</v>
      </c>
      <c r="D310" s="708"/>
      <c r="E310" s="729">
        <f ca="1">SUM(F306:J306)</f>
        <v>5696231.0639357986</v>
      </c>
      <c r="F310" s="11"/>
      <c r="G310" s="11"/>
      <c r="H310" s="11"/>
      <c r="I310" s="11"/>
      <c r="J310" s="11"/>
      <c r="K310" s="11"/>
      <c r="L310" s="11"/>
      <c r="M310" s="11"/>
      <c r="N310" s="11"/>
      <c r="O310" s="11"/>
      <c r="P310" s="11"/>
      <c r="Q310" s="11"/>
      <c r="R310" s="11"/>
      <c r="S310" s="11"/>
      <c r="T310" s="11"/>
      <c r="U310" s="11"/>
      <c r="V310" s="11"/>
      <c r="W310" s="11"/>
      <c r="X310" s="11"/>
      <c r="Y310" s="11"/>
      <c r="Z310" s="11"/>
      <c r="AA310" s="11"/>
      <c r="AB310" s="11"/>
    </row>
    <row r="311" spans="3:28" hidden="1" x14ac:dyDescent="0.15">
      <c r="C311" s="708" t="s">
        <v>262</v>
      </c>
      <c r="E311" s="729">
        <f ca="1">SUM(F305:J305)</f>
        <v>1984786.8038699771</v>
      </c>
      <c r="F311" s="708"/>
      <c r="G311" s="708"/>
      <c r="H311" s="708"/>
      <c r="I311" s="708"/>
      <c r="J311" s="708"/>
      <c r="K311" s="708"/>
      <c r="L311" s="708"/>
      <c r="M311" s="708"/>
      <c r="N311" s="708"/>
      <c r="O311" s="708"/>
      <c r="P311" s="708"/>
      <c r="Q311" s="708"/>
      <c r="R311" s="708"/>
      <c r="S311" s="708"/>
      <c r="T311" s="708"/>
      <c r="U311" s="708"/>
      <c r="V311" s="708"/>
      <c r="W311" s="708"/>
      <c r="X311" s="708"/>
      <c r="Y311" s="708"/>
      <c r="Z311" s="708"/>
      <c r="AA311" s="708"/>
      <c r="AB311" s="708"/>
    </row>
    <row r="312" spans="3:28" hidden="1" x14ac:dyDescent="0.15"/>
    <row r="313" spans="3:28" ht="12" hidden="1" customHeight="1" x14ac:dyDescent="0.15">
      <c r="C313" s="708"/>
      <c r="E313" s="708"/>
      <c r="F313" s="708"/>
      <c r="G313" s="708"/>
      <c r="H313" s="708"/>
      <c r="I313" s="708"/>
      <c r="J313" s="708"/>
      <c r="K313" s="708"/>
      <c r="L313" s="708"/>
      <c r="M313" s="708"/>
      <c r="N313" s="708"/>
      <c r="O313" s="708"/>
      <c r="P313" s="708"/>
      <c r="Q313" s="708"/>
      <c r="R313" s="708"/>
      <c r="S313" s="708"/>
      <c r="T313" s="708"/>
      <c r="U313" s="708"/>
      <c r="V313" s="708"/>
      <c r="W313" s="708"/>
      <c r="X313" s="708"/>
      <c r="Y313" s="708"/>
      <c r="Z313" s="708"/>
      <c r="AA313" s="708"/>
      <c r="AB313" s="708"/>
    </row>
    <row r="314" spans="3:28" ht="15" hidden="1" x14ac:dyDescent="0.2">
      <c r="C314" s="864" t="s">
        <v>263</v>
      </c>
      <c r="D314" s="864"/>
      <c r="E314" s="864"/>
      <c r="F314" s="864"/>
      <c r="G314" s="864"/>
      <c r="H314" s="864"/>
      <c r="I314" s="864"/>
      <c r="J314" s="864"/>
      <c r="K314" s="864"/>
      <c r="L314" s="864"/>
      <c r="M314" s="864"/>
      <c r="N314" s="864"/>
      <c r="O314" s="864"/>
      <c r="P314" s="11"/>
      <c r="Q314" s="11"/>
      <c r="R314" s="11"/>
      <c r="S314" s="11"/>
      <c r="T314" s="11"/>
      <c r="U314" s="11"/>
      <c r="V314" s="708"/>
      <c r="W314" s="708"/>
      <c r="X314" s="708"/>
      <c r="Y314" s="708"/>
      <c r="Z314" s="708"/>
      <c r="AA314" s="708"/>
      <c r="AB314" s="708"/>
    </row>
    <row r="315" spans="3:28" ht="15" hidden="1" x14ac:dyDescent="0.2">
      <c r="C315" s="318"/>
      <c r="D315" s="318"/>
      <c r="E315" s="318"/>
      <c r="F315" s="11" t="s">
        <v>28</v>
      </c>
      <c r="G315" s="11" t="s">
        <v>29</v>
      </c>
      <c r="H315" s="11" t="s">
        <v>30</v>
      </c>
      <c r="I315" s="11" t="s">
        <v>31</v>
      </c>
      <c r="J315" s="11" t="s">
        <v>45</v>
      </c>
      <c r="K315" s="11" t="s">
        <v>46</v>
      </c>
      <c r="L315" s="11" t="s">
        <v>264</v>
      </c>
      <c r="M315" s="11" t="s">
        <v>265</v>
      </c>
      <c r="N315" s="11" t="s">
        <v>266</v>
      </c>
      <c r="O315" s="11" t="s">
        <v>267</v>
      </c>
      <c r="P315" s="319"/>
      <c r="Q315" s="319"/>
      <c r="R315" s="319"/>
      <c r="S315" s="319"/>
      <c r="T315" s="319"/>
      <c r="U315" s="319"/>
      <c r="V315" s="708"/>
      <c r="W315" s="708"/>
      <c r="X315" s="708"/>
      <c r="Y315" s="708"/>
      <c r="Z315" s="708"/>
      <c r="AA315" s="708"/>
      <c r="AB315" s="708"/>
    </row>
    <row r="316" spans="3:28" hidden="1" x14ac:dyDescent="0.15">
      <c r="C316" s="708" t="s">
        <v>127</v>
      </c>
      <c r="D316" s="708"/>
      <c r="E316" s="708"/>
      <c r="F316" s="9">
        <f ca="1">+F85</f>
        <v>180698.2916</v>
      </c>
      <c r="G316" s="9">
        <f t="shared" ref="G316:O316" ca="1" si="311">+G85</f>
        <v>347780.47645377007</v>
      </c>
      <c r="H316" s="9">
        <f t="shared" ca="1" si="311"/>
        <v>462978.08278284548</v>
      </c>
      <c r="I316" s="9">
        <f t="shared" ca="1" si="311"/>
        <v>491178.88123850216</v>
      </c>
      <c r="J316" s="9">
        <f t="shared" ca="1" si="311"/>
        <v>519603.02718327218</v>
      </c>
      <c r="K316" s="9">
        <f t="shared" ca="1" si="311"/>
        <v>548261.114747738</v>
      </c>
      <c r="L316" s="9">
        <f t="shared" ca="1" si="311"/>
        <v>574596.18543232442</v>
      </c>
      <c r="M316" s="9">
        <f t="shared" ca="1" si="311"/>
        <v>602072.75146618823</v>
      </c>
      <c r="N316" s="9">
        <f t="shared" ca="1" si="311"/>
        <v>630738.23451373831</v>
      </c>
      <c r="O316" s="9">
        <f t="shared" ca="1" si="311"/>
        <v>660641.98834296805</v>
      </c>
      <c r="P316" s="11"/>
      <c r="Q316" s="11"/>
      <c r="R316" s="11"/>
      <c r="S316" s="11"/>
      <c r="T316" s="11"/>
      <c r="U316" s="11"/>
      <c r="V316" s="708"/>
      <c r="W316" s="708"/>
      <c r="X316" s="708"/>
      <c r="Y316" s="708"/>
      <c r="Z316" s="708"/>
      <c r="AA316" s="708"/>
      <c r="AB316" s="708"/>
    </row>
    <row r="317" spans="3:28" hidden="1" x14ac:dyDescent="0.15">
      <c r="C317" s="708"/>
      <c r="D317" s="708"/>
      <c r="E317" s="708"/>
      <c r="F317" s="11"/>
      <c r="G317" s="11"/>
      <c r="H317" s="11"/>
      <c r="I317" s="11"/>
      <c r="J317" s="11"/>
      <c r="K317" s="11"/>
      <c r="L317" s="11"/>
      <c r="M317" s="11"/>
      <c r="N317" s="11"/>
      <c r="O317" s="11"/>
      <c r="P317" s="11"/>
      <c r="Q317" s="11"/>
      <c r="R317" s="11"/>
      <c r="S317" s="11"/>
      <c r="T317" s="11"/>
      <c r="U317" s="11"/>
      <c r="V317" s="708"/>
      <c r="W317" s="708"/>
      <c r="X317" s="708"/>
      <c r="Y317" s="708"/>
      <c r="Z317" s="708"/>
      <c r="AA317" s="708"/>
      <c r="AB317" s="708"/>
    </row>
    <row r="318" spans="3:28" hidden="1" x14ac:dyDescent="0.15">
      <c r="C318" s="7" t="str">
        <f>+C269</f>
        <v>Debt service</v>
      </c>
      <c r="D318" s="708"/>
      <c r="E318" s="708"/>
      <c r="F318" s="11"/>
      <c r="G318" s="11"/>
      <c r="H318" s="11"/>
      <c r="I318" s="11"/>
      <c r="J318" s="11"/>
      <c r="K318" s="11"/>
      <c r="L318" s="11"/>
      <c r="M318" s="11"/>
      <c r="N318" s="11"/>
      <c r="O318" s="11"/>
      <c r="P318" s="11"/>
      <c r="Q318" s="11"/>
      <c r="R318" s="11"/>
      <c r="S318" s="11"/>
      <c r="T318" s="11"/>
      <c r="U318" s="11"/>
      <c r="V318" s="708"/>
      <c r="W318" s="708"/>
      <c r="X318" s="708"/>
      <c r="Y318" s="708"/>
      <c r="Z318" s="708"/>
      <c r="AA318" s="708"/>
      <c r="AB318" s="708"/>
    </row>
    <row r="319" spans="3:28" hidden="1" x14ac:dyDescent="0.15">
      <c r="C319" s="28" t="str">
        <f t="shared" ref="C319:C338" si="312">+C270</f>
        <v>Additional debt/Refinance</v>
      </c>
      <c r="D319" s="708"/>
      <c r="E319" s="708"/>
      <c r="F319" s="741">
        <f t="shared" ref="F319:F324" si="313">F92</f>
        <v>3450000</v>
      </c>
      <c r="G319" s="741">
        <f t="shared" ref="G319:O319" si="314">G92</f>
        <v>3450000</v>
      </c>
      <c r="H319" s="741">
        <f t="shared" si="314"/>
        <v>3450000</v>
      </c>
      <c r="I319" s="741">
        <f t="shared" si="314"/>
        <v>3408515.3495480865</v>
      </c>
      <c r="J319" s="741">
        <f t="shared" si="314"/>
        <v>3364555.8285618383</v>
      </c>
      <c r="K319" s="741">
        <f t="shared" si="314"/>
        <v>3317973.7924523531</v>
      </c>
      <c r="L319" s="741">
        <f t="shared" ca="1" si="314"/>
        <v>6161987.8053423343</v>
      </c>
      <c r="M319" s="741">
        <f t="shared" ca="1" si="314"/>
        <v>6084280.2807782376</v>
      </c>
      <c r="N319" s="741">
        <f t="shared" ca="1" si="314"/>
        <v>6001842.3106563017</v>
      </c>
      <c r="O319" s="741">
        <f t="shared" ca="1" si="314"/>
        <v>5914385.9291031929</v>
      </c>
      <c r="P319" s="11"/>
      <c r="Q319" s="11"/>
      <c r="R319" s="11"/>
      <c r="S319" s="11"/>
      <c r="T319" s="11"/>
      <c r="U319" s="11"/>
      <c r="V319" s="708"/>
      <c r="W319" s="708"/>
      <c r="X319" s="708"/>
      <c r="Y319" s="708"/>
      <c r="Z319" s="708"/>
      <c r="AA319" s="708"/>
      <c r="AB319" s="708"/>
    </row>
    <row r="320" spans="3:28" hidden="1" x14ac:dyDescent="0.15">
      <c r="C320" s="717" t="str">
        <f t="shared" si="312"/>
        <v>Additional debt/Refinance</v>
      </c>
      <c r="D320" s="708"/>
      <c r="E320" s="708"/>
      <c r="F320" s="741">
        <f t="shared" si="313"/>
        <v>0</v>
      </c>
      <c r="G320" s="741">
        <f t="shared" ref="G320:O320" si="315">G93</f>
        <v>0</v>
      </c>
      <c r="H320" s="741">
        <f t="shared" si="315"/>
        <v>0</v>
      </c>
      <c r="I320" s="741">
        <f t="shared" si="315"/>
        <v>0</v>
      </c>
      <c r="J320" s="741">
        <f t="shared" si="315"/>
        <v>0</v>
      </c>
      <c r="K320" s="741">
        <f t="shared" ca="1" si="315"/>
        <v>2917262.5337469121</v>
      </c>
      <c r="L320" s="741">
        <f t="shared" si="315"/>
        <v>0</v>
      </c>
      <c r="M320" s="741">
        <f t="shared" si="315"/>
        <v>0</v>
      </c>
      <c r="N320" s="741">
        <f t="shared" si="315"/>
        <v>0</v>
      </c>
      <c r="O320" s="741">
        <f t="shared" si="315"/>
        <v>0</v>
      </c>
      <c r="P320" s="11"/>
      <c r="Q320" s="11"/>
      <c r="R320" s="11"/>
      <c r="S320" s="11"/>
      <c r="T320" s="11"/>
      <c r="U320" s="11"/>
      <c r="V320" s="708"/>
      <c r="W320" s="708"/>
      <c r="X320" s="708"/>
      <c r="Y320" s="708"/>
      <c r="Z320" s="708"/>
      <c r="AA320" s="708"/>
      <c r="AB320" s="708"/>
    </row>
    <row r="321" spans="3:21" hidden="1" x14ac:dyDescent="0.15">
      <c r="C321" s="28" t="str">
        <f t="shared" si="312"/>
        <v>Payment</v>
      </c>
      <c r="D321" s="708"/>
      <c r="E321" s="708"/>
      <c r="F321" s="741">
        <f t="shared" si="313"/>
        <v>205818.375</v>
      </c>
      <c r="G321" s="741">
        <f t="shared" ref="G321:O321" si="316">G94</f>
        <v>205818.375</v>
      </c>
      <c r="H321" s="741">
        <f t="shared" si="316"/>
        <v>247303.02545191324</v>
      </c>
      <c r="I321" s="741">
        <f t="shared" si="316"/>
        <v>247303.02545191324</v>
      </c>
      <c r="J321" s="741">
        <f t="shared" si="316"/>
        <v>247303.02545191324</v>
      </c>
      <c r="K321" s="741">
        <f t="shared" ca="1" si="316"/>
        <v>452818.5322143113</v>
      </c>
      <c r="L321" s="741">
        <f t="shared" ca="1" si="316"/>
        <v>452818.5322143113</v>
      </c>
      <c r="M321" s="741">
        <f t="shared" ca="1" si="316"/>
        <v>452818.5322143113</v>
      </c>
      <c r="N321" s="741">
        <f t="shared" ca="1" si="316"/>
        <v>452818.5322143113</v>
      </c>
      <c r="O321" s="741">
        <f t="shared" ca="1" si="316"/>
        <v>452818.5322143113</v>
      </c>
      <c r="P321" s="11"/>
      <c r="Q321" s="11"/>
      <c r="R321" s="11"/>
      <c r="S321" s="11"/>
      <c r="T321" s="11"/>
      <c r="U321" s="11"/>
    </row>
    <row r="322" spans="3:21" hidden="1" x14ac:dyDescent="0.15">
      <c r="C322" s="28" t="str">
        <f t="shared" si="312"/>
        <v>Principal</v>
      </c>
      <c r="D322" s="708"/>
      <c r="E322" s="708"/>
      <c r="F322" s="741">
        <f t="shared" si="313"/>
        <v>0</v>
      </c>
      <c r="G322" s="741">
        <f t="shared" ref="G322:O322" si="317">G95</f>
        <v>0</v>
      </c>
      <c r="H322" s="741">
        <f t="shared" si="317"/>
        <v>41484.650451913243</v>
      </c>
      <c r="I322" s="741">
        <f t="shared" si="317"/>
        <v>43959.520986248273</v>
      </c>
      <c r="J322" s="741">
        <f t="shared" si="317"/>
        <v>46582.036109485372</v>
      </c>
      <c r="K322" s="741">
        <f t="shared" ca="1" si="317"/>
        <v>73248.520856931049</v>
      </c>
      <c r="L322" s="741">
        <f t="shared" ca="1" si="317"/>
        <v>77707.524564096704</v>
      </c>
      <c r="M322" s="741">
        <f t="shared" ca="1" si="317"/>
        <v>82437.970121936116</v>
      </c>
      <c r="N322" s="741">
        <f t="shared" ca="1" si="317"/>
        <v>87456.38155310892</v>
      </c>
      <c r="O322" s="741">
        <f t="shared" ca="1" si="317"/>
        <v>92780.288780154428</v>
      </c>
      <c r="P322" s="11"/>
      <c r="Q322" s="11"/>
      <c r="R322" s="11"/>
      <c r="S322" s="11"/>
      <c r="T322" s="11"/>
      <c r="U322" s="11"/>
    </row>
    <row r="323" spans="3:21" hidden="1" x14ac:dyDescent="0.15">
      <c r="C323" s="28" t="str">
        <f t="shared" si="312"/>
        <v>Interest</v>
      </c>
      <c r="D323" s="708"/>
      <c r="E323" s="708"/>
      <c r="F323" s="741">
        <f t="shared" si="313"/>
        <v>205818.375</v>
      </c>
      <c r="G323" s="741">
        <f t="shared" ref="G323:O323" si="318">G96</f>
        <v>205818.375</v>
      </c>
      <c r="H323" s="741">
        <f t="shared" si="318"/>
        <v>205818.375</v>
      </c>
      <c r="I323" s="741">
        <f t="shared" si="318"/>
        <v>203343.50446566497</v>
      </c>
      <c r="J323" s="741">
        <f t="shared" si="318"/>
        <v>200720.98934242787</v>
      </c>
      <c r="K323" s="741">
        <f t="shared" ca="1" si="318"/>
        <v>379570.01135738025</v>
      </c>
      <c r="L323" s="741">
        <f t="shared" ca="1" si="318"/>
        <v>375111.0076502146</v>
      </c>
      <c r="M323" s="741">
        <f t="shared" ca="1" si="318"/>
        <v>370380.56209237518</v>
      </c>
      <c r="N323" s="741">
        <f t="shared" ca="1" si="318"/>
        <v>365362.15066120238</v>
      </c>
      <c r="O323" s="741">
        <f t="shared" ca="1" si="318"/>
        <v>360038.24343415687</v>
      </c>
      <c r="P323" s="11"/>
      <c r="Q323" s="11"/>
      <c r="R323" s="11"/>
      <c r="S323" s="11"/>
      <c r="T323" s="11"/>
      <c r="U323" s="11"/>
    </row>
    <row r="324" spans="3:21" hidden="1" x14ac:dyDescent="0.15">
      <c r="C324" s="28" t="str">
        <f t="shared" si="312"/>
        <v>Ending balance</v>
      </c>
      <c r="D324" s="708"/>
      <c r="E324" s="708"/>
      <c r="F324" s="819">
        <f t="shared" si="313"/>
        <v>3450000</v>
      </c>
      <c r="G324" s="819">
        <f t="shared" ref="G324:O324" si="319">G97</f>
        <v>3450000</v>
      </c>
      <c r="H324" s="819">
        <f t="shared" si="319"/>
        <v>3408515.3495480865</v>
      </c>
      <c r="I324" s="819">
        <f t="shared" si="319"/>
        <v>3364555.8285618383</v>
      </c>
      <c r="J324" s="819">
        <f t="shared" si="319"/>
        <v>3317973.7924523531</v>
      </c>
      <c r="K324" s="819">
        <f t="shared" ca="1" si="319"/>
        <v>6161987.8053423343</v>
      </c>
      <c r="L324" s="819">
        <f t="shared" ca="1" si="319"/>
        <v>6084280.2807782376</v>
      </c>
      <c r="M324" s="819">
        <f t="shared" ca="1" si="319"/>
        <v>6001842.3106563017</v>
      </c>
      <c r="N324" s="819">
        <f t="shared" ca="1" si="319"/>
        <v>5914385.9291031929</v>
      </c>
      <c r="O324" s="819">
        <f t="shared" ca="1" si="319"/>
        <v>5821605.6403230382</v>
      </c>
      <c r="P324" s="11"/>
      <c r="Q324" s="11"/>
      <c r="R324" s="11"/>
      <c r="S324" s="11"/>
      <c r="T324" s="11"/>
      <c r="U324" s="11"/>
    </row>
    <row r="325" spans="3:21" hidden="1" x14ac:dyDescent="0.15">
      <c r="C325" s="708"/>
      <c r="D325" s="708"/>
      <c r="E325" s="708"/>
      <c r="F325" s="741"/>
      <c r="G325" s="741"/>
      <c r="H325" s="741"/>
      <c r="I325" s="11"/>
      <c r="J325" s="11"/>
      <c r="K325" s="11"/>
      <c r="L325" s="11"/>
      <c r="M325" s="11"/>
      <c r="N325" s="11"/>
      <c r="O325" s="11"/>
      <c r="P325" s="11"/>
      <c r="Q325" s="11"/>
      <c r="R325" s="11"/>
      <c r="S325" s="11"/>
      <c r="T325" s="11"/>
      <c r="U325" s="11"/>
    </row>
    <row r="326" spans="3:21" hidden="1" x14ac:dyDescent="0.15">
      <c r="C326" s="283">
        <f t="shared" si="312"/>
        <v>0</v>
      </c>
      <c r="D326" s="708"/>
      <c r="E326" s="708"/>
      <c r="F326" s="741"/>
      <c r="G326" s="741"/>
      <c r="H326" s="741"/>
      <c r="I326" s="11"/>
      <c r="J326" s="11"/>
      <c r="K326" s="11"/>
      <c r="L326" s="11"/>
      <c r="M326" s="11"/>
      <c r="N326" s="11"/>
      <c r="O326" s="11"/>
      <c r="P326" s="11"/>
      <c r="Q326" s="11"/>
      <c r="R326" s="11"/>
      <c r="S326" s="11"/>
      <c r="T326" s="11"/>
      <c r="U326" s="11"/>
    </row>
    <row r="327" spans="3:21" hidden="1" x14ac:dyDescent="0.15">
      <c r="C327" s="708"/>
      <c r="D327" s="708"/>
      <c r="E327" s="708"/>
      <c r="F327" s="741"/>
      <c r="G327" s="741"/>
      <c r="H327" s="741"/>
      <c r="I327" s="11"/>
      <c r="J327" s="11"/>
      <c r="K327" s="11"/>
      <c r="L327" s="11"/>
      <c r="M327" s="11"/>
      <c r="N327" s="11"/>
      <c r="O327" s="11"/>
      <c r="P327" s="11"/>
      <c r="Q327" s="11"/>
      <c r="R327" s="11"/>
      <c r="S327" s="11"/>
      <c r="T327" s="11"/>
      <c r="U327" s="11"/>
    </row>
    <row r="328" spans="3:21" hidden="1" x14ac:dyDescent="0.15">
      <c r="C328" s="32" t="str">
        <f t="shared" si="312"/>
        <v>Refinance Valuation</v>
      </c>
      <c r="D328" s="708"/>
      <c r="E328" s="708"/>
      <c r="F328" s="741">
        <f ca="1">F102</f>
        <v>3613965.8319999999</v>
      </c>
      <c r="G328" s="741">
        <f t="shared" ref="G328:O328" ca="1" si="320">G102</f>
        <v>6955609.5290754009</v>
      </c>
      <c r="H328" s="741">
        <f t="shared" ca="1" si="320"/>
        <v>9259561.6556569096</v>
      </c>
      <c r="I328" s="741">
        <f t="shared" ca="1" si="320"/>
        <v>9823577.6247700434</v>
      </c>
      <c r="J328" s="741">
        <f t="shared" ca="1" si="320"/>
        <v>10392060.543665443</v>
      </c>
      <c r="K328" s="741">
        <f t="shared" ca="1" si="320"/>
        <v>10965222.29495476</v>
      </c>
      <c r="L328" s="741">
        <f t="shared" ca="1" si="320"/>
        <v>11491923.708646487</v>
      </c>
      <c r="M328" s="741">
        <f t="shared" ca="1" si="320"/>
        <v>12041455.029323764</v>
      </c>
      <c r="N328" s="741">
        <f t="shared" ca="1" si="320"/>
        <v>12614764.690274766</v>
      </c>
      <c r="O328" s="741">
        <f t="shared" ca="1" si="320"/>
        <v>13212839.76685936</v>
      </c>
      <c r="P328" s="11"/>
      <c r="Q328" s="11"/>
      <c r="R328" s="11"/>
      <c r="S328" s="11"/>
      <c r="T328" s="11"/>
      <c r="U328" s="11"/>
    </row>
    <row r="329" spans="3:21" hidden="1" x14ac:dyDescent="0.15">
      <c r="C329" s="31"/>
      <c r="D329" s="708"/>
      <c r="E329" s="708"/>
      <c r="F329" s="741"/>
      <c r="G329" s="741"/>
      <c r="H329" s="741"/>
      <c r="I329" s="11"/>
      <c r="J329" s="11"/>
      <c r="K329" s="11"/>
      <c r="L329" s="11"/>
      <c r="M329" s="11"/>
      <c r="N329" s="11"/>
      <c r="O329" s="11"/>
      <c r="P329" s="11"/>
      <c r="Q329" s="11"/>
      <c r="R329" s="11"/>
      <c r="S329" s="11"/>
      <c r="T329" s="11"/>
      <c r="U329" s="11"/>
    </row>
    <row r="330" spans="3:21" hidden="1" x14ac:dyDescent="0.15">
      <c r="C330" s="717" t="str">
        <f t="shared" si="312"/>
        <v>Net Cash Flow after Debt Service</v>
      </c>
      <c r="D330" s="708"/>
      <c r="E330" s="708"/>
      <c r="F330" s="741">
        <f ca="1">F104</f>
        <v>-25120.083400000003</v>
      </c>
      <c r="G330" s="741">
        <f t="shared" ref="G330:O330" ca="1" si="321">G104</f>
        <v>141962.10145377007</v>
      </c>
      <c r="H330" s="741">
        <f t="shared" ca="1" si="321"/>
        <v>215675.05733093224</v>
      </c>
      <c r="I330" s="741">
        <f t="shared" ca="1" si="321"/>
        <v>243875.85578658892</v>
      </c>
      <c r="J330" s="741">
        <f t="shared" ca="1" si="321"/>
        <v>272300.00173135893</v>
      </c>
      <c r="K330" s="741">
        <f t="shared" ca="1" si="321"/>
        <v>95442.582533426699</v>
      </c>
      <c r="L330" s="741">
        <f t="shared" ca="1" si="321"/>
        <v>121777.65321801312</v>
      </c>
      <c r="M330" s="741">
        <f t="shared" ca="1" si="321"/>
        <v>149254.21925187693</v>
      </c>
      <c r="N330" s="741">
        <f t="shared" ca="1" si="321"/>
        <v>177919.70229942701</v>
      </c>
      <c r="O330" s="741">
        <f t="shared" ca="1" si="321"/>
        <v>207823.45612865675</v>
      </c>
      <c r="P330" s="11"/>
      <c r="Q330" s="11"/>
      <c r="R330" s="11"/>
      <c r="S330" s="11"/>
      <c r="T330" s="11"/>
      <c r="U330" s="11"/>
    </row>
    <row r="331" spans="3:21" hidden="1" x14ac:dyDescent="0.15">
      <c r="C331" s="717" t="str">
        <f t="shared" si="312"/>
        <v>Cash from Sale of POH</v>
      </c>
      <c r="D331" s="708"/>
      <c r="E331" s="708"/>
      <c r="F331" s="741">
        <f>F105</f>
        <v>70000</v>
      </c>
      <c r="G331" s="741">
        <f t="shared" ref="G331:O331" si="322">G105</f>
        <v>0</v>
      </c>
      <c r="H331" s="741">
        <f t="shared" si="322"/>
        <v>0</v>
      </c>
      <c r="I331" s="741">
        <f t="shared" si="322"/>
        <v>0</v>
      </c>
      <c r="J331" s="741">
        <f t="shared" si="322"/>
        <v>0</v>
      </c>
      <c r="K331" s="741">
        <f t="shared" si="322"/>
        <v>0</v>
      </c>
      <c r="L331" s="741">
        <f t="shared" si="322"/>
        <v>0</v>
      </c>
      <c r="M331" s="741">
        <f t="shared" si="322"/>
        <v>0</v>
      </c>
      <c r="N331" s="741">
        <f t="shared" si="322"/>
        <v>0</v>
      </c>
      <c r="O331" s="741">
        <f t="shared" si="322"/>
        <v>0</v>
      </c>
      <c r="P331" s="11"/>
      <c r="Q331" s="11"/>
      <c r="R331" s="11"/>
      <c r="S331" s="11"/>
      <c r="T331" s="11"/>
      <c r="U331" s="11"/>
    </row>
    <row r="332" spans="3:21" hidden="1" x14ac:dyDescent="0.15">
      <c r="C332" s="717" t="str">
        <f t="shared" si="312"/>
        <v>Rental Income from POH</v>
      </c>
      <c r="D332" s="708"/>
      <c r="E332" s="708"/>
      <c r="F332" s="741">
        <f>F106</f>
        <v>0</v>
      </c>
      <c r="G332" s="741">
        <f t="shared" ref="G332:O332" si="323">G106</f>
        <v>0</v>
      </c>
      <c r="H332" s="741">
        <f t="shared" si="323"/>
        <v>0</v>
      </c>
      <c r="I332" s="741">
        <f t="shared" si="323"/>
        <v>0</v>
      </c>
      <c r="J332" s="741">
        <f t="shared" si="323"/>
        <v>0</v>
      </c>
      <c r="K332" s="741">
        <f t="shared" si="323"/>
        <v>0</v>
      </c>
      <c r="L332" s="741">
        <f t="shared" si="323"/>
        <v>0</v>
      </c>
      <c r="M332" s="741">
        <f t="shared" si="323"/>
        <v>0</v>
      </c>
      <c r="N332" s="741">
        <f t="shared" si="323"/>
        <v>0</v>
      </c>
      <c r="O332" s="741">
        <f t="shared" si="323"/>
        <v>0</v>
      </c>
      <c r="P332" s="11"/>
      <c r="Q332" s="11"/>
      <c r="R332" s="11"/>
      <c r="S332" s="11"/>
      <c r="T332" s="11"/>
      <c r="U332" s="11"/>
    </row>
    <row r="333" spans="3:21" hidden="1" x14ac:dyDescent="0.15">
      <c r="C333" s="717" t="str">
        <f t="shared" si="312"/>
        <v>Note Income from POH</v>
      </c>
      <c r="D333" s="708"/>
      <c r="E333" s="708"/>
      <c r="F333" s="741">
        <f>F107</f>
        <v>0</v>
      </c>
      <c r="G333" s="741">
        <f t="shared" ref="G333:O333" si="324">G107</f>
        <v>0</v>
      </c>
      <c r="H333" s="741">
        <f t="shared" si="324"/>
        <v>0</v>
      </c>
      <c r="I333" s="741">
        <f t="shared" si="324"/>
        <v>0</v>
      </c>
      <c r="J333" s="741">
        <f t="shared" si="324"/>
        <v>0</v>
      </c>
      <c r="K333" s="741">
        <f t="shared" si="324"/>
        <v>0</v>
      </c>
      <c r="L333" s="741">
        <f t="shared" si="324"/>
        <v>0</v>
      </c>
      <c r="M333" s="741">
        <f t="shared" si="324"/>
        <v>0</v>
      </c>
      <c r="N333" s="741">
        <f t="shared" si="324"/>
        <v>0</v>
      </c>
      <c r="O333" s="741">
        <f t="shared" si="324"/>
        <v>0</v>
      </c>
      <c r="P333" s="11"/>
      <c r="Q333" s="11"/>
      <c r="R333" s="11"/>
      <c r="S333" s="11"/>
      <c r="T333" s="11"/>
      <c r="U333" s="11"/>
    </row>
    <row r="334" spans="3:21" hidden="1" x14ac:dyDescent="0.15">
      <c r="C334" s="717" t="str">
        <f t="shared" si="312"/>
        <v>POH Seller Carry Note</v>
      </c>
      <c r="D334" s="708"/>
      <c r="E334" s="708"/>
      <c r="F334" s="741">
        <f>F108</f>
        <v>0</v>
      </c>
      <c r="G334" s="741">
        <f t="shared" ref="G334:O334" si="325">G108</f>
        <v>0</v>
      </c>
      <c r="H334" s="741">
        <f t="shared" si="325"/>
        <v>0</v>
      </c>
      <c r="I334" s="741">
        <f t="shared" si="325"/>
        <v>0</v>
      </c>
      <c r="J334" s="741">
        <f t="shared" si="325"/>
        <v>0</v>
      </c>
      <c r="K334" s="741">
        <f t="shared" si="325"/>
        <v>0</v>
      </c>
      <c r="L334" s="741">
        <f t="shared" si="325"/>
        <v>0</v>
      </c>
      <c r="M334" s="741">
        <f t="shared" si="325"/>
        <v>0</v>
      </c>
      <c r="N334" s="741">
        <f t="shared" si="325"/>
        <v>0</v>
      </c>
      <c r="O334" s="741">
        <f t="shared" si="325"/>
        <v>0</v>
      </c>
      <c r="P334" s="11"/>
      <c r="Q334" s="11"/>
      <c r="R334" s="11"/>
      <c r="S334" s="11"/>
      <c r="T334" s="11"/>
      <c r="U334" s="11"/>
    </row>
    <row r="335" spans="3:21" hidden="1" x14ac:dyDescent="0.15">
      <c r="C335" s="717" t="str">
        <f t="shared" si="312"/>
        <v>Return of Capital (other)</v>
      </c>
      <c r="D335" s="708"/>
      <c r="E335" s="708"/>
      <c r="F335" s="741">
        <f t="shared" ref="F335:F336" si="326">F113</f>
        <v>0</v>
      </c>
      <c r="G335" s="741">
        <f t="shared" ref="G335:O335" si="327">G113</f>
        <v>0</v>
      </c>
      <c r="H335" s="741">
        <f t="shared" si="327"/>
        <v>0</v>
      </c>
      <c r="I335" s="741">
        <f t="shared" si="327"/>
        <v>0</v>
      </c>
      <c r="J335" s="741">
        <f t="shared" ca="1" si="327"/>
        <v>2917262.5337469121</v>
      </c>
      <c r="K335" s="741">
        <f t="shared" si="327"/>
        <v>0</v>
      </c>
      <c r="L335" s="741">
        <f t="shared" si="327"/>
        <v>0</v>
      </c>
      <c r="M335" s="741">
        <f t="shared" si="327"/>
        <v>0</v>
      </c>
      <c r="N335" s="741">
        <f t="shared" si="327"/>
        <v>0</v>
      </c>
      <c r="O335" s="741">
        <f t="shared" si="327"/>
        <v>0</v>
      </c>
      <c r="P335" s="11"/>
      <c r="Q335" s="11"/>
      <c r="R335" s="11"/>
      <c r="S335" s="11"/>
      <c r="T335" s="11"/>
      <c r="U335" s="11"/>
    </row>
    <row r="336" spans="3:21" hidden="1" x14ac:dyDescent="0.15">
      <c r="C336" s="717" t="str">
        <f t="shared" si="312"/>
        <v>Sale Proceeds at Exit</v>
      </c>
      <c r="D336" s="708"/>
      <c r="E336" s="708"/>
      <c r="F336" s="741">
        <f t="shared" si="326"/>
        <v>0</v>
      </c>
      <c r="G336" s="741">
        <f t="shared" ref="G336:N336" si="328">G114</f>
        <v>0</v>
      </c>
      <c r="H336" s="741">
        <f t="shared" si="328"/>
        <v>0</v>
      </c>
      <c r="I336" s="741">
        <f t="shared" si="328"/>
        <v>0</v>
      </c>
      <c r="J336" s="741">
        <f t="shared" si="328"/>
        <v>0</v>
      </c>
      <c r="K336" s="741">
        <f t="shared" si="328"/>
        <v>0</v>
      </c>
      <c r="L336" s="741">
        <f t="shared" si="328"/>
        <v>0</v>
      </c>
      <c r="M336" s="741">
        <f t="shared" si="328"/>
        <v>0</v>
      </c>
      <c r="N336" s="741">
        <f t="shared" si="328"/>
        <v>0</v>
      </c>
      <c r="O336" s="741">
        <f ca="1">+(O316/RefiCap)*(1-Cost_of_Sale)</f>
        <v>12816454.573853578</v>
      </c>
      <c r="P336" s="11"/>
      <c r="Q336" s="11"/>
      <c r="R336" s="11"/>
      <c r="S336" s="11"/>
      <c r="T336" s="11"/>
      <c r="U336" s="11"/>
    </row>
    <row r="337" spans="3:28" hidden="1" x14ac:dyDescent="0.15">
      <c r="C337" s="717" t="str">
        <f t="shared" si="312"/>
        <v>Repay Outstanding Loan</v>
      </c>
      <c r="D337" s="708"/>
      <c r="E337" s="708"/>
      <c r="F337" s="741"/>
      <c r="G337" s="741"/>
      <c r="H337" s="741"/>
      <c r="I337" s="741"/>
      <c r="J337" s="741"/>
      <c r="K337" s="741"/>
      <c r="L337" s="741"/>
      <c r="M337" s="741"/>
      <c r="N337" s="741"/>
      <c r="O337" s="741">
        <f ca="1">-O324</f>
        <v>-5821605.6403230382</v>
      </c>
      <c r="P337" s="11"/>
      <c r="Q337" s="11"/>
      <c r="R337" s="11"/>
      <c r="S337" s="11"/>
      <c r="T337" s="11"/>
      <c r="U337" s="11"/>
      <c r="V337" s="708"/>
      <c r="W337" s="708"/>
      <c r="X337" s="708"/>
      <c r="Y337" s="708"/>
      <c r="Z337" s="708"/>
      <c r="AA337" s="708"/>
      <c r="AB337" s="708"/>
    </row>
    <row r="338" spans="3:28" ht="14" hidden="1" thickBot="1" x14ac:dyDescent="0.2">
      <c r="C338" s="635" t="str">
        <f t="shared" si="312"/>
        <v>Pretax Income Available for Distribution</v>
      </c>
      <c r="D338" s="708"/>
      <c r="E338" s="741">
        <f>E289</f>
        <v>-2960000</v>
      </c>
      <c r="F338" s="741">
        <f ca="1">SUM(F330:F337)</f>
        <v>44879.916599999997</v>
      </c>
      <c r="G338" s="741">
        <f t="shared" ref="G338:O338" ca="1" si="329">SUM(G330:G337)</f>
        <v>141962.10145377007</v>
      </c>
      <c r="H338" s="741">
        <f t="shared" ca="1" si="329"/>
        <v>215675.05733093224</v>
      </c>
      <c r="I338" s="741">
        <f t="shared" ca="1" si="329"/>
        <v>243875.85578658892</v>
      </c>
      <c r="J338" s="741">
        <f t="shared" ca="1" si="329"/>
        <v>3189562.5354782711</v>
      </c>
      <c r="K338" s="741">
        <f t="shared" ca="1" si="329"/>
        <v>95442.582533426699</v>
      </c>
      <c r="L338" s="741">
        <f t="shared" ca="1" si="329"/>
        <v>121777.65321801312</v>
      </c>
      <c r="M338" s="741">
        <f t="shared" ca="1" si="329"/>
        <v>149254.21925187693</v>
      </c>
      <c r="N338" s="741">
        <f t="shared" ca="1" si="329"/>
        <v>177919.70229942701</v>
      </c>
      <c r="O338" s="741">
        <f t="shared" ca="1" si="329"/>
        <v>7202672.3896591971</v>
      </c>
      <c r="P338" s="11"/>
      <c r="Q338" s="11"/>
      <c r="R338" s="11"/>
      <c r="S338" s="11"/>
      <c r="T338" s="11"/>
      <c r="U338" s="11"/>
      <c r="V338" s="708"/>
      <c r="W338" s="708"/>
      <c r="X338" s="708"/>
      <c r="Y338" s="708"/>
      <c r="Z338" s="708"/>
      <c r="AA338" s="708"/>
      <c r="AB338" s="708"/>
    </row>
    <row r="339" spans="3:28" ht="14" hidden="1" thickTop="1" x14ac:dyDescent="0.15">
      <c r="C339" s="708"/>
      <c r="D339" s="708"/>
      <c r="E339" s="708"/>
      <c r="F339" s="11"/>
      <c r="G339" s="11"/>
      <c r="H339" s="11"/>
      <c r="I339" s="11"/>
      <c r="J339" s="11"/>
      <c r="K339" s="11"/>
      <c r="L339" s="11"/>
      <c r="M339" s="11"/>
      <c r="N339" s="11"/>
      <c r="O339" s="11"/>
      <c r="P339" s="11"/>
      <c r="Q339" s="11"/>
      <c r="R339" s="11"/>
      <c r="S339" s="11"/>
      <c r="T339" s="11"/>
      <c r="U339" s="11"/>
      <c r="V339" s="11"/>
      <c r="W339" s="11"/>
      <c r="X339" s="11"/>
      <c r="Y339" s="11"/>
      <c r="Z339" s="11"/>
      <c r="AA339" s="11"/>
      <c r="AB339" s="11"/>
    </row>
    <row r="340" spans="3:28" hidden="1" x14ac:dyDescent="0.15">
      <c r="C340" s="7" t="s">
        <v>268</v>
      </c>
      <c r="D340" s="708"/>
      <c r="E340" s="742">
        <f ca="1">IRR(E338:O338)</f>
        <v>0.19991870390384237</v>
      </c>
      <c r="F340" s="11"/>
      <c r="G340" s="11"/>
      <c r="H340" s="11"/>
      <c r="I340" s="11"/>
      <c r="J340" s="11"/>
      <c r="K340" s="11"/>
      <c r="L340" s="11"/>
      <c r="M340" s="11"/>
      <c r="N340" s="11"/>
      <c r="O340" s="11"/>
      <c r="P340" s="11"/>
      <c r="Q340" s="11"/>
      <c r="R340" s="11"/>
      <c r="S340" s="11"/>
      <c r="T340" s="11"/>
      <c r="U340" s="11"/>
      <c r="V340" s="11"/>
      <c r="W340" s="11"/>
      <c r="X340" s="11"/>
      <c r="Y340" s="11"/>
      <c r="Z340" s="11"/>
      <c r="AA340" s="11"/>
      <c r="AB340" s="11"/>
    </row>
    <row r="341" spans="3:28" hidden="1" x14ac:dyDescent="0.15">
      <c r="C341" s="717"/>
      <c r="D341" s="708"/>
      <c r="E341" s="708"/>
      <c r="F341" s="11"/>
      <c r="G341" s="11"/>
      <c r="H341" s="11"/>
      <c r="I341" s="11"/>
      <c r="J341" s="11"/>
      <c r="K341" s="11"/>
      <c r="L341" s="11"/>
      <c r="M341" s="11"/>
      <c r="N341" s="11"/>
      <c r="O341" s="11"/>
      <c r="P341" s="11"/>
      <c r="Q341" s="11"/>
      <c r="R341" s="11"/>
      <c r="S341" s="11"/>
      <c r="T341" s="11"/>
      <c r="U341" s="11"/>
      <c r="V341" s="11"/>
      <c r="W341" s="11"/>
      <c r="X341" s="11"/>
      <c r="Y341" s="11"/>
      <c r="Z341" s="11"/>
      <c r="AA341" s="11"/>
      <c r="AB341" s="11"/>
    </row>
    <row r="342" spans="3:28" hidden="1" x14ac:dyDescent="0.15">
      <c r="C342" s="7" t="str">
        <f t="shared" ref="C342:C355" si="330">+C293</f>
        <v>Distributions</v>
      </c>
      <c r="D342" s="708"/>
      <c r="E342" s="708"/>
      <c r="F342" s="9"/>
      <c r="G342" s="11"/>
      <c r="H342" s="11"/>
      <c r="I342" s="11"/>
      <c r="J342" s="11"/>
      <c r="K342" s="11"/>
      <c r="L342" s="11"/>
      <c r="M342" s="11"/>
      <c r="N342" s="11"/>
      <c r="O342" s="11"/>
      <c r="P342" s="11"/>
      <c r="Q342" s="11"/>
      <c r="R342" s="11"/>
      <c r="S342" s="11"/>
      <c r="T342" s="11"/>
      <c r="U342" s="11"/>
      <c r="V342" s="11"/>
      <c r="W342" s="11"/>
      <c r="X342" s="11"/>
      <c r="Y342" s="11"/>
      <c r="Z342" s="11"/>
      <c r="AA342" s="11"/>
      <c r="AB342" s="11"/>
    </row>
    <row r="343" spans="3:28" hidden="1" x14ac:dyDescent="0.15">
      <c r="C343" s="717" t="str">
        <f t="shared" si="330"/>
        <v>Investor Preferred Return</v>
      </c>
      <c r="D343" s="708"/>
      <c r="E343" s="708"/>
      <c r="F343" s="9"/>
      <c r="G343" s="11"/>
      <c r="H343" s="11"/>
      <c r="I343" s="11"/>
      <c r="J343" s="11"/>
      <c r="K343" s="11"/>
      <c r="L343" s="11"/>
      <c r="M343" s="11"/>
      <c r="N343" s="11"/>
      <c r="O343" s="11"/>
      <c r="P343" s="11"/>
      <c r="Q343" s="11"/>
      <c r="R343" s="11"/>
      <c r="S343" s="11"/>
      <c r="T343" s="11"/>
      <c r="U343" s="11"/>
      <c r="V343" s="11"/>
      <c r="W343" s="11"/>
      <c r="X343" s="11"/>
      <c r="Y343" s="11"/>
      <c r="Z343" s="11"/>
      <c r="AA343" s="11"/>
      <c r="AB343" s="11"/>
    </row>
    <row r="344" spans="3:28" hidden="1" x14ac:dyDescent="0.15">
      <c r="C344" s="19" t="str">
        <f t="shared" si="330"/>
        <v>Beginning balance</v>
      </c>
      <c r="D344" s="708"/>
      <c r="E344" s="708"/>
      <c r="F344" s="9">
        <f>-E338</f>
        <v>2960000</v>
      </c>
      <c r="G344" s="9">
        <f ca="1">+F347</f>
        <v>3063120.0833999999</v>
      </c>
      <c r="H344" s="9">
        <f t="shared" ref="H344:O344" ca="1" si="331">+G347</f>
        <v>3074313.98611623</v>
      </c>
      <c r="I344" s="9">
        <f t="shared" ca="1" si="331"/>
        <v>3012354.628091109</v>
      </c>
      <c r="J344" s="9">
        <f t="shared" ca="1" si="331"/>
        <v>2919096.5037090755</v>
      </c>
      <c r="K344" s="9">
        <f t="shared" ca="1" si="331"/>
        <v>0</v>
      </c>
      <c r="L344" s="9">
        <f t="shared" ca="1" si="331"/>
        <v>0</v>
      </c>
      <c r="M344" s="9">
        <f t="shared" ca="1" si="331"/>
        <v>0</v>
      </c>
      <c r="N344" s="9">
        <f t="shared" ca="1" si="331"/>
        <v>0</v>
      </c>
      <c r="O344" s="9">
        <f t="shared" ca="1" si="331"/>
        <v>0</v>
      </c>
      <c r="P344" s="11"/>
      <c r="Q344" s="11"/>
      <c r="R344" s="11"/>
      <c r="S344" s="11"/>
      <c r="T344" s="11"/>
      <c r="U344" s="11"/>
      <c r="V344" s="11"/>
      <c r="W344" s="11"/>
      <c r="X344" s="11"/>
      <c r="Y344" s="11"/>
      <c r="Z344" s="11"/>
      <c r="AA344" s="11"/>
      <c r="AB344" s="11"/>
    </row>
    <row r="345" spans="3:28" hidden="1" x14ac:dyDescent="0.15">
      <c r="C345" s="19" t="str">
        <f t="shared" si="330"/>
        <v>Preferred return</v>
      </c>
      <c r="D345" s="708"/>
      <c r="E345" s="708"/>
      <c r="F345" s="9">
        <f t="shared" ref="F345:O345" si="332">+F344*InvestorPref</f>
        <v>148000</v>
      </c>
      <c r="G345" s="9">
        <f t="shared" ca="1" si="332"/>
        <v>153156.00417</v>
      </c>
      <c r="H345" s="9">
        <f t="shared" ca="1" si="332"/>
        <v>153715.69930581152</v>
      </c>
      <c r="I345" s="9">
        <f t="shared" ca="1" si="332"/>
        <v>150617.73140455547</v>
      </c>
      <c r="J345" s="9">
        <f t="shared" ca="1" si="332"/>
        <v>145954.82518545378</v>
      </c>
      <c r="K345" s="9">
        <f t="shared" ca="1" si="332"/>
        <v>0</v>
      </c>
      <c r="L345" s="9">
        <f t="shared" ca="1" si="332"/>
        <v>0</v>
      </c>
      <c r="M345" s="9">
        <f t="shared" ca="1" si="332"/>
        <v>0</v>
      </c>
      <c r="N345" s="9">
        <f t="shared" ca="1" si="332"/>
        <v>0</v>
      </c>
      <c r="O345" s="9">
        <f t="shared" ca="1" si="332"/>
        <v>0</v>
      </c>
      <c r="P345" s="11"/>
      <c r="Q345" s="11"/>
      <c r="R345" s="11"/>
      <c r="S345" s="11"/>
      <c r="T345" s="11"/>
      <c r="U345" s="11"/>
      <c r="V345" s="11"/>
      <c r="W345" s="11"/>
      <c r="X345" s="11"/>
      <c r="Y345" s="11"/>
      <c r="Z345" s="11"/>
      <c r="AA345" s="11"/>
      <c r="AB345" s="11"/>
    </row>
    <row r="346" spans="3:28" hidden="1" x14ac:dyDescent="0.15">
      <c r="C346" s="19" t="str">
        <f t="shared" si="330"/>
        <v>Payment</v>
      </c>
      <c r="D346" s="708"/>
      <c r="E346" s="708"/>
      <c r="F346" s="9">
        <f ca="1">MAX(-F344-F345,-F338)</f>
        <v>-44879.916599999997</v>
      </c>
      <c r="G346" s="9">
        <f t="shared" ref="G346:O346" ca="1" si="333">MAX(-G344-G345,-G338)</f>
        <v>-141962.10145377007</v>
      </c>
      <c r="H346" s="9">
        <f t="shared" ca="1" si="333"/>
        <v>-215675.05733093224</v>
      </c>
      <c r="I346" s="9">
        <f t="shared" ca="1" si="333"/>
        <v>-243875.85578658892</v>
      </c>
      <c r="J346" s="9">
        <f t="shared" ca="1" si="333"/>
        <v>-3065051.3288945295</v>
      </c>
      <c r="K346" s="9">
        <f t="shared" ca="1" si="333"/>
        <v>0</v>
      </c>
      <c r="L346" s="9">
        <f t="shared" ca="1" si="333"/>
        <v>0</v>
      </c>
      <c r="M346" s="9">
        <f t="shared" ca="1" si="333"/>
        <v>0</v>
      </c>
      <c r="N346" s="9">
        <f t="shared" ca="1" si="333"/>
        <v>0</v>
      </c>
      <c r="O346" s="9">
        <f t="shared" ca="1" si="333"/>
        <v>0</v>
      </c>
      <c r="P346" s="11"/>
      <c r="Q346" s="11"/>
      <c r="R346" s="11"/>
      <c r="S346" s="11"/>
      <c r="T346" s="11"/>
      <c r="U346" s="11"/>
      <c r="V346" s="11"/>
      <c r="W346" s="11"/>
      <c r="X346" s="11"/>
      <c r="Y346" s="11"/>
      <c r="Z346" s="11"/>
      <c r="AA346" s="11"/>
      <c r="AB346" s="11"/>
    </row>
    <row r="347" spans="3:28" hidden="1" x14ac:dyDescent="0.15">
      <c r="C347" s="19" t="str">
        <f t="shared" si="330"/>
        <v>Ending balance</v>
      </c>
      <c r="D347" s="708"/>
      <c r="E347" s="708"/>
      <c r="F347" s="818">
        <f ca="1">SUM(F344:F346)</f>
        <v>3063120.0833999999</v>
      </c>
      <c r="G347" s="818">
        <f t="shared" ref="G347:O347" ca="1" si="334">SUM(G344:G346)</f>
        <v>3074313.98611623</v>
      </c>
      <c r="H347" s="818">
        <f t="shared" ca="1" si="334"/>
        <v>3012354.628091109</v>
      </c>
      <c r="I347" s="818">
        <f t="shared" ca="1" si="334"/>
        <v>2919096.5037090755</v>
      </c>
      <c r="J347" s="818">
        <f t="shared" ca="1" si="334"/>
        <v>0</v>
      </c>
      <c r="K347" s="818">
        <f t="shared" ca="1" si="334"/>
        <v>0</v>
      </c>
      <c r="L347" s="818">
        <f t="shared" ca="1" si="334"/>
        <v>0</v>
      </c>
      <c r="M347" s="818">
        <f t="shared" ca="1" si="334"/>
        <v>0</v>
      </c>
      <c r="N347" s="818">
        <f t="shared" ca="1" si="334"/>
        <v>0</v>
      </c>
      <c r="O347" s="818">
        <f t="shared" ca="1" si="334"/>
        <v>0</v>
      </c>
      <c r="P347" s="11"/>
      <c r="Q347" s="11"/>
      <c r="R347" s="11"/>
      <c r="S347" s="11"/>
      <c r="T347" s="11"/>
      <c r="U347" s="11"/>
      <c r="V347" s="11"/>
      <c r="W347" s="11"/>
      <c r="X347" s="11"/>
      <c r="Y347" s="11"/>
      <c r="Z347" s="11"/>
      <c r="AA347" s="11"/>
      <c r="AB347" s="11"/>
    </row>
    <row r="348" spans="3:28" hidden="1" x14ac:dyDescent="0.15">
      <c r="C348" s="717" t="str">
        <f t="shared" si="330"/>
        <v>Available After Pref / Return Of Capital</v>
      </c>
      <c r="D348" s="708"/>
      <c r="E348" s="708"/>
      <c r="F348" s="9">
        <f ca="1">+F338+F346</f>
        <v>0</v>
      </c>
      <c r="G348" s="9">
        <f t="shared" ref="G348:O348" ca="1" si="335">+G338+G346</f>
        <v>0</v>
      </c>
      <c r="H348" s="9">
        <f t="shared" ca="1" si="335"/>
        <v>0</v>
      </c>
      <c r="I348" s="9">
        <f t="shared" ca="1" si="335"/>
        <v>0</v>
      </c>
      <c r="J348" s="9">
        <f t="shared" ca="1" si="335"/>
        <v>124511.20658374159</v>
      </c>
      <c r="K348" s="9">
        <f t="shared" ca="1" si="335"/>
        <v>95442.582533426699</v>
      </c>
      <c r="L348" s="9">
        <f t="shared" ca="1" si="335"/>
        <v>121777.65321801312</v>
      </c>
      <c r="M348" s="9">
        <f t="shared" ca="1" si="335"/>
        <v>149254.21925187693</v>
      </c>
      <c r="N348" s="9">
        <f t="shared" ca="1" si="335"/>
        <v>177919.70229942701</v>
      </c>
      <c r="O348" s="9">
        <f t="shared" ca="1" si="335"/>
        <v>7202672.3896591971</v>
      </c>
      <c r="P348" s="11"/>
      <c r="Q348" s="11"/>
      <c r="R348" s="11"/>
      <c r="S348" s="11"/>
      <c r="T348" s="11"/>
      <c r="U348" s="11"/>
      <c r="V348" s="11"/>
      <c r="W348" s="11"/>
      <c r="X348" s="11"/>
      <c r="Y348" s="11"/>
      <c r="Z348" s="11"/>
      <c r="AA348" s="11"/>
      <c r="AB348" s="11"/>
    </row>
    <row r="349" spans="3:28" hidden="1" x14ac:dyDescent="0.15">
      <c r="C349" s="37" t="str">
        <f t="shared" si="330"/>
        <v>Split</v>
      </c>
      <c r="D349" s="708"/>
      <c r="E349" s="708"/>
      <c r="F349" s="9"/>
      <c r="G349" s="9"/>
      <c r="H349" s="9"/>
      <c r="I349" s="11"/>
      <c r="J349" s="11"/>
      <c r="K349" s="11"/>
      <c r="L349" s="11"/>
      <c r="M349" s="11"/>
      <c r="N349" s="11"/>
      <c r="O349" s="11"/>
      <c r="P349" s="11"/>
      <c r="Q349" s="11"/>
      <c r="R349" s="11"/>
      <c r="S349" s="11"/>
      <c r="T349" s="11"/>
      <c r="U349" s="11"/>
      <c r="V349" s="11"/>
      <c r="W349" s="11"/>
      <c r="X349" s="11"/>
      <c r="Y349" s="11"/>
      <c r="Z349" s="11"/>
      <c r="AA349" s="11"/>
      <c r="AB349" s="11"/>
    </row>
    <row r="350" spans="3:28" hidden="1" x14ac:dyDescent="0.15">
      <c r="C350" s="740" t="str">
        <f t="shared" si="330"/>
        <v>Investor</v>
      </c>
      <c r="D350" s="708"/>
      <c r="E350" s="708"/>
      <c r="F350" s="9">
        <f t="shared" ref="F350:O350" ca="1" si="336">+F348*InvestorPromote</f>
        <v>0</v>
      </c>
      <c r="G350" s="9">
        <f t="shared" ca="1" si="336"/>
        <v>0</v>
      </c>
      <c r="H350" s="9">
        <f t="shared" ca="1" si="336"/>
        <v>0</v>
      </c>
      <c r="I350" s="9">
        <f t="shared" ca="1" si="336"/>
        <v>0</v>
      </c>
      <c r="J350" s="9">
        <f t="shared" ca="1" si="336"/>
        <v>62255.603291870793</v>
      </c>
      <c r="K350" s="9">
        <f t="shared" ca="1" si="336"/>
        <v>47721.29126671335</v>
      </c>
      <c r="L350" s="9">
        <f t="shared" ca="1" si="336"/>
        <v>60888.826609006559</v>
      </c>
      <c r="M350" s="9">
        <f t="shared" ca="1" si="336"/>
        <v>74627.109625938465</v>
      </c>
      <c r="N350" s="9">
        <f t="shared" ca="1" si="336"/>
        <v>88959.851149713504</v>
      </c>
      <c r="O350" s="9">
        <f t="shared" ca="1" si="336"/>
        <v>3601336.1948295985</v>
      </c>
      <c r="P350" s="11"/>
      <c r="Q350" s="11"/>
      <c r="R350" s="11"/>
      <c r="S350" s="11"/>
      <c r="T350" s="11"/>
      <c r="U350" s="11"/>
      <c r="V350" s="11"/>
      <c r="W350" s="11"/>
      <c r="X350" s="11"/>
      <c r="Y350" s="11"/>
      <c r="Z350" s="11"/>
      <c r="AA350" s="11"/>
      <c r="AB350" s="11"/>
    </row>
    <row r="351" spans="3:28" hidden="1" x14ac:dyDescent="0.15">
      <c r="C351" s="740" t="str">
        <f t="shared" si="330"/>
        <v>BVG</v>
      </c>
      <c r="D351" s="708"/>
      <c r="E351" s="708"/>
      <c r="F351" s="9">
        <f t="shared" ref="F351:O351" ca="1" si="337">+F348*BVGPromote</f>
        <v>0</v>
      </c>
      <c r="G351" s="9">
        <f t="shared" ca="1" si="337"/>
        <v>0</v>
      </c>
      <c r="H351" s="9">
        <f t="shared" ca="1" si="337"/>
        <v>0</v>
      </c>
      <c r="I351" s="9">
        <f t="shared" ca="1" si="337"/>
        <v>0</v>
      </c>
      <c r="J351" s="9">
        <f t="shared" ca="1" si="337"/>
        <v>62255.603291870793</v>
      </c>
      <c r="K351" s="9">
        <f t="shared" ca="1" si="337"/>
        <v>47721.29126671335</v>
      </c>
      <c r="L351" s="9">
        <f t="shared" ca="1" si="337"/>
        <v>60888.826609006559</v>
      </c>
      <c r="M351" s="9">
        <f t="shared" ca="1" si="337"/>
        <v>74627.109625938465</v>
      </c>
      <c r="N351" s="9">
        <f t="shared" ca="1" si="337"/>
        <v>88959.851149713504</v>
      </c>
      <c r="O351" s="9">
        <f t="shared" ca="1" si="337"/>
        <v>3601336.1948295985</v>
      </c>
      <c r="P351" s="11"/>
      <c r="Q351" s="11"/>
      <c r="R351" s="11"/>
      <c r="S351" s="11"/>
      <c r="T351" s="11"/>
      <c r="U351" s="11"/>
      <c r="V351" s="11"/>
      <c r="W351" s="11"/>
      <c r="X351" s="11"/>
      <c r="Y351" s="11"/>
      <c r="Z351" s="11"/>
      <c r="AA351" s="11"/>
      <c r="AB351" s="11"/>
    </row>
    <row r="352" spans="3:28" hidden="1" x14ac:dyDescent="0.15">
      <c r="C352" s="37" t="str">
        <f t="shared" si="330"/>
        <v>Total</v>
      </c>
      <c r="D352" s="708"/>
      <c r="E352" s="708"/>
      <c r="F352" s="9"/>
      <c r="G352" s="9"/>
      <c r="H352" s="9"/>
      <c r="I352" s="11"/>
      <c r="J352" s="11"/>
      <c r="K352" s="11"/>
      <c r="L352" s="11"/>
      <c r="M352" s="11"/>
      <c r="N352" s="11"/>
      <c r="O352" s="11"/>
      <c r="P352" s="11"/>
      <c r="Q352" s="11"/>
      <c r="R352" s="11"/>
      <c r="S352" s="11"/>
      <c r="T352" s="11"/>
      <c r="U352" s="11"/>
      <c r="V352" s="11"/>
      <c r="W352" s="11"/>
      <c r="X352" s="11"/>
      <c r="Y352" s="11"/>
      <c r="Z352" s="11"/>
      <c r="AA352" s="11"/>
      <c r="AB352" s="11"/>
    </row>
    <row r="353" spans="3:28" hidden="1" x14ac:dyDescent="0.15">
      <c r="C353" s="740" t="str">
        <f t="shared" si="330"/>
        <v>Investor</v>
      </c>
      <c r="D353" s="708"/>
      <c r="E353" s="708"/>
      <c r="F353" s="9">
        <f ca="1">-F346+F350</f>
        <v>44879.916599999997</v>
      </c>
      <c r="G353" s="9">
        <f t="shared" ref="G353:J353" ca="1" si="338">-G346+G350</f>
        <v>141962.10145377007</v>
      </c>
      <c r="H353" s="9">
        <f t="shared" ca="1" si="338"/>
        <v>215675.05733093224</v>
      </c>
      <c r="I353" s="9">
        <f t="shared" ca="1" si="338"/>
        <v>243875.85578658892</v>
      </c>
      <c r="J353" s="9">
        <f t="shared" ca="1" si="338"/>
        <v>3127306.9321864005</v>
      </c>
      <c r="K353" s="9">
        <f t="shared" ref="K353:O353" ca="1" si="339">-K346+K350</f>
        <v>47721.29126671335</v>
      </c>
      <c r="L353" s="9">
        <f t="shared" ca="1" si="339"/>
        <v>60888.826609006559</v>
      </c>
      <c r="M353" s="9">
        <f t="shared" ca="1" si="339"/>
        <v>74627.109625938465</v>
      </c>
      <c r="N353" s="9">
        <f t="shared" ca="1" si="339"/>
        <v>88959.851149713504</v>
      </c>
      <c r="O353" s="9">
        <f t="shared" ca="1" si="339"/>
        <v>3601336.1948295985</v>
      </c>
      <c r="P353" s="11"/>
      <c r="Q353" s="11"/>
      <c r="R353" s="11"/>
      <c r="S353" s="11"/>
      <c r="T353" s="11"/>
      <c r="U353" s="11"/>
      <c r="V353" s="11"/>
      <c r="W353" s="11"/>
      <c r="X353" s="11"/>
      <c r="Y353" s="11"/>
      <c r="Z353" s="11"/>
      <c r="AA353" s="11"/>
      <c r="AB353" s="11"/>
    </row>
    <row r="354" spans="3:28" hidden="1" x14ac:dyDescent="0.15">
      <c r="C354" s="740" t="str">
        <f t="shared" si="330"/>
        <v>BVG</v>
      </c>
      <c r="D354" s="708"/>
      <c r="E354" s="708"/>
      <c r="F354" s="9">
        <f ca="1">+F351</f>
        <v>0</v>
      </c>
      <c r="G354" s="9">
        <f t="shared" ref="G354:J354" ca="1" si="340">+G351</f>
        <v>0</v>
      </c>
      <c r="H354" s="9">
        <f t="shared" ca="1" si="340"/>
        <v>0</v>
      </c>
      <c r="I354" s="9">
        <f t="shared" ca="1" si="340"/>
        <v>0</v>
      </c>
      <c r="J354" s="9">
        <f t="shared" ca="1" si="340"/>
        <v>62255.603291870793</v>
      </c>
      <c r="K354" s="9">
        <f t="shared" ref="K354:O354" ca="1" si="341">+K351</f>
        <v>47721.29126671335</v>
      </c>
      <c r="L354" s="9">
        <f t="shared" ca="1" si="341"/>
        <v>60888.826609006559</v>
      </c>
      <c r="M354" s="9">
        <f t="shared" ca="1" si="341"/>
        <v>74627.109625938465</v>
      </c>
      <c r="N354" s="9">
        <f t="shared" ca="1" si="341"/>
        <v>88959.851149713504</v>
      </c>
      <c r="O354" s="9">
        <f t="shared" ca="1" si="341"/>
        <v>3601336.1948295985</v>
      </c>
      <c r="P354" s="11"/>
      <c r="Q354" s="11"/>
      <c r="R354" s="11"/>
      <c r="S354" s="11"/>
      <c r="T354" s="11"/>
      <c r="U354" s="11"/>
      <c r="V354" s="11"/>
      <c r="W354" s="11"/>
      <c r="X354" s="11"/>
      <c r="Y354" s="11"/>
      <c r="Z354" s="11"/>
      <c r="AA354" s="11"/>
      <c r="AB354" s="11"/>
    </row>
    <row r="355" spans="3:28" ht="14" hidden="1" x14ac:dyDescent="0.15">
      <c r="C355" s="125" t="str">
        <f t="shared" si="330"/>
        <v>Total Project Cash Flow</v>
      </c>
      <c r="D355" s="708"/>
      <c r="E355" s="741">
        <f>E338</f>
        <v>-2960000</v>
      </c>
      <c r="F355" s="9">
        <f ca="1">+F353</f>
        <v>44879.916599999997</v>
      </c>
      <c r="G355" s="9">
        <f t="shared" ref="G355:J355" ca="1" si="342">+G353</f>
        <v>141962.10145377007</v>
      </c>
      <c r="H355" s="9">
        <f t="shared" ca="1" si="342"/>
        <v>215675.05733093224</v>
      </c>
      <c r="I355" s="9">
        <f t="shared" ca="1" si="342"/>
        <v>243875.85578658892</v>
      </c>
      <c r="J355" s="9">
        <f t="shared" ca="1" si="342"/>
        <v>3127306.9321864005</v>
      </c>
      <c r="K355" s="9">
        <f t="shared" ref="K355:O355" ca="1" si="343">+K353</f>
        <v>47721.29126671335</v>
      </c>
      <c r="L355" s="9">
        <f t="shared" ca="1" si="343"/>
        <v>60888.826609006559</v>
      </c>
      <c r="M355" s="9">
        <f t="shared" ca="1" si="343"/>
        <v>74627.109625938465</v>
      </c>
      <c r="N355" s="9">
        <f t="shared" ca="1" si="343"/>
        <v>88959.851149713504</v>
      </c>
      <c r="O355" s="9">
        <f t="shared" ca="1" si="343"/>
        <v>3601336.1948295985</v>
      </c>
      <c r="P355" s="11"/>
      <c r="Q355" s="11"/>
      <c r="R355" s="11"/>
      <c r="S355" s="11"/>
      <c r="T355" s="11"/>
      <c r="U355" s="11"/>
      <c r="V355" s="11"/>
      <c r="W355" s="11"/>
      <c r="X355" s="11"/>
      <c r="Y355" s="11"/>
      <c r="Z355" s="11"/>
      <c r="AA355" s="11"/>
      <c r="AB355" s="11"/>
    </row>
    <row r="356" spans="3:28" hidden="1" x14ac:dyDescent="0.15">
      <c r="C356" s="708"/>
      <c r="D356" s="708"/>
      <c r="E356" s="708"/>
      <c r="F356" s="11"/>
      <c r="G356" s="11"/>
      <c r="H356" s="11"/>
      <c r="I356" s="11"/>
      <c r="J356" s="11"/>
      <c r="K356" s="11"/>
      <c r="L356" s="11"/>
      <c r="M356" s="11"/>
      <c r="N356" s="11"/>
      <c r="O356" s="11"/>
      <c r="P356" s="11"/>
      <c r="Q356" s="11"/>
      <c r="R356" s="11"/>
      <c r="S356" s="11"/>
      <c r="T356" s="11"/>
      <c r="U356" s="11"/>
      <c r="V356" s="11"/>
      <c r="W356" s="11"/>
      <c r="X356" s="11"/>
      <c r="Y356" s="11"/>
      <c r="Z356" s="11"/>
      <c r="AA356" s="11"/>
      <c r="AB356" s="11"/>
    </row>
    <row r="357" spans="3:28" hidden="1" x14ac:dyDescent="0.15">
      <c r="C357" s="708" t="s">
        <v>269</v>
      </c>
      <c r="D357" s="708"/>
      <c r="E357" s="742">
        <f ca="1">IRR(E355:O355)</f>
        <v>0.15036123968689852</v>
      </c>
      <c r="F357" s="11"/>
      <c r="G357" s="11"/>
      <c r="H357" s="11"/>
      <c r="I357" s="11"/>
      <c r="J357" s="11"/>
      <c r="K357" s="11"/>
      <c r="L357" s="11"/>
      <c r="M357" s="11"/>
      <c r="N357" s="11"/>
      <c r="O357" s="11"/>
      <c r="P357" s="11"/>
      <c r="Q357" s="11"/>
      <c r="R357" s="11"/>
      <c r="S357" s="11"/>
      <c r="T357" s="11"/>
      <c r="U357" s="11"/>
      <c r="V357" s="11"/>
      <c r="W357" s="11"/>
      <c r="X357" s="11"/>
      <c r="Y357" s="11"/>
      <c r="Z357" s="11"/>
      <c r="AA357" s="11"/>
      <c r="AB357" s="11"/>
    </row>
    <row r="358" spans="3:28" hidden="1" x14ac:dyDescent="0.15">
      <c r="C358" s="708" t="str">
        <f>+C309</f>
        <v>Investor Multiple</v>
      </c>
      <c r="D358" s="708"/>
      <c r="E358" s="753">
        <f ca="1">SUM(F355:O355)/-E355</f>
        <v>2.5835247083914399</v>
      </c>
      <c r="F358" s="11"/>
      <c r="G358" s="11"/>
      <c r="H358" s="11"/>
      <c r="I358" s="11"/>
      <c r="J358" s="11"/>
      <c r="K358" s="11"/>
      <c r="L358" s="11"/>
      <c r="M358" s="11"/>
      <c r="N358" s="11"/>
      <c r="O358" s="11"/>
      <c r="P358" s="11"/>
      <c r="Q358" s="11"/>
      <c r="R358" s="11"/>
      <c r="S358" s="11"/>
      <c r="T358" s="11"/>
      <c r="U358" s="11"/>
      <c r="V358" s="11"/>
      <c r="W358" s="11"/>
      <c r="X358" s="11"/>
      <c r="Y358" s="11"/>
      <c r="Z358" s="11"/>
      <c r="AA358" s="11"/>
      <c r="AB358" s="11"/>
    </row>
    <row r="359" spans="3:28" hidden="1" x14ac:dyDescent="0.15">
      <c r="C359" s="708" t="str">
        <f>+C310</f>
        <v>investor cash</v>
      </c>
      <c r="D359" s="708"/>
      <c r="E359" s="729">
        <f ca="1">SUM(F355:O355)</f>
        <v>7647233.1368386624</v>
      </c>
      <c r="F359" s="11"/>
      <c r="G359" s="11"/>
      <c r="H359" s="11"/>
      <c r="I359" s="11"/>
      <c r="J359" s="11"/>
      <c r="K359" s="11"/>
      <c r="L359" s="11"/>
      <c r="M359" s="11"/>
      <c r="N359" s="11"/>
      <c r="O359" s="11"/>
      <c r="P359" s="11"/>
      <c r="Q359" s="11"/>
      <c r="R359" s="11"/>
      <c r="S359" s="11"/>
      <c r="T359" s="11"/>
      <c r="U359" s="11"/>
      <c r="V359" s="11"/>
      <c r="W359" s="11"/>
      <c r="X359" s="11"/>
      <c r="Y359" s="11"/>
      <c r="Z359" s="11"/>
      <c r="AA359" s="11"/>
      <c r="AB359" s="11"/>
    </row>
    <row r="360" spans="3:28" hidden="1" x14ac:dyDescent="0.15">
      <c r="C360" s="708" t="s">
        <v>262</v>
      </c>
      <c r="E360" s="729">
        <f ca="1">SUM(F354:O354)</f>
        <v>3935788.8767728414</v>
      </c>
      <c r="F360" s="708"/>
      <c r="G360" s="708"/>
      <c r="H360" s="708"/>
      <c r="I360" s="708"/>
      <c r="J360" s="708"/>
      <c r="K360" s="708"/>
      <c r="L360" s="708"/>
      <c r="M360" s="708"/>
      <c r="N360" s="708"/>
      <c r="O360" s="708"/>
      <c r="P360" s="708"/>
      <c r="Q360" s="708"/>
      <c r="R360" s="708"/>
      <c r="S360" s="708"/>
      <c r="T360" s="708"/>
      <c r="U360" s="708"/>
      <c r="V360" s="708"/>
      <c r="W360" s="708"/>
      <c r="X360" s="708"/>
      <c r="Y360" s="708"/>
      <c r="Z360" s="708"/>
      <c r="AA360" s="708"/>
      <c r="AB360" s="708"/>
    </row>
    <row r="361" spans="3:28" hidden="1" x14ac:dyDescent="0.15"/>
    <row r="362" spans="3:28" hidden="1" x14ac:dyDescent="0.15"/>
    <row r="363" spans="3:28" hidden="1" x14ac:dyDescent="0.15"/>
    <row r="364" spans="3:28" hidden="1" x14ac:dyDescent="0.15"/>
    <row r="365" spans="3:28" hidden="1" x14ac:dyDescent="0.15"/>
    <row r="366" spans="3:28" hidden="1" x14ac:dyDescent="0.15"/>
    <row r="367" spans="3:28" hidden="1" x14ac:dyDescent="0.15"/>
    <row r="368" spans="3:28" hidden="1" x14ac:dyDescent="0.15"/>
    <row r="369" spans="2:4" hidden="1" x14ac:dyDescent="0.15"/>
    <row r="370" spans="2:4" hidden="1" x14ac:dyDescent="0.15"/>
    <row r="371" spans="2:4" hidden="1" x14ac:dyDescent="0.15"/>
    <row r="372" spans="2:4" hidden="1" x14ac:dyDescent="0.15"/>
    <row r="373" spans="2:4" hidden="1" x14ac:dyDescent="0.15"/>
    <row r="374" spans="2:4" hidden="1" x14ac:dyDescent="0.15"/>
    <row r="375" spans="2:4" hidden="1" x14ac:dyDescent="0.15"/>
    <row r="376" spans="2:4" hidden="1" x14ac:dyDescent="0.15"/>
    <row r="377" spans="2:4" hidden="1" x14ac:dyDescent="0.15"/>
    <row r="378" spans="2:4" hidden="1" x14ac:dyDescent="0.15"/>
    <row r="379" spans="2:4" hidden="1" x14ac:dyDescent="0.15"/>
    <row r="380" spans="2:4" hidden="1" x14ac:dyDescent="0.15"/>
    <row r="381" spans="2:4" hidden="1" x14ac:dyDescent="0.15"/>
    <row r="382" spans="2:4" hidden="1" x14ac:dyDescent="0.15"/>
    <row r="383" spans="2:4" hidden="1" x14ac:dyDescent="0.15"/>
    <row r="384" spans="2:4" s="324" customFormat="1" hidden="1" x14ac:dyDescent="0.15">
      <c r="B384" s="489"/>
      <c r="C384" s="325" t="s">
        <v>270</v>
      </c>
      <c r="D384" s="323"/>
    </row>
    <row r="385" hidden="1" x14ac:dyDescent="0.15"/>
    <row r="386" hidden="1" x14ac:dyDescent="0.15"/>
    <row r="387" hidden="1" x14ac:dyDescent="0.15"/>
  </sheetData>
  <sheetProtection algorithmName="SHA-512" hashValue="wfHWoWntufOmRI8rusqvF8BepKPLbKkrZvJyRGUSWHrUVA2RhsNLiWIEIrdNRtZyvKPobOX8s+QsATvQmVkeNg==" saltValue="SBPReamxcSJujVxXDyePCg==" spinCount="100000" sheet="1" objects="1" scenarios="1"/>
  <mergeCells count="10">
    <mergeCell ref="C265:J265"/>
    <mergeCell ref="C190:O190"/>
    <mergeCell ref="C314:O314"/>
    <mergeCell ref="D1:E1"/>
    <mergeCell ref="C216:H216"/>
    <mergeCell ref="A155:O155"/>
    <mergeCell ref="C176:D176"/>
    <mergeCell ref="C167:F167"/>
    <mergeCell ref="C157:E157"/>
    <mergeCell ref="M19:P19"/>
  </mergeCells>
  <phoneticPr fontId="0" type="noConversion"/>
  <conditionalFormatting sqref="F51:AJ51 F34:AJ40 F56:AJ79 F44:AJ49 F28:AJ31">
    <cfRule type="expression" dxfId="35" priority="27">
      <formula>IF(_xlfn.ISFORMULA(F28),FALSE,TRUE)</formula>
    </cfRule>
  </conditionalFormatting>
  <conditionalFormatting sqref="E56:E79">
    <cfRule type="expression" dxfId="34" priority="17">
      <formula>IF(_xlfn.ISFORMULA(E56),FALSE,TRUE)</formula>
    </cfRule>
  </conditionalFormatting>
  <conditionalFormatting sqref="E56:E79">
    <cfRule type="expression" dxfId="33" priority="16">
      <formula>IF(_xlfn.ISFORMULA(E56),FALSE,TRUE)</formula>
    </cfRule>
  </conditionalFormatting>
  <conditionalFormatting sqref="D56:D79">
    <cfRule type="expression" dxfId="32" priority="15">
      <formula>IF(_xlfn.ISFORMULA(D56),FALSE,TRUE)</formula>
    </cfRule>
  </conditionalFormatting>
  <conditionalFormatting sqref="D56:D79">
    <cfRule type="expression" dxfId="31" priority="14">
      <formula>IF(_xlfn.ISFORMULA(D56),FALSE,TRUE)</formula>
    </cfRule>
  </conditionalFormatting>
  <conditionalFormatting sqref="F91">
    <cfRule type="notContainsBlanks" dxfId="30" priority="13">
      <formula>LEN(TRIM(F91))&gt;0</formula>
    </cfRule>
  </conditionalFormatting>
  <conditionalFormatting sqref="G91:AJ91">
    <cfRule type="notContainsBlanks" dxfId="29" priority="12">
      <formula>LEN(TRIM(G91))&gt;0</formula>
    </cfRule>
  </conditionalFormatting>
  <conditionalFormatting sqref="F88">
    <cfRule type="expression" dxfId="28" priority="11">
      <formula>IF(_xlfn.ISFORMULA(F88),FALSE,TRUE)</formula>
    </cfRule>
  </conditionalFormatting>
  <conditionalFormatting sqref="F88">
    <cfRule type="expression" dxfId="27" priority="10">
      <formula>IF(_xlfn.ISFORMULA(F88),FALSE,TRUE)</formula>
    </cfRule>
  </conditionalFormatting>
  <conditionalFormatting sqref="G88:M88">
    <cfRule type="expression" dxfId="26" priority="9">
      <formula>IF(_xlfn.ISFORMULA(G88),FALSE,TRUE)</formula>
    </cfRule>
  </conditionalFormatting>
  <conditionalFormatting sqref="G88:M88">
    <cfRule type="expression" dxfId="25" priority="8">
      <formula>IF(_xlfn.ISFORMULA(G88),FALSE,TRUE)</formula>
    </cfRule>
  </conditionalFormatting>
  <conditionalFormatting sqref="F87">
    <cfRule type="expression" dxfId="24" priority="7">
      <formula>IF(_xlfn.ISFORMULA(F87),FALSE,TRUE)</formula>
    </cfRule>
  </conditionalFormatting>
  <conditionalFormatting sqref="F87">
    <cfRule type="expression" dxfId="23" priority="6">
      <formula>IF(_xlfn.ISFORMULA(F87),FALSE,TRUE)</formula>
    </cfRule>
  </conditionalFormatting>
  <conditionalFormatting sqref="G87:M87">
    <cfRule type="expression" dxfId="22" priority="5">
      <formula>IF(_xlfn.ISFORMULA(G87),FALSE,TRUE)</formula>
    </cfRule>
  </conditionalFormatting>
  <conditionalFormatting sqref="G87:M87">
    <cfRule type="expression" dxfId="21" priority="4">
      <formula>IF(_xlfn.ISFORMULA(G87),FALSE,TRUE)</formula>
    </cfRule>
  </conditionalFormatting>
  <conditionalFormatting sqref="D100">
    <cfRule type="cellIs" priority="1" operator="greaterThanOrEqual">
      <formula>$D$97</formula>
    </cfRule>
    <cfRule type="cellIs" dxfId="20" priority="3" operator="greaterThan">
      <formula>$D$97</formula>
    </cfRule>
  </conditionalFormatting>
  <dataValidations disablePrompts="1" count="1">
    <dataValidation type="list" allowBlank="1" showInputMessage="1" showErrorMessage="1" sqref="N5" xr:uid="{2193E996-7C81-4AAD-8533-F2C743F15953}">
      <formula1>"Yes, No"</formula1>
    </dataValidation>
  </dataValidations>
  <pageMargins left="0.25" right="0.25" top="0.75" bottom="0.75" header="0.3" footer="0.3"/>
  <pageSetup scale="27" fitToHeight="0" orientation="landscape" r:id="rId1"/>
  <headerFooter alignWithMargins="0"/>
  <legacyDrawing r:id="rId2"/>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857B535-2106-4A67-820C-683114398DF3}">
          <x14:formula1>
            <xm:f>'IE Data Entry'!$P$2:$P$5</xm:f>
          </x14:formula1>
          <xm:sqref>N4</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rgb="FF002060"/>
    <pageSetUpPr fitToPage="1"/>
  </sheetPr>
  <dimension ref="A1:M192"/>
  <sheetViews>
    <sheetView zoomScaleNormal="100" workbookViewId="0">
      <selection activeCell="J16" sqref="J16:J17"/>
    </sheetView>
  </sheetViews>
  <sheetFormatPr baseColWidth="10" defaultColWidth="8.83203125" defaultRowHeight="13" x14ac:dyDescent="0.15"/>
  <cols>
    <col min="1" max="1" width="28.5" customWidth="1"/>
    <col min="2" max="2" width="15.33203125" customWidth="1"/>
    <col min="3" max="3" width="15.6640625" bestFit="1" customWidth="1"/>
    <col min="4" max="4" width="15.1640625" customWidth="1"/>
    <col min="5" max="5" width="11.5" customWidth="1"/>
    <col min="6" max="6" width="19.5" customWidth="1"/>
    <col min="7" max="7" width="11" customWidth="1"/>
    <col min="8" max="8" width="11.5" customWidth="1"/>
    <col min="9" max="9" width="9.5" bestFit="1" customWidth="1"/>
    <col min="10" max="10" width="16.83203125" customWidth="1"/>
    <col min="11" max="11" width="7.1640625" customWidth="1"/>
    <col min="12" max="12" width="12.33203125" customWidth="1"/>
    <col min="13" max="13" width="19.33203125" customWidth="1"/>
  </cols>
  <sheetData>
    <row r="1" spans="1:13" x14ac:dyDescent="0.15">
      <c r="A1" s="820" t="s">
        <v>271</v>
      </c>
      <c r="B1" s="821"/>
      <c r="C1" s="822"/>
      <c r="D1" s="307"/>
      <c r="F1" s="820" t="s">
        <v>272</v>
      </c>
      <c r="G1" s="820"/>
      <c r="H1" s="820"/>
      <c r="I1" s="820"/>
      <c r="J1" s="820"/>
      <c r="K1" s="820"/>
      <c r="L1" s="820"/>
      <c r="M1" s="820"/>
    </row>
    <row r="2" spans="1:13" ht="12.75" customHeight="1" x14ac:dyDescent="0.2">
      <c r="A2" s="823" t="s">
        <v>273</v>
      </c>
      <c r="B2" s="824"/>
      <c r="C2" s="825"/>
      <c r="D2" s="307"/>
      <c r="E2" s="754"/>
      <c r="F2" s="708"/>
      <c r="G2" s="708"/>
      <c r="H2" s="708"/>
      <c r="I2" s="708"/>
      <c r="J2" s="708"/>
      <c r="K2" s="708"/>
      <c r="L2" s="708"/>
      <c r="M2" s="708"/>
    </row>
    <row r="3" spans="1:13" ht="12.75" customHeight="1" x14ac:dyDescent="0.2">
      <c r="A3" s="826" t="s">
        <v>274</v>
      </c>
      <c r="B3" s="827"/>
      <c r="C3" s="828">
        <v>7000</v>
      </c>
      <c r="D3" s="755"/>
      <c r="E3" s="754"/>
      <c r="F3" s="600"/>
      <c r="G3" s="597"/>
      <c r="H3" s="598"/>
      <c r="I3" s="708"/>
      <c r="J3" s="600"/>
      <c r="K3" s="597"/>
      <c r="L3" s="598"/>
      <c r="M3" s="708"/>
    </row>
    <row r="4" spans="1:13" ht="12.75" customHeight="1" x14ac:dyDescent="0.2">
      <c r="A4" s="756" t="s">
        <v>275</v>
      </c>
      <c r="B4" s="708"/>
      <c r="C4" s="757">
        <f>0.005*InitialLoan</f>
        <v>17250</v>
      </c>
      <c r="D4" s="755"/>
      <c r="E4" s="754"/>
      <c r="F4" s="599"/>
      <c r="G4" s="597"/>
      <c r="H4" s="594"/>
      <c r="I4" s="708"/>
      <c r="J4" s="599"/>
      <c r="K4" s="597"/>
      <c r="L4" s="594"/>
      <c r="M4" s="708"/>
    </row>
    <row r="5" spans="1:13" ht="12.75" customHeight="1" x14ac:dyDescent="0.2">
      <c r="A5" s="131" t="s">
        <v>276</v>
      </c>
      <c r="C5" s="277">
        <v>6000</v>
      </c>
      <c r="D5" s="755"/>
      <c r="E5" s="754"/>
      <c r="F5" s="599"/>
      <c r="G5" s="597"/>
      <c r="H5" s="594"/>
      <c r="I5" s="708"/>
      <c r="J5" s="599"/>
      <c r="K5" s="597"/>
      <c r="L5" s="594"/>
      <c r="M5" s="708"/>
    </row>
    <row r="6" spans="1:13" ht="12.75" customHeight="1" x14ac:dyDescent="0.2">
      <c r="A6" s="756" t="s">
        <v>277</v>
      </c>
      <c r="C6" s="276">
        <v>2500</v>
      </c>
      <c r="D6" s="755"/>
      <c r="E6" s="754"/>
      <c r="F6" s="599"/>
      <c r="G6" s="597"/>
      <c r="H6" s="594"/>
      <c r="I6" s="708"/>
      <c r="J6" s="599"/>
      <c r="K6" s="597"/>
      <c r="L6" s="594"/>
      <c r="M6" s="708"/>
    </row>
    <row r="7" spans="1:13" ht="15" x14ac:dyDescent="0.2">
      <c r="A7" s="756" t="s">
        <v>278</v>
      </c>
      <c r="C7" s="276"/>
      <c r="D7" s="755"/>
      <c r="E7" s="754"/>
      <c r="F7" s="599"/>
      <c r="G7" s="597"/>
      <c r="H7" s="595"/>
      <c r="I7" s="708"/>
      <c r="J7" s="599"/>
      <c r="K7" s="597"/>
      <c r="L7" s="595"/>
      <c r="M7" s="708"/>
    </row>
    <row r="8" spans="1:13" ht="15" x14ac:dyDescent="0.2">
      <c r="A8" s="131" t="s">
        <v>279</v>
      </c>
      <c r="C8" s="308"/>
      <c r="D8" s="755"/>
      <c r="F8" s="599"/>
      <c r="G8" s="597"/>
      <c r="H8" s="596"/>
      <c r="I8" s="708"/>
      <c r="J8" s="599"/>
      <c r="K8" s="597"/>
      <c r="L8" s="596"/>
      <c r="M8" s="708"/>
    </row>
    <row r="9" spans="1:13" ht="15" x14ac:dyDescent="0.2">
      <c r="A9" s="131" t="s">
        <v>280</v>
      </c>
      <c r="C9" s="308">
        <f>5000-250-2500</f>
        <v>2250</v>
      </c>
      <c r="F9" s="599"/>
      <c r="G9" s="597"/>
      <c r="H9" s="598"/>
      <c r="I9" s="708"/>
      <c r="J9" s="599"/>
      <c r="K9" s="597"/>
      <c r="L9" s="598"/>
      <c r="M9" s="708"/>
    </row>
    <row r="10" spans="1:13" ht="15" x14ac:dyDescent="0.2">
      <c r="A10" s="659" t="s">
        <v>281</v>
      </c>
      <c r="B10" s="659"/>
      <c r="C10" s="758">
        <f>SUM(C3:C9)</f>
        <v>35000</v>
      </c>
      <c r="F10" s="600"/>
      <c r="G10" s="597"/>
      <c r="H10" s="598"/>
      <c r="I10" s="708"/>
      <c r="J10" s="600"/>
      <c r="K10" s="597"/>
      <c r="L10" s="598"/>
      <c r="M10" s="708"/>
    </row>
    <row r="11" spans="1:13" ht="15" x14ac:dyDescent="0.2">
      <c r="A11" s="128"/>
      <c r="C11" s="309"/>
      <c r="F11" s="599"/>
      <c r="G11" s="597"/>
      <c r="H11" s="594"/>
      <c r="I11" s="708"/>
      <c r="J11" s="599"/>
      <c r="K11" s="597"/>
      <c r="L11" s="594"/>
      <c r="M11" s="708"/>
    </row>
    <row r="12" spans="1:13" ht="15" x14ac:dyDescent="0.2">
      <c r="A12" s="311" t="s">
        <v>282</v>
      </c>
      <c r="B12" s="310"/>
      <c r="C12" s="312"/>
      <c r="F12" s="599"/>
      <c r="G12" s="597"/>
      <c r="H12" s="594"/>
      <c r="I12" s="708"/>
      <c r="J12" s="599"/>
      <c r="K12" s="597"/>
      <c r="L12" s="594"/>
      <c r="M12" s="708"/>
    </row>
    <row r="13" spans="1:13" ht="15" x14ac:dyDescent="0.2">
      <c r="A13" s="759" t="s">
        <v>283</v>
      </c>
      <c r="C13" s="308">
        <v>5000</v>
      </c>
      <c r="E13" s="729"/>
      <c r="F13" s="599"/>
      <c r="G13" s="597"/>
      <c r="H13" s="594"/>
      <c r="I13" s="708"/>
      <c r="J13" s="599"/>
      <c r="K13" s="597"/>
      <c r="L13" s="594"/>
      <c r="M13" s="708"/>
    </row>
    <row r="14" spans="1:13" ht="15" x14ac:dyDescent="0.2">
      <c r="A14" s="759" t="s">
        <v>284</v>
      </c>
      <c r="C14" s="308">
        <v>0</v>
      </c>
      <c r="E14" s="729"/>
      <c r="F14" s="599"/>
      <c r="G14" s="597"/>
      <c r="H14" s="594"/>
      <c r="I14" s="708"/>
      <c r="J14" s="599"/>
      <c r="K14" s="597"/>
      <c r="L14" s="594"/>
      <c r="M14" s="708"/>
    </row>
    <row r="15" spans="1:13" ht="15" x14ac:dyDescent="0.2">
      <c r="A15" s="759" t="s">
        <v>285</v>
      </c>
      <c r="C15" s="308">
        <v>5000</v>
      </c>
      <c r="E15" s="250"/>
      <c r="F15" s="599"/>
      <c r="G15" s="597"/>
      <c r="H15" s="595"/>
      <c r="I15" s="708"/>
      <c r="J15" s="599"/>
      <c r="K15" s="597"/>
      <c r="L15" s="595"/>
      <c r="M15" s="708"/>
    </row>
    <row r="16" spans="1:13" ht="15" x14ac:dyDescent="0.2">
      <c r="A16" s="759" t="s">
        <v>286</v>
      </c>
      <c r="C16" s="308">
        <v>35000</v>
      </c>
      <c r="F16" s="599"/>
      <c r="G16" s="597"/>
      <c r="H16" s="596"/>
      <c r="I16" s="708"/>
      <c r="J16" s="599"/>
      <c r="K16" s="597"/>
      <c r="L16" s="596"/>
      <c r="M16" s="708"/>
    </row>
    <row r="17" spans="1:13" x14ac:dyDescent="0.15">
      <c r="A17" s="759" t="s">
        <v>287</v>
      </c>
      <c r="C17" s="308">
        <v>0</v>
      </c>
      <c r="F17" s="708"/>
      <c r="G17" s="708"/>
      <c r="H17" s="708"/>
      <c r="I17" s="708"/>
      <c r="J17" s="708"/>
      <c r="K17" s="708"/>
      <c r="L17" s="708"/>
      <c r="M17" s="708"/>
    </row>
    <row r="18" spans="1:13" x14ac:dyDescent="0.15">
      <c r="A18" s="756" t="s">
        <v>288</v>
      </c>
      <c r="C18" s="308">
        <v>0</v>
      </c>
      <c r="D18" s="729"/>
      <c r="F18" s="708"/>
      <c r="G18" s="708"/>
      <c r="H18" s="708"/>
      <c r="I18" s="708"/>
      <c r="J18" s="708"/>
      <c r="K18" s="708"/>
      <c r="L18" s="708"/>
      <c r="M18" s="708"/>
    </row>
    <row r="19" spans="1:13" ht="14" thickBot="1" x14ac:dyDescent="0.2">
      <c r="A19" s="756" t="s">
        <v>289</v>
      </c>
      <c r="C19" s="308">
        <v>0</v>
      </c>
      <c r="D19" s="729"/>
      <c r="F19" s="708"/>
      <c r="G19" s="708"/>
      <c r="H19" s="708"/>
      <c r="I19" s="708"/>
      <c r="J19" s="708"/>
      <c r="K19" s="708"/>
      <c r="L19" s="708"/>
      <c r="M19" s="708"/>
    </row>
    <row r="20" spans="1:13" x14ac:dyDescent="0.15">
      <c r="A20" s="756" t="s">
        <v>290</v>
      </c>
      <c r="C20" s="629">
        <v>0</v>
      </c>
      <c r="D20" s="630" t="s">
        <v>291</v>
      </c>
      <c r="E20" s="631" t="s">
        <v>292</v>
      </c>
      <c r="F20" s="708"/>
      <c r="G20" s="708"/>
      <c r="H20" s="708"/>
      <c r="I20" s="708"/>
      <c r="J20" s="708"/>
      <c r="K20" s="708"/>
      <c r="L20" s="708"/>
      <c r="M20" s="708"/>
    </row>
    <row r="21" spans="1:13" x14ac:dyDescent="0.15">
      <c r="A21" s="756" t="s">
        <v>293</v>
      </c>
      <c r="C21" s="629">
        <v>70000</v>
      </c>
      <c r="D21" s="660">
        <v>0</v>
      </c>
      <c r="E21" s="661">
        <v>3000</v>
      </c>
      <c r="F21" s="708"/>
      <c r="G21" s="708"/>
      <c r="H21" s="708"/>
      <c r="I21" s="708"/>
      <c r="J21" s="708"/>
      <c r="K21" s="708"/>
      <c r="L21" s="708"/>
      <c r="M21" s="708"/>
    </row>
    <row r="22" spans="1:13" x14ac:dyDescent="0.15">
      <c r="A22" s="756" t="s">
        <v>294</v>
      </c>
      <c r="C22" s="629">
        <f>+D22*E22</f>
        <v>120000</v>
      </c>
      <c r="D22" s="660">
        <v>20</v>
      </c>
      <c r="E22" s="661">
        <v>6000</v>
      </c>
      <c r="F22" s="708"/>
      <c r="G22" s="708"/>
      <c r="H22" s="708"/>
      <c r="I22" s="708"/>
      <c r="J22" s="708"/>
      <c r="K22" s="708"/>
      <c r="L22" s="708"/>
      <c r="M22" s="708"/>
    </row>
    <row r="23" spans="1:13" x14ac:dyDescent="0.15">
      <c r="A23" s="756" t="s">
        <v>295</v>
      </c>
      <c r="C23" s="629">
        <f>+D23*E23</f>
        <v>350000</v>
      </c>
      <c r="D23" s="660">
        <v>20</v>
      </c>
      <c r="E23" s="661">
        <v>17500</v>
      </c>
      <c r="F23" s="708"/>
      <c r="G23" s="760"/>
      <c r="H23" s="708"/>
      <c r="I23" s="708"/>
      <c r="J23" s="708"/>
      <c r="K23" s="708"/>
      <c r="L23" s="708"/>
      <c r="M23" s="708"/>
    </row>
    <row r="24" spans="1:13" ht="14" thickBot="1" x14ac:dyDescent="0.2">
      <c r="A24" s="756" t="s">
        <v>296</v>
      </c>
      <c r="C24" s="629">
        <f t="shared" ref="C24" si="0">D24*E24</f>
        <v>0</v>
      </c>
      <c r="D24" s="662">
        <v>0</v>
      </c>
      <c r="E24" s="663">
        <v>10000</v>
      </c>
      <c r="F24" s="708"/>
      <c r="G24" s="708"/>
      <c r="H24" s="708"/>
      <c r="I24" s="708"/>
      <c r="J24" s="708"/>
      <c r="K24" s="708"/>
      <c r="L24" s="708"/>
      <c r="M24" s="708"/>
    </row>
    <row r="25" spans="1:13" x14ac:dyDescent="0.15">
      <c r="A25" s="756" t="s">
        <v>297</v>
      </c>
      <c r="C25" s="308">
        <v>0</v>
      </c>
      <c r="F25" s="708"/>
      <c r="G25" s="708"/>
      <c r="H25" s="708"/>
      <c r="I25" s="708"/>
      <c r="J25" s="708"/>
      <c r="K25" s="708"/>
      <c r="L25" s="708"/>
      <c r="M25" s="708"/>
    </row>
    <row r="26" spans="1:13" x14ac:dyDescent="0.15">
      <c r="A26" s="756" t="s">
        <v>298</v>
      </c>
      <c r="C26" s="308">
        <v>0</v>
      </c>
      <c r="F26" s="708"/>
      <c r="G26" s="708"/>
      <c r="H26" s="708"/>
      <c r="I26" s="708"/>
      <c r="J26" s="708"/>
      <c r="K26" s="708"/>
      <c r="L26" s="708"/>
      <c r="M26" s="708"/>
    </row>
    <row r="27" spans="1:13" x14ac:dyDescent="0.15">
      <c r="A27" s="756" t="s">
        <v>299</v>
      </c>
      <c r="C27" s="308">
        <v>40000</v>
      </c>
      <c r="F27" s="708"/>
      <c r="G27" s="708"/>
      <c r="H27" s="708"/>
      <c r="I27" s="708"/>
      <c r="J27" s="708"/>
      <c r="K27" s="708"/>
      <c r="L27" s="708"/>
      <c r="M27" s="708"/>
    </row>
    <row r="28" spans="1:13" x14ac:dyDescent="0.15">
      <c r="A28" s="761" t="s">
        <v>300</v>
      </c>
      <c r="B28" s="659"/>
      <c r="C28" s="758">
        <f>SUM(C13:C27)</f>
        <v>625000</v>
      </c>
    </row>
    <row r="29" spans="1:13" x14ac:dyDescent="0.15">
      <c r="A29" s="134"/>
      <c r="B29" s="76"/>
      <c r="C29" s="278"/>
    </row>
    <row r="30" spans="1:13" x14ac:dyDescent="0.15">
      <c r="A30" s="134"/>
      <c r="B30" s="259" t="s">
        <v>301</v>
      </c>
      <c r="C30" s="314">
        <f>+C28+C10</f>
        <v>660000</v>
      </c>
    </row>
    <row r="32" spans="1:13" x14ac:dyDescent="0.15">
      <c r="E32" s="251"/>
    </row>
    <row r="33" spans="1:11" x14ac:dyDescent="0.15">
      <c r="A33" s="664" t="s">
        <v>302</v>
      </c>
      <c r="B33" s="665"/>
      <c r="C33" s="665"/>
      <c r="D33" s="666"/>
      <c r="E33" s="251"/>
      <c r="F33" s="870" t="s">
        <v>303</v>
      </c>
      <c r="G33" s="871"/>
      <c r="H33" s="871"/>
      <c r="I33" s="871"/>
      <c r="J33" s="871"/>
      <c r="K33" s="872"/>
    </row>
    <row r="34" spans="1:11" ht="14" thickBot="1" x14ac:dyDescent="0.2">
      <c r="A34" s="131"/>
      <c r="B34" s="667" t="s">
        <v>304</v>
      </c>
      <c r="C34" s="60" t="s">
        <v>305</v>
      </c>
      <c r="D34" s="235" t="s">
        <v>306</v>
      </c>
      <c r="E34" s="251"/>
      <c r="F34" s="131"/>
      <c r="G34" s="748" t="s">
        <v>307</v>
      </c>
      <c r="H34" s="748" t="s">
        <v>308</v>
      </c>
      <c r="I34" s="762" t="s">
        <v>309</v>
      </c>
      <c r="J34" s="748" t="s">
        <v>310</v>
      </c>
      <c r="K34" s="763" t="s">
        <v>311</v>
      </c>
    </row>
    <row r="35" spans="1:11" x14ac:dyDescent="0.15">
      <c r="A35" s="674" t="s">
        <v>312</v>
      </c>
      <c r="B35" s="675"/>
      <c r="C35" s="676"/>
      <c r="D35" s="677">
        <f>Proforma!D4</f>
        <v>5750000</v>
      </c>
      <c r="E35" s="251"/>
      <c r="F35" s="320" t="s">
        <v>313</v>
      </c>
      <c r="J35" s="315"/>
      <c r="K35" s="316"/>
    </row>
    <row r="36" spans="1:11" x14ac:dyDescent="0.15">
      <c r="A36" s="7" t="s">
        <v>314</v>
      </c>
      <c r="B36" s="236">
        <v>1.1399299999999999E-2</v>
      </c>
      <c r="C36" s="237">
        <f t="shared" ref="C36:C49" si="1">B36*$C$35</f>
        <v>0</v>
      </c>
      <c r="D36" s="237">
        <f t="shared" ref="D36:D49" si="2">B36*$D$35</f>
        <v>65545.974999999991</v>
      </c>
      <c r="E36" s="251"/>
      <c r="F36" s="756" t="s">
        <v>315</v>
      </c>
      <c r="G36" s="345">
        <v>40</v>
      </c>
      <c r="H36" s="346">
        <v>17</v>
      </c>
      <c r="I36" s="317">
        <f>(H36*G36)*52/12</f>
        <v>2946.6666666666665</v>
      </c>
      <c r="J36" s="315"/>
      <c r="K36" s="316"/>
    </row>
    <row r="37" spans="1:11" x14ac:dyDescent="0.15">
      <c r="A37" s="717"/>
      <c r="B37" s="236"/>
      <c r="C37" s="237">
        <f t="shared" si="1"/>
        <v>0</v>
      </c>
      <c r="D37" s="237">
        <f t="shared" si="2"/>
        <v>0</v>
      </c>
      <c r="E37" s="251"/>
      <c r="F37" s="756" t="s">
        <v>316</v>
      </c>
      <c r="G37" s="345"/>
      <c r="H37" s="346"/>
      <c r="I37" s="317">
        <f t="shared" ref="I37:I38" si="3">(H37*G37)*52/12</f>
        <v>0</v>
      </c>
      <c r="J37" s="315"/>
      <c r="K37" s="316"/>
    </row>
    <row r="38" spans="1:11" x14ac:dyDescent="0.15">
      <c r="A38" s="717"/>
      <c r="B38" s="236"/>
      <c r="C38" s="237">
        <f t="shared" si="1"/>
        <v>0</v>
      </c>
      <c r="D38" s="237">
        <f t="shared" si="2"/>
        <v>0</v>
      </c>
      <c r="E38" s="251"/>
      <c r="F38" s="756" t="s">
        <v>104</v>
      </c>
      <c r="G38" s="345"/>
      <c r="H38" s="346"/>
      <c r="I38" s="317">
        <f t="shared" si="3"/>
        <v>0</v>
      </c>
      <c r="J38" s="315"/>
      <c r="K38" s="316"/>
    </row>
    <row r="39" spans="1:11" x14ac:dyDescent="0.15">
      <c r="A39" s="717"/>
      <c r="B39" s="236"/>
      <c r="C39" s="237">
        <f t="shared" si="1"/>
        <v>0</v>
      </c>
      <c r="D39" s="237">
        <f t="shared" si="2"/>
        <v>0</v>
      </c>
      <c r="E39" s="251"/>
      <c r="F39" s="829" t="s">
        <v>317</v>
      </c>
      <c r="G39" s="830">
        <f>SUM(G36:G38)</f>
        <v>40</v>
      </c>
      <c r="H39" s="831">
        <f>IF(ISERROR((SUMPRODUCT(G36:G38,H36:H38)/G39)),"",(SUMPRODUCT(G36:G38,H36:H38)/G39))</f>
        <v>17</v>
      </c>
      <c r="I39" s="832">
        <f>SUM(I36:I38)</f>
        <v>2946.6666666666665</v>
      </c>
      <c r="J39" s="830">
        <f>IF(G39&gt;0,COUNT(G36:G38),0)</f>
        <v>1</v>
      </c>
      <c r="K39" s="833">
        <f>G39/40</f>
        <v>1</v>
      </c>
    </row>
    <row r="40" spans="1:11" x14ac:dyDescent="0.15">
      <c r="A40" s="717"/>
      <c r="B40" s="236"/>
      <c r="C40" s="237">
        <f t="shared" si="1"/>
        <v>0</v>
      </c>
      <c r="D40" s="237">
        <f t="shared" si="2"/>
        <v>0</v>
      </c>
      <c r="E40" s="251"/>
      <c r="F40" s="131"/>
      <c r="H40" s="262"/>
      <c r="I40" s="317"/>
      <c r="K40" s="316"/>
    </row>
    <row r="41" spans="1:11" x14ac:dyDescent="0.15">
      <c r="A41" s="717"/>
      <c r="B41" s="236"/>
      <c r="C41" s="237">
        <f t="shared" si="1"/>
        <v>0</v>
      </c>
      <c r="D41" s="237">
        <f t="shared" si="2"/>
        <v>0</v>
      </c>
      <c r="E41" s="251"/>
      <c r="F41" s="320" t="s">
        <v>318</v>
      </c>
      <c r="H41" s="262"/>
      <c r="I41" s="317"/>
      <c r="K41" s="316"/>
    </row>
    <row r="42" spans="1:11" x14ac:dyDescent="0.15">
      <c r="A42" s="717"/>
      <c r="B42" s="236"/>
      <c r="C42" s="237">
        <f t="shared" si="1"/>
        <v>0</v>
      </c>
      <c r="D42" s="237">
        <f t="shared" si="2"/>
        <v>0</v>
      </c>
      <c r="E42" s="251"/>
      <c r="F42" s="756" t="s">
        <v>319</v>
      </c>
      <c r="G42" s="345">
        <v>15</v>
      </c>
      <c r="H42" s="346">
        <v>17</v>
      </c>
      <c r="I42" s="317">
        <f>(H42*G42)*52/12</f>
        <v>1105</v>
      </c>
      <c r="J42" s="315"/>
      <c r="K42" s="316"/>
    </row>
    <row r="43" spans="1:11" x14ac:dyDescent="0.15">
      <c r="A43" s="717"/>
      <c r="B43" s="236"/>
      <c r="C43" s="237">
        <f t="shared" si="1"/>
        <v>0</v>
      </c>
      <c r="D43" s="237">
        <f t="shared" si="2"/>
        <v>0</v>
      </c>
      <c r="E43" s="251"/>
      <c r="F43" s="756" t="s">
        <v>320</v>
      </c>
      <c r="G43" s="345"/>
      <c r="H43" s="346"/>
      <c r="I43" s="317">
        <f t="shared" ref="I43:I44" si="4">(H43*G43)*52/12</f>
        <v>0</v>
      </c>
      <c r="J43" s="315"/>
      <c r="K43" s="316"/>
    </row>
    <row r="44" spans="1:11" x14ac:dyDescent="0.15">
      <c r="A44" s="717"/>
      <c r="B44" s="236"/>
      <c r="C44" s="237">
        <f t="shared" si="1"/>
        <v>0</v>
      </c>
      <c r="D44" s="237">
        <f t="shared" si="2"/>
        <v>0</v>
      </c>
      <c r="E44" s="251"/>
      <c r="F44" s="756" t="s">
        <v>104</v>
      </c>
      <c r="G44" s="345"/>
      <c r="H44" s="346"/>
      <c r="I44" s="317">
        <f t="shared" si="4"/>
        <v>0</v>
      </c>
      <c r="J44" s="315"/>
      <c r="K44" s="316"/>
    </row>
    <row r="45" spans="1:11" x14ac:dyDescent="0.15">
      <c r="A45" s="717"/>
      <c r="B45" s="236"/>
      <c r="C45" s="237">
        <f t="shared" si="1"/>
        <v>0</v>
      </c>
      <c r="D45" s="237">
        <f t="shared" si="2"/>
        <v>0</v>
      </c>
      <c r="E45" s="251"/>
      <c r="F45" s="829" t="s">
        <v>317</v>
      </c>
      <c r="G45" s="830">
        <f>SUM(G42:G44)</f>
        <v>15</v>
      </c>
      <c r="H45" s="831">
        <f>IF(ISERROR((SUMPRODUCT(G42:G44,H42:H44)/G45)),"",(SUMPRODUCT(G42:G44,H42:H44)/G45))</f>
        <v>17</v>
      </c>
      <c r="I45" s="832">
        <f>SUM(I42:I44)</f>
        <v>1105</v>
      </c>
      <c r="J45" s="830">
        <f>IF(G45&gt;0,COUNT(G42:G44),0)</f>
        <v>1</v>
      </c>
      <c r="K45" s="834">
        <f>G45/40</f>
        <v>0.375</v>
      </c>
    </row>
    <row r="46" spans="1:11" x14ac:dyDescent="0.15">
      <c r="A46" s="717"/>
      <c r="B46" s="236"/>
      <c r="C46" s="237">
        <f t="shared" si="1"/>
        <v>0</v>
      </c>
      <c r="D46" s="237">
        <f t="shared" si="2"/>
        <v>0</v>
      </c>
      <c r="E46" s="251"/>
      <c r="F46" s="131"/>
      <c r="H46" s="262"/>
      <c r="I46" s="317"/>
      <c r="K46" s="316"/>
    </row>
    <row r="47" spans="1:11" x14ac:dyDescent="0.15">
      <c r="A47" s="717"/>
      <c r="B47" s="236"/>
      <c r="C47" s="237">
        <f t="shared" si="1"/>
        <v>0</v>
      </c>
      <c r="D47" s="237">
        <f t="shared" si="2"/>
        <v>0</v>
      </c>
      <c r="E47" s="252"/>
      <c r="F47" s="320" t="s">
        <v>321</v>
      </c>
      <c r="G47" s="315"/>
      <c r="H47" s="764"/>
      <c r="I47" s="317"/>
      <c r="J47" s="315"/>
      <c r="K47" s="316"/>
    </row>
    <row r="48" spans="1:11" x14ac:dyDescent="0.15">
      <c r="A48" s="717"/>
      <c r="B48" s="236"/>
      <c r="C48" s="237">
        <f t="shared" si="1"/>
        <v>0</v>
      </c>
      <c r="D48" s="237">
        <f t="shared" si="2"/>
        <v>0</v>
      </c>
      <c r="E48" s="252"/>
      <c r="F48" s="756" t="s">
        <v>322</v>
      </c>
      <c r="G48" s="345"/>
      <c r="H48" s="346"/>
      <c r="I48" s="317">
        <f t="shared" ref="I48:I50" si="5">(H48*G48)*52/12</f>
        <v>0</v>
      </c>
      <c r="K48" s="133"/>
    </row>
    <row r="49" spans="1:11" x14ac:dyDescent="0.15">
      <c r="A49" s="717"/>
      <c r="B49" s="236"/>
      <c r="C49" s="237">
        <f t="shared" si="1"/>
        <v>0</v>
      </c>
      <c r="D49" s="237">
        <f t="shared" si="2"/>
        <v>0</v>
      </c>
      <c r="F49" s="756" t="s">
        <v>323</v>
      </c>
      <c r="G49" s="345"/>
      <c r="H49" s="346"/>
      <c r="I49" s="317">
        <f t="shared" si="5"/>
        <v>0</v>
      </c>
      <c r="J49" s="315"/>
      <c r="K49" s="316"/>
    </row>
    <row r="50" spans="1:11" x14ac:dyDescent="0.15">
      <c r="A50" s="765" t="s">
        <v>324</v>
      </c>
      <c r="B50" s="678">
        <f>SUM(B36:B49)</f>
        <v>1.1399299999999999E-2</v>
      </c>
      <c r="C50" s="679">
        <f>SUM(C36:C49)</f>
        <v>0</v>
      </c>
      <c r="D50" s="679">
        <f>SUM(D36:D49)</f>
        <v>65545.974999999991</v>
      </c>
      <c r="F50" s="756" t="s">
        <v>325</v>
      </c>
      <c r="G50" s="345"/>
      <c r="H50" s="346"/>
      <c r="I50" s="317">
        <f t="shared" si="5"/>
        <v>0</v>
      </c>
      <c r="J50" s="315"/>
      <c r="K50" s="316"/>
    </row>
    <row r="51" spans="1:11" x14ac:dyDescent="0.15">
      <c r="A51" s="313" t="s">
        <v>326</v>
      </c>
      <c r="B51" s="236"/>
      <c r="C51" s="272"/>
      <c r="D51" s="272"/>
      <c r="E51" s="253"/>
      <c r="F51" s="829" t="s">
        <v>327</v>
      </c>
      <c r="G51" s="830">
        <f>SUM(G47:G50)</f>
        <v>0</v>
      </c>
      <c r="H51" s="831" t="str">
        <f>IF(ISERROR((SUMPRODUCT(G47:G50,H47:H50)/G51)),"",(SUMPRODUCT(G47:G50,H47:H50)/G51))</f>
        <v/>
      </c>
      <c r="I51" s="832">
        <f>SUM(I47:I50)</f>
        <v>0</v>
      </c>
      <c r="J51" s="830">
        <f>IF(G51&gt;0,COUNT(G48:G50),0)</f>
        <v>0</v>
      </c>
      <c r="K51" s="834">
        <f>G51/40</f>
        <v>0</v>
      </c>
    </row>
    <row r="52" spans="1:11" x14ac:dyDescent="0.15">
      <c r="A52" s="717"/>
      <c r="B52" s="236"/>
      <c r="C52" s="237">
        <v>1853</v>
      </c>
      <c r="D52" s="237">
        <f>C52</f>
        <v>1853</v>
      </c>
      <c r="F52" s="756"/>
      <c r="I52" s="317"/>
      <c r="K52" s="316"/>
    </row>
    <row r="53" spans="1:11" x14ac:dyDescent="0.15">
      <c r="A53" s="766"/>
      <c r="B53" s="238"/>
      <c r="C53" s="239"/>
      <c r="D53" s="239">
        <f>C53</f>
        <v>0</v>
      </c>
      <c r="E53" s="254"/>
      <c r="F53" s="767" t="s">
        <v>328</v>
      </c>
      <c r="G53" s="680">
        <f>G51+G45+G39</f>
        <v>55</v>
      </c>
      <c r="H53" s="681">
        <f>IF(ISERROR(((I53/G53)*12/52)),"",((I53/G53)*12/52))</f>
        <v>16.999999999999996</v>
      </c>
      <c r="I53" s="682">
        <f>I51+I45+I39</f>
        <v>4051.6666666666665</v>
      </c>
      <c r="J53" s="683">
        <f>J51+J45+J39</f>
        <v>2</v>
      </c>
      <c r="K53" s="684">
        <f>K51+K45+K39</f>
        <v>1.375</v>
      </c>
    </row>
    <row r="54" spans="1:11" x14ac:dyDescent="0.15">
      <c r="A54" s="685" t="s">
        <v>48</v>
      </c>
      <c r="B54" s="686"/>
      <c r="C54" s="687">
        <f>SUM(C50:C53)</f>
        <v>1853</v>
      </c>
      <c r="D54" s="687">
        <f>SUM(D50:D53)</f>
        <v>67398.974999999991</v>
      </c>
      <c r="E54" s="254"/>
    </row>
    <row r="55" spans="1:11" x14ac:dyDescent="0.15">
      <c r="A55" s="247"/>
      <c r="B55" s="273"/>
      <c r="C55" s="274" t="e">
        <f>C54/C35</f>
        <v>#DIV/0!</v>
      </c>
      <c r="D55" s="275">
        <f>D54/D35</f>
        <v>1.1721560869565216E-2</v>
      </c>
    </row>
    <row r="56" spans="1:11" x14ac:dyDescent="0.15">
      <c r="A56" s="132"/>
      <c r="C56" s="237"/>
      <c r="D56" s="133"/>
      <c r="E56" s="255"/>
    </row>
    <row r="57" spans="1:11" x14ac:dyDescent="0.15">
      <c r="A57" s="132"/>
      <c r="B57" s="708" t="s">
        <v>329</v>
      </c>
      <c r="C57" s="139">
        <f>D54-C54</f>
        <v>65545.974999999991</v>
      </c>
      <c r="D57" s="133" t="s">
        <v>330</v>
      </c>
      <c r="E57" s="255"/>
    </row>
    <row r="58" spans="1:11" x14ac:dyDescent="0.15">
      <c r="A58" s="132"/>
      <c r="C58" s="139">
        <f>C57*D58</f>
        <v>62268.67624999999</v>
      </c>
      <c r="D58" s="240">
        <v>0.95</v>
      </c>
      <c r="E58" s="256"/>
    </row>
    <row r="59" spans="1:11" x14ac:dyDescent="0.15">
      <c r="A59" s="132"/>
      <c r="C59" s="272">
        <f>C58/NoOfSpaces/12</f>
        <v>51.376795585808573</v>
      </c>
      <c r="D59" s="133" t="s">
        <v>331</v>
      </c>
    </row>
    <row r="60" spans="1:11" x14ac:dyDescent="0.15">
      <c r="A60" s="131"/>
      <c r="C60" s="236"/>
      <c r="D60" s="133">
        <f>C57/NoOfSpaces/12</f>
        <v>54.080837458745869</v>
      </c>
      <c r="E60" s="257"/>
    </row>
    <row r="61" spans="1:11" x14ac:dyDescent="0.15">
      <c r="A61" s="241"/>
      <c r="B61" s="242"/>
      <c r="C61" s="239"/>
      <c r="D61" s="243"/>
    </row>
    <row r="62" spans="1:11" x14ac:dyDescent="0.15">
      <c r="C62" s="135"/>
    </row>
    <row r="63" spans="1:11" x14ac:dyDescent="0.15">
      <c r="A63" s="820" t="s">
        <v>332</v>
      </c>
      <c r="B63" s="821"/>
      <c r="C63" s="835" t="s">
        <v>43</v>
      </c>
      <c r="D63" s="836">
        <f>Proforma!D4</f>
        <v>5750000</v>
      </c>
      <c r="E63" s="234"/>
    </row>
    <row r="64" spans="1:11" x14ac:dyDescent="0.15">
      <c r="A64" s="837"/>
      <c r="B64" s="838"/>
      <c r="C64" s="839"/>
      <c r="D64" s="840"/>
      <c r="E64" s="234"/>
    </row>
    <row r="65" spans="1:5" x14ac:dyDescent="0.15">
      <c r="A65" s="688" t="s">
        <v>333</v>
      </c>
      <c r="B65" s="689" t="s">
        <v>334</v>
      </c>
      <c r="C65" s="689"/>
      <c r="D65" s="690" t="s">
        <v>304</v>
      </c>
      <c r="E65" s="234"/>
    </row>
    <row r="66" spans="1:5" x14ac:dyDescent="0.15">
      <c r="A66" s="826"/>
      <c r="B66" s="827"/>
      <c r="C66" s="827"/>
      <c r="D66" s="841"/>
      <c r="E66" s="250"/>
    </row>
    <row r="67" spans="1:5" x14ac:dyDescent="0.15">
      <c r="A67" s="127" t="s">
        <v>335</v>
      </c>
      <c r="B67" s="716"/>
      <c r="D67" s="244">
        <f>D63*0.2</f>
        <v>1150000</v>
      </c>
    </row>
    <row r="68" spans="1:5" x14ac:dyDescent="0.15">
      <c r="A68" s="129"/>
      <c r="B68" s="245"/>
      <c r="C68" s="76"/>
      <c r="D68" s="246"/>
      <c r="E68" s="8"/>
    </row>
    <row r="69" spans="1:5" x14ac:dyDescent="0.15">
      <c r="A69" s="842" t="s">
        <v>336</v>
      </c>
      <c r="B69" s="843" t="s">
        <v>337</v>
      </c>
      <c r="C69" s="827"/>
      <c r="D69" s="841"/>
      <c r="E69" s="8"/>
    </row>
    <row r="70" spans="1:5" x14ac:dyDescent="0.15">
      <c r="A70" s="247" t="s">
        <v>338</v>
      </c>
      <c r="D70" s="270"/>
      <c r="E70" s="8"/>
    </row>
    <row r="71" spans="1:5" x14ac:dyDescent="0.15">
      <c r="A71" s="247" t="s">
        <v>339</v>
      </c>
      <c r="C71" s="707"/>
      <c r="D71" s="270">
        <v>0</v>
      </c>
      <c r="E71" s="234"/>
    </row>
    <row r="72" spans="1:5" x14ac:dyDescent="0.15">
      <c r="A72" s="247" t="s">
        <v>340</v>
      </c>
      <c r="C72" s="707"/>
      <c r="D72" s="270">
        <v>0</v>
      </c>
      <c r="E72" s="234"/>
    </row>
    <row r="73" spans="1:5" x14ac:dyDescent="0.15">
      <c r="A73" s="129"/>
      <c r="B73" s="76"/>
      <c r="C73" s="768" t="s">
        <v>341</v>
      </c>
      <c r="D73" s="138">
        <f>SUM(D70:D72)</f>
        <v>0</v>
      </c>
      <c r="E73" s="250"/>
    </row>
    <row r="74" spans="1:5" x14ac:dyDescent="0.15">
      <c r="A74" s="842" t="s">
        <v>342</v>
      </c>
      <c r="B74" s="843" t="s">
        <v>343</v>
      </c>
      <c r="C74" s="843" t="s">
        <v>344</v>
      </c>
      <c r="D74" s="841"/>
    </row>
    <row r="75" spans="1:5" x14ac:dyDescent="0.15">
      <c r="A75" s="247" t="s">
        <v>345</v>
      </c>
      <c r="B75" s="345">
        <v>0</v>
      </c>
      <c r="C75" s="264">
        <v>10000</v>
      </c>
      <c r="D75" s="248">
        <f>B75*C75</f>
        <v>0</v>
      </c>
    </row>
    <row r="76" spans="1:5" x14ac:dyDescent="0.15">
      <c r="A76" s="247"/>
      <c r="B76" s="77"/>
      <c r="D76" s="248">
        <f>B76*C76</f>
        <v>0</v>
      </c>
      <c r="E76" s="250"/>
    </row>
    <row r="77" spans="1:5" x14ac:dyDescent="0.15">
      <c r="A77" s="247"/>
      <c r="B77" s="77"/>
      <c r="D77" s="248">
        <f>B77*C77</f>
        <v>0</v>
      </c>
      <c r="E77" s="234"/>
    </row>
    <row r="78" spans="1:5" x14ac:dyDescent="0.15">
      <c r="A78" s="131"/>
      <c r="C78" s="707"/>
      <c r="D78" s="137"/>
      <c r="E78" s="258"/>
    </row>
    <row r="79" spans="1:5" x14ac:dyDescent="0.15">
      <c r="A79" s="134"/>
      <c r="B79" s="76"/>
      <c r="C79" s="707" t="s">
        <v>346</v>
      </c>
      <c r="D79" s="137">
        <f>SUM(D75:D77)</f>
        <v>0</v>
      </c>
      <c r="E79" s="708"/>
    </row>
    <row r="80" spans="1:5" x14ac:dyDescent="0.15">
      <c r="A80" s="842" t="s">
        <v>347</v>
      </c>
      <c r="B80" s="843" t="s">
        <v>348</v>
      </c>
      <c r="C80" s="827"/>
      <c r="D80" s="844">
        <f>D63-D67-D73-D79</f>
        <v>4600000</v>
      </c>
      <c r="E80" s="234"/>
    </row>
    <row r="81" spans="1:4" x14ac:dyDescent="0.15">
      <c r="A81" s="134"/>
      <c r="B81" s="76"/>
      <c r="C81" s="76"/>
      <c r="D81" s="246"/>
    </row>
    <row r="82" spans="1:4" x14ac:dyDescent="0.15">
      <c r="A82" s="131"/>
    </row>
    <row r="83" spans="1:4" x14ac:dyDescent="0.15">
      <c r="A83" s="842" t="s">
        <v>349</v>
      </c>
      <c r="B83" s="827"/>
      <c r="C83" s="845"/>
      <c r="D83" s="846">
        <f>D80</f>
        <v>4600000</v>
      </c>
    </row>
    <row r="84" spans="1:4" x14ac:dyDescent="0.15">
      <c r="A84" s="256" t="s">
        <v>350</v>
      </c>
      <c r="B84" s="7"/>
      <c r="D84" s="136">
        <f ca="1">Proforma!F85</f>
        <v>180698.2916</v>
      </c>
    </row>
    <row r="85" spans="1:4" x14ac:dyDescent="0.15">
      <c r="A85" s="259" t="s">
        <v>351</v>
      </c>
      <c r="B85" s="130"/>
      <c r="C85" s="76"/>
      <c r="D85" s="249">
        <f ca="1">D84-D83</f>
        <v>-4419301.7083999999</v>
      </c>
    </row>
    <row r="86" spans="1:4" x14ac:dyDescent="0.15">
      <c r="D86" s="708"/>
    </row>
    <row r="87" spans="1:4" x14ac:dyDescent="0.15">
      <c r="C87" s="707"/>
      <c r="D87" s="271"/>
    </row>
    <row r="192" ht="12.75" customHeight="1" x14ac:dyDescent="0.15"/>
  </sheetData>
  <sheetProtection algorithmName="SHA-512" hashValue="c/5/bRSuac1kDig+hkRv6M7bx5c0cmkRkFO3txcNZDl2nGAdNU+Cjd7vvgCvtuXDqGfyqq9sBgG1oOyhyg7Tbw==" saltValue="TF5y+sLY0zKmBQbTIc66Lg==" spinCount="100000" sheet="1" objects="1" scenarios="1"/>
  <mergeCells count="1">
    <mergeCell ref="F33:K33"/>
  </mergeCells>
  <phoneticPr fontId="0" type="noConversion"/>
  <pageMargins left="0.75" right="0.75" top="1" bottom="1" header="0.5" footer="0.5"/>
  <pageSetup scale="47" orientation="portrait" r:id="rId1"/>
  <headerFooter alignWithMargins="0"/>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theme="9"/>
  </sheetPr>
  <dimension ref="A1:N17"/>
  <sheetViews>
    <sheetView workbookViewId="0">
      <selection sqref="A1:N1"/>
    </sheetView>
  </sheetViews>
  <sheetFormatPr baseColWidth="10" defaultColWidth="8.83203125" defaultRowHeight="13" x14ac:dyDescent="0.15"/>
  <cols>
    <col min="1" max="1" width="25" customWidth="1"/>
    <col min="2" max="2" width="9.6640625" bestFit="1" customWidth="1"/>
    <col min="3" max="3" width="16" customWidth="1"/>
    <col min="4" max="4" width="9.6640625" bestFit="1" customWidth="1"/>
    <col min="5" max="5" width="4.33203125" bestFit="1" customWidth="1"/>
    <col min="6" max="6" width="14.1640625" bestFit="1" customWidth="1"/>
    <col min="7" max="7" width="5.33203125" bestFit="1" customWidth="1"/>
    <col min="8" max="8" width="10.83203125" bestFit="1" customWidth="1"/>
    <col min="9" max="9" width="11.5" customWidth="1"/>
    <col min="10" max="10" width="2.83203125" customWidth="1"/>
    <col min="11" max="11" width="10" customWidth="1"/>
    <col min="12" max="12" width="14.5" bestFit="1" customWidth="1"/>
    <col min="13" max="13" width="37.5" bestFit="1" customWidth="1"/>
  </cols>
  <sheetData>
    <row r="1" spans="1:14" ht="15" x14ac:dyDescent="0.2">
      <c r="A1" s="873" t="s">
        <v>352</v>
      </c>
      <c r="B1" s="873"/>
      <c r="C1" s="873"/>
      <c r="D1" s="873"/>
      <c r="E1" s="873"/>
      <c r="G1" s="873" t="s">
        <v>353</v>
      </c>
      <c r="H1" s="873"/>
      <c r="I1" s="873"/>
      <c r="J1" s="873"/>
      <c r="K1" s="534"/>
      <c r="L1" s="873" t="s">
        <v>354</v>
      </c>
      <c r="M1" s="873"/>
      <c r="N1" s="873"/>
    </row>
    <row r="2" spans="1:14" x14ac:dyDescent="0.15">
      <c r="A2" s="708" t="s">
        <v>355</v>
      </c>
      <c r="B2" s="702" t="s">
        <v>356</v>
      </c>
      <c r="C2" s="708"/>
    </row>
    <row r="3" spans="1:14" ht="15" x14ac:dyDescent="0.2">
      <c r="A3" s="708" t="s">
        <v>357</v>
      </c>
      <c r="B3" s="535" t="s">
        <v>358</v>
      </c>
      <c r="C3" s="536" t="s">
        <v>359</v>
      </c>
      <c r="D3" s="537" t="s">
        <v>360</v>
      </c>
    </row>
    <row r="4" spans="1:14" ht="14" x14ac:dyDescent="0.2">
      <c r="A4" s="717" t="s">
        <v>361</v>
      </c>
      <c r="B4" s="769">
        <v>1415</v>
      </c>
      <c r="C4" s="769">
        <v>1900</v>
      </c>
      <c r="D4" s="769">
        <v>2250</v>
      </c>
      <c r="E4" s="61"/>
    </row>
    <row r="5" spans="1:14" ht="14" x14ac:dyDescent="0.2">
      <c r="A5" s="708" t="s">
        <v>362</v>
      </c>
      <c r="B5" s="770"/>
      <c r="C5" s="769"/>
      <c r="D5" s="621"/>
      <c r="E5" s="61"/>
    </row>
    <row r="6" spans="1:14" ht="14" x14ac:dyDescent="0.2">
      <c r="A6" s="708" t="s">
        <v>363</v>
      </c>
      <c r="B6" s="771"/>
      <c r="C6" s="772"/>
      <c r="D6" s="621"/>
      <c r="E6" s="61"/>
    </row>
    <row r="7" spans="1:14" ht="14" x14ac:dyDescent="0.2">
      <c r="A7" s="708" t="s">
        <v>364</v>
      </c>
      <c r="B7" s="770"/>
      <c r="C7" s="769"/>
      <c r="D7" s="621"/>
      <c r="E7" s="61"/>
    </row>
    <row r="8" spans="1:14" ht="14" x14ac:dyDescent="0.2">
      <c r="A8" s="708" t="s">
        <v>365</v>
      </c>
      <c r="B8" s="754"/>
      <c r="C8" s="754"/>
      <c r="D8" s="621"/>
      <c r="E8" s="61"/>
    </row>
    <row r="9" spans="1:14" ht="14" x14ac:dyDescent="0.2">
      <c r="A9" s="708"/>
      <c r="B9" s="770"/>
      <c r="C9" s="754"/>
      <c r="D9" s="621"/>
      <c r="E9" s="61"/>
      <c r="F9" s="61"/>
      <c r="G9" s="61"/>
    </row>
    <row r="10" spans="1:14" ht="14" x14ac:dyDescent="0.2">
      <c r="A10" s="708"/>
      <c r="B10" s="754"/>
      <c r="C10" s="754"/>
      <c r="D10" s="621"/>
      <c r="E10" s="61"/>
      <c r="F10" s="61"/>
      <c r="G10" s="61"/>
    </row>
    <row r="11" spans="1:14" ht="15" x14ac:dyDescent="0.2">
      <c r="A11" s="873" t="s">
        <v>366</v>
      </c>
      <c r="B11" s="873"/>
      <c r="C11" s="873"/>
      <c r="D11" s="873"/>
      <c r="E11" s="873"/>
      <c r="F11" s="61"/>
      <c r="G11" s="61"/>
    </row>
    <row r="12" spans="1:14" x14ac:dyDescent="0.15">
      <c r="A12" t="s">
        <v>367</v>
      </c>
      <c r="B12" s="622"/>
      <c r="C12" s="622"/>
      <c r="D12" s="622"/>
    </row>
    <row r="13" spans="1:14" ht="14" x14ac:dyDescent="0.2">
      <c r="A13" t="s">
        <v>368</v>
      </c>
      <c r="B13" s="61"/>
      <c r="C13" s="61"/>
    </row>
    <row r="14" spans="1:14" x14ac:dyDescent="0.15">
      <c r="A14" t="s">
        <v>369</v>
      </c>
    </row>
    <row r="15" spans="1:14" x14ac:dyDescent="0.15">
      <c r="A15" s="708"/>
    </row>
    <row r="17" spans="1:1" x14ac:dyDescent="0.15">
      <c r="A17" s="702" t="s">
        <v>370</v>
      </c>
    </row>
  </sheetData>
  <sheetProtection algorithmName="SHA-512" hashValue="JX9Kgv40QWoWpDdFpZV4JhuQDiwiGXZhkKyX7ZvqunSsIPpMwm8v000QbUJiif11qiHAdE5f9CyBU2I330ospA==" saltValue="12x6QoBZQYfHH4QHA9KEVA==" spinCount="100000" sheet="1" objects="1" scenarios="1"/>
  <mergeCells count="4">
    <mergeCell ref="A1:E1"/>
    <mergeCell ref="G1:J1"/>
    <mergeCell ref="L1:N1"/>
    <mergeCell ref="A11:E11"/>
  </mergeCells>
  <hyperlinks>
    <hyperlink ref="A17" r:id="rId1" display="https://www.zillow.com/hemet-ca/apartments/2-bedrooms/?searchQueryState=%7B%22pagination%22%3A%7B%7D%2C%22usersSearchTerm%22%3A%22Hemet%2C%20CA%22%2C%22mapBounds%22%3A%7B%22west%22%3A-117.3087731220703%2C%22east%22%3A-116.50539787792968%2C%22south%22%3A33.41638075529056%2C%22north%22%3A33.893057926275056%7D%2C%22regionSelection%22%3A%5B%7B%22regionId%22%3A11865%2C%22regionType%22%3A6%7D%5D%2C%22isMapVisible%22%3Atrue%2C%22filterState%22%3A%7B%22sort%22%3A%7B%22value%22%3A%22paymenta%22%7D%2C%22fsba%22%3A%7B%22value%22%3Afalse%7D%2C%22fsbo%22%3A%7B%22value%22%3Afalse%7D%2C%22nc%22%3A%7B%22value%22%3Afalse%7D%2C%22fore%22%3A%7B%22value%22%3Afalse%7D%2C%22cmsn%22%3A%7B%22value%22%3Afalse%7D%2C%22auc%22%3A%7B%22value%22%3Afalse%7D%2C%22fr%22%3A%7B%22value%22%3Atrue%7D%2C%22ah%22%3A%7B%22value%22%3Atrue%7D%2C%22manu%22%3A%7B%22value%22%3Afalse%7D%2C%22land%22%3A%7B%22value%22%3Afalse%7D%2C%22beds%22%3A%7B%22min%22%3A2%2C%22max%22%3A2%7D%7D%2C%22isListVisible%22%3Atrue%2C%22mapZoom%22%3A11%7D" xr:uid="{662D6A76-A1D9-4B54-BAFD-5F556BDCD455}"/>
    <hyperlink ref="B2" r:id="rId2" display="https://www.zillow.com/hemet-ca/house,condo,apartment_duplex,townhouse_type/?searchQueryState=%7B%22pagination%22%3A%7B%7D%2C%22usersSearchTerm%22%3A%22Hemet%2C%20CA%22%2C%22mapBounds%22%3A%7B%22west%22%3A-117.3087731220703%2C%22east%22%3A-116.50539787792968%2C%22south%22%3A33.41638075529056%2C%22north%22%3A33.893057926275056%7D%2C%22regionSelection%22%3A%5B%7B%22regionId%22%3A11865%2C%22regionType%22%3A6%7D%5D%2C%22isMapVisible%22%3Atrue%2C%22filterState%22%3A%7B%22sort%22%3A%7B%22value%22%3A%22pricea%22%7D%2C%22ah%22%3A%7B%22value%22%3Atrue%7D%2C%22manu%22%3A%7B%22value%22%3Afalse%7D%2C%22land%22%3A%7B%22value%22%3Afalse%7D%7D%2C%22isListVisible%22%3Atrue%2C%22mapZoom%22%3A11%7D" xr:uid="{F706CE38-A1E5-43FE-B752-F895133EFBA8}"/>
  </hyperlinks>
  <pageMargins left="0.7" right="0.7" top="0.75" bottom="0.75" header="0.3" footer="0.3"/>
  <pageSetup orientation="portrait" r:id="rId3"/>
  <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tabColor theme="9"/>
  </sheetPr>
  <dimension ref="A1:I109"/>
  <sheetViews>
    <sheetView workbookViewId="0">
      <selection sqref="A1:L1"/>
    </sheetView>
  </sheetViews>
  <sheetFormatPr baseColWidth="10" defaultColWidth="8.83203125" defaultRowHeight="14" x14ac:dyDescent="0.15"/>
  <cols>
    <col min="1" max="1" width="33.33203125" style="64" customWidth="1"/>
    <col min="2" max="2" width="11.33203125" style="63" bestFit="1" customWidth="1"/>
    <col min="3" max="3" width="25.83203125" style="63" customWidth="1"/>
    <col min="4" max="4" width="20.33203125" style="63" customWidth="1"/>
    <col min="5" max="7" width="11" style="63" customWidth="1"/>
    <col min="8" max="8" width="12.33203125" style="63" bestFit="1" customWidth="1"/>
    <col min="9" max="10" width="7.33203125" style="62" customWidth="1"/>
    <col min="11" max="16384" width="8.83203125" style="62"/>
  </cols>
  <sheetData>
    <row r="1" spans="1:9" x14ac:dyDescent="0.15">
      <c r="A1" s="874" t="s">
        <v>371</v>
      </c>
      <c r="B1" s="874"/>
      <c r="C1" s="874"/>
      <c r="D1" s="874"/>
      <c r="E1" s="874"/>
      <c r="F1" s="874"/>
      <c r="G1" s="874"/>
      <c r="H1" s="874"/>
      <c r="I1" s="874"/>
    </row>
    <row r="2" spans="1:9" x14ac:dyDescent="0.15">
      <c r="A2" s="67"/>
      <c r="B2" s="68"/>
      <c r="C2" s="66"/>
      <c r="D2" s="66"/>
      <c r="E2" s="66"/>
      <c r="F2" s="66"/>
      <c r="G2" s="66"/>
      <c r="H2" s="68"/>
    </row>
    <row r="3" spans="1:9" x14ac:dyDescent="0.15">
      <c r="A3" s="67"/>
      <c r="B3" s="68"/>
      <c r="C3" s="66"/>
      <c r="D3" s="66"/>
      <c r="E3" s="66"/>
      <c r="F3" s="66"/>
      <c r="G3" s="66"/>
      <c r="H3" s="68"/>
    </row>
    <row r="4" spans="1:9" x14ac:dyDescent="0.15">
      <c r="A4" s="67"/>
      <c r="B4" s="68"/>
      <c r="C4" s="66"/>
      <c r="D4" s="66"/>
      <c r="E4" s="66"/>
      <c r="F4" s="66"/>
      <c r="G4" s="66"/>
      <c r="H4" s="68"/>
    </row>
    <row r="5" spans="1:9" x14ac:dyDescent="0.15">
      <c r="A5" s="67"/>
      <c r="B5" s="68"/>
      <c r="C5" s="66"/>
      <c r="D5" s="66"/>
      <c r="E5" s="66"/>
      <c r="F5" s="66"/>
      <c r="G5" s="66"/>
      <c r="H5" s="68"/>
    </row>
    <row r="6" spans="1:9" x14ac:dyDescent="0.15">
      <c r="A6" s="67"/>
      <c r="B6" s="68"/>
      <c r="C6" s="66"/>
      <c r="D6" s="66"/>
      <c r="E6" s="66"/>
      <c r="F6" s="66"/>
      <c r="G6" s="66"/>
      <c r="H6" s="68"/>
    </row>
    <row r="7" spans="1:9" x14ac:dyDescent="0.15">
      <c r="A7" s="67"/>
      <c r="B7" s="68"/>
      <c r="C7" s="66"/>
      <c r="D7" s="66"/>
      <c r="E7" s="66"/>
      <c r="F7" s="66"/>
      <c r="G7" s="66"/>
      <c r="H7" s="68"/>
    </row>
    <row r="8" spans="1:9" x14ac:dyDescent="0.15">
      <c r="A8" s="67"/>
      <c r="B8" s="68"/>
      <c r="C8" s="66"/>
      <c r="D8" s="66"/>
      <c r="E8" s="66"/>
      <c r="F8" s="66"/>
      <c r="G8" s="66"/>
      <c r="H8" s="68"/>
    </row>
    <row r="9" spans="1:9" x14ac:dyDescent="0.15">
      <c r="A9" s="67"/>
      <c r="B9" s="68"/>
      <c r="C9" s="66"/>
      <c r="D9" s="66"/>
      <c r="E9" s="66"/>
      <c r="F9" s="66"/>
      <c r="G9" s="66"/>
      <c r="H9" s="68"/>
    </row>
    <row r="10" spans="1:9" x14ac:dyDescent="0.15">
      <c r="A10" s="67"/>
      <c r="B10" s="68"/>
      <c r="C10" s="66"/>
      <c r="D10" s="66"/>
      <c r="E10" s="66"/>
      <c r="F10" s="66"/>
      <c r="G10" s="66"/>
      <c r="H10" s="68"/>
    </row>
    <row r="11" spans="1:9" x14ac:dyDescent="0.15">
      <c r="A11" s="67"/>
      <c r="B11" s="68"/>
      <c r="C11" s="66"/>
      <c r="D11" s="66"/>
      <c r="E11" s="66"/>
      <c r="F11" s="66"/>
      <c r="G11" s="66"/>
      <c r="H11" s="68"/>
    </row>
    <row r="12" spans="1:9" x14ac:dyDescent="0.15">
      <c r="A12" s="67"/>
      <c r="B12" s="68"/>
      <c r="C12" s="66"/>
      <c r="D12" s="66"/>
      <c r="E12" s="66"/>
      <c r="F12" s="66"/>
      <c r="G12" s="66"/>
      <c r="H12" s="68"/>
    </row>
    <row r="13" spans="1:9" x14ac:dyDescent="0.15">
      <c r="A13" s="67"/>
      <c r="B13" s="68"/>
      <c r="C13" s="66"/>
      <c r="D13" s="66"/>
      <c r="E13" s="66"/>
      <c r="F13" s="66"/>
      <c r="G13" s="66"/>
      <c r="H13" s="68"/>
    </row>
    <row r="14" spans="1:9" x14ac:dyDescent="0.15">
      <c r="A14" s="67"/>
      <c r="B14" s="68"/>
      <c r="C14" s="66"/>
      <c r="D14" s="66"/>
      <c r="E14" s="66"/>
      <c r="F14" s="66"/>
      <c r="G14" s="66"/>
      <c r="H14" s="68"/>
    </row>
    <row r="15" spans="1:9" x14ac:dyDescent="0.15">
      <c r="A15" s="67"/>
      <c r="B15" s="68"/>
      <c r="C15" s="66"/>
      <c r="D15" s="66"/>
      <c r="E15" s="66"/>
      <c r="F15" s="66"/>
      <c r="G15" s="66"/>
      <c r="H15" s="68"/>
    </row>
    <row r="16" spans="1:9" x14ac:dyDescent="0.15">
      <c r="A16" s="67"/>
      <c r="B16" s="68"/>
      <c r="C16" s="68"/>
      <c r="D16" s="68"/>
      <c r="E16" s="68"/>
      <c r="F16" s="68"/>
      <c r="G16" s="68"/>
      <c r="H16" s="68"/>
    </row>
    <row r="17" spans="1:8" x14ac:dyDescent="0.15">
      <c r="A17" s="71"/>
      <c r="B17" s="69"/>
      <c r="C17" s="68"/>
      <c r="D17" s="68"/>
      <c r="E17" s="68"/>
      <c r="F17" s="68"/>
      <c r="G17" s="68"/>
      <c r="H17" s="68"/>
    </row>
    <row r="18" spans="1:8" x14ac:dyDescent="0.15">
      <c r="A18" s="67"/>
      <c r="B18" s="68"/>
      <c r="C18" s="68"/>
      <c r="D18" s="68"/>
      <c r="E18" s="68"/>
      <c r="F18" s="68"/>
      <c r="G18" s="68"/>
      <c r="H18" s="68"/>
    </row>
    <row r="19" spans="1:8" x14ac:dyDescent="0.15">
      <c r="A19" s="67"/>
      <c r="B19" s="68"/>
      <c r="C19" s="68"/>
      <c r="D19" s="68"/>
      <c r="E19" s="68"/>
      <c r="F19" s="68"/>
      <c r="G19" s="68"/>
      <c r="H19" s="68"/>
    </row>
    <row r="20" spans="1:8" x14ac:dyDescent="0.15">
      <c r="A20" s="67"/>
      <c r="B20" s="68"/>
      <c r="C20" s="68"/>
      <c r="D20" s="68"/>
      <c r="E20" s="68"/>
      <c r="F20" s="68"/>
      <c r="G20" s="68"/>
      <c r="H20" s="68"/>
    </row>
    <row r="21" spans="1:8" ht="14" customHeight="1" x14ac:dyDescent="0.15">
      <c r="A21" s="67"/>
      <c r="B21" s="68"/>
      <c r="C21" s="68"/>
      <c r="D21" s="68"/>
      <c r="E21" s="68"/>
      <c r="F21" s="68"/>
      <c r="G21" s="68"/>
      <c r="H21" s="68"/>
    </row>
    <row r="22" spans="1:8" x14ac:dyDescent="0.15">
      <c r="A22" s="67"/>
      <c r="B22" s="68"/>
      <c r="C22" s="68"/>
      <c r="D22" s="68"/>
      <c r="E22" s="68"/>
      <c r="F22" s="68"/>
      <c r="G22" s="68"/>
      <c r="H22" s="68"/>
    </row>
    <row r="23" spans="1:8" x14ac:dyDescent="0.15">
      <c r="A23" s="67"/>
      <c r="B23" s="68"/>
      <c r="C23" s="68"/>
      <c r="D23" s="68"/>
      <c r="E23" s="68"/>
      <c r="F23" s="68"/>
      <c r="G23" s="68"/>
      <c r="H23" s="68"/>
    </row>
    <row r="24" spans="1:8" x14ac:dyDescent="0.15">
      <c r="A24" s="67"/>
      <c r="B24" s="68"/>
      <c r="C24" s="68"/>
      <c r="D24" s="68"/>
      <c r="E24" s="68"/>
      <c r="F24" s="68"/>
      <c r="G24" s="68"/>
      <c r="H24" s="68"/>
    </row>
    <row r="25" spans="1:8" x14ac:dyDescent="0.15">
      <c r="A25" s="67"/>
      <c r="B25" s="68"/>
      <c r="C25" s="68"/>
      <c r="D25" s="68"/>
      <c r="E25" s="68"/>
      <c r="F25" s="68"/>
      <c r="G25" s="68"/>
      <c r="H25" s="68"/>
    </row>
    <row r="26" spans="1:8" x14ac:dyDescent="0.15">
      <c r="A26" s="67"/>
      <c r="B26" s="68"/>
      <c r="C26" s="68"/>
      <c r="D26" s="68"/>
      <c r="E26" s="68"/>
      <c r="F26" s="68"/>
      <c r="G26" s="68"/>
      <c r="H26" s="68"/>
    </row>
    <row r="27" spans="1:8" x14ac:dyDescent="0.15">
      <c r="A27" s="67"/>
      <c r="B27" s="68"/>
      <c r="C27" s="68"/>
      <c r="D27" s="68"/>
      <c r="E27" s="68"/>
      <c r="F27" s="68"/>
      <c r="G27" s="68"/>
      <c r="H27" s="68"/>
    </row>
    <row r="28" spans="1:8" x14ac:dyDescent="0.15">
      <c r="A28" s="67"/>
      <c r="B28" s="68"/>
      <c r="C28" s="68"/>
      <c r="D28" s="68"/>
      <c r="E28" s="68"/>
      <c r="F28" s="68"/>
      <c r="G28" s="68"/>
      <c r="H28" s="68"/>
    </row>
    <row r="29" spans="1:8" x14ac:dyDescent="0.15">
      <c r="A29" s="67"/>
      <c r="B29" s="68"/>
      <c r="C29" s="68"/>
      <c r="D29" s="68"/>
      <c r="E29" s="68"/>
      <c r="F29" s="68"/>
      <c r="G29" s="68"/>
      <c r="H29" s="68"/>
    </row>
    <row r="30" spans="1:8" x14ac:dyDescent="0.15">
      <c r="A30" s="67"/>
      <c r="B30" s="68"/>
      <c r="C30" s="68"/>
      <c r="D30" s="68"/>
      <c r="E30" s="68"/>
      <c r="F30" s="68"/>
      <c r="G30" s="68"/>
      <c r="H30" s="68"/>
    </row>
    <row r="31" spans="1:8" x14ac:dyDescent="0.15">
      <c r="A31" s="67"/>
      <c r="B31" s="68"/>
      <c r="C31" s="68"/>
      <c r="D31" s="68"/>
      <c r="E31" s="68"/>
      <c r="F31" s="68"/>
      <c r="G31" s="68"/>
      <c r="H31" s="68"/>
    </row>
    <row r="32" spans="1:8" x14ac:dyDescent="0.15">
      <c r="A32" s="67"/>
      <c r="B32" s="68"/>
      <c r="C32" s="68"/>
      <c r="D32" s="68"/>
      <c r="E32" s="68"/>
      <c r="F32" s="68"/>
      <c r="G32" s="68"/>
      <c r="H32" s="68"/>
    </row>
    <row r="33" spans="1:8" x14ac:dyDescent="0.15">
      <c r="A33" s="67"/>
      <c r="B33" s="68"/>
      <c r="C33" s="68"/>
      <c r="D33" s="68"/>
      <c r="E33" s="68"/>
      <c r="F33" s="68"/>
      <c r="G33" s="68"/>
      <c r="H33" s="68"/>
    </row>
    <row r="34" spans="1:8" x14ac:dyDescent="0.15">
      <c r="A34" s="67"/>
      <c r="B34" s="68"/>
      <c r="C34" s="68"/>
      <c r="D34" s="68"/>
      <c r="E34" s="68"/>
      <c r="F34" s="68"/>
      <c r="G34" s="68"/>
      <c r="H34" s="68"/>
    </row>
    <row r="35" spans="1:8" x14ac:dyDescent="0.15">
      <c r="A35" s="67"/>
      <c r="B35" s="68"/>
      <c r="C35" s="68"/>
      <c r="D35" s="68"/>
      <c r="E35" s="68"/>
      <c r="F35" s="68"/>
      <c r="G35" s="68"/>
      <c r="H35" s="68"/>
    </row>
    <row r="36" spans="1:8" x14ac:dyDescent="0.15">
      <c r="A36" s="67"/>
      <c r="B36" s="68"/>
      <c r="C36" s="68"/>
      <c r="D36" s="68"/>
      <c r="E36" s="68"/>
      <c r="F36" s="68"/>
      <c r="G36" s="68"/>
      <c r="H36" s="68"/>
    </row>
    <row r="37" spans="1:8" x14ac:dyDescent="0.15">
      <c r="A37" s="67"/>
      <c r="B37" s="68"/>
      <c r="C37" s="68"/>
      <c r="D37" s="68"/>
      <c r="E37" s="68"/>
      <c r="F37" s="68"/>
      <c r="G37" s="68"/>
      <c r="H37" s="68"/>
    </row>
    <row r="38" spans="1:8" x14ac:dyDescent="0.15">
      <c r="A38" s="67"/>
      <c r="B38" s="68"/>
      <c r="C38" s="68"/>
      <c r="D38" s="68"/>
      <c r="E38" s="68"/>
      <c r="F38" s="68"/>
      <c r="G38" s="68"/>
      <c r="H38" s="68"/>
    </row>
    <row r="39" spans="1:8" x14ac:dyDescent="0.15">
      <c r="A39" s="67"/>
      <c r="B39" s="68"/>
      <c r="C39" s="68"/>
      <c r="D39" s="68"/>
      <c r="E39" s="68"/>
      <c r="F39" s="68"/>
      <c r="G39" s="68"/>
      <c r="H39" s="68"/>
    </row>
    <row r="40" spans="1:8" x14ac:dyDescent="0.15">
      <c r="A40" s="67"/>
      <c r="B40" s="68"/>
      <c r="C40" s="68"/>
      <c r="D40" s="68"/>
      <c r="E40" s="68"/>
      <c r="F40" s="68"/>
      <c r="G40" s="68"/>
      <c r="H40" s="68"/>
    </row>
    <row r="41" spans="1:8" x14ac:dyDescent="0.15">
      <c r="A41" s="67"/>
      <c r="B41" s="68"/>
      <c r="C41" s="68"/>
      <c r="D41" s="68"/>
      <c r="E41" s="68"/>
      <c r="F41" s="68"/>
      <c r="G41" s="68"/>
      <c r="H41" s="68"/>
    </row>
    <row r="42" spans="1:8" x14ac:dyDescent="0.15">
      <c r="A42" s="67"/>
      <c r="B42" s="68"/>
      <c r="C42" s="68"/>
      <c r="D42" s="68"/>
      <c r="E42" s="68"/>
      <c r="F42" s="68"/>
      <c r="G42" s="68"/>
      <c r="H42" s="68"/>
    </row>
    <row r="43" spans="1:8" x14ac:dyDescent="0.15">
      <c r="A43" s="67"/>
      <c r="B43" s="68"/>
      <c r="C43" s="68"/>
      <c r="D43" s="68"/>
      <c r="E43" s="68"/>
      <c r="F43" s="68"/>
      <c r="G43" s="68"/>
      <c r="H43" s="68"/>
    </row>
    <row r="44" spans="1:8" x14ac:dyDescent="0.15">
      <c r="A44" s="67"/>
      <c r="B44" s="68"/>
      <c r="C44" s="68"/>
      <c r="D44" s="68"/>
      <c r="E44" s="68"/>
      <c r="F44" s="68"/>
      <c r="G44" s="68"/>
      <c r="H44" s="68"/>
    </row>
    <row r="45" spans="1:8" x14ac:dyDescent="0.15">
      <c r="A45" s="67"/>
      <c r="B45" s="68"/>
      <c r="C45" s="68"/>
      <c r="D45" s="68"/>
      <c r="E45" s="68"/>
      <c r="F45" s="68"/>
      <c r="G45" s="68"/>
      <c r="H45" s="68"/>
    </row>
    <row r="46" spans="1:8" x14ac:dyDescent="0.15">
      <c r="A46" s="67"/>
      <c r="B46" s="68"/>
      <c r="C46" s="68"/>
      <c r="D46" s="68"/>
      <c r="E46" s="68"/>
      <c r="F46" s="68"/>
      <c r="G46" s="68"/>
      <c r="H46" s="68"/>
    </row>
    <row r="47" spans="1:8" x14ac:dyDescent="0.15">
      <c r="A47" s="70"/>
      <c r="B47" s="68"/>
      <c r="C47" s="68"/>
      <c r="D47" s="68"/>
      <c r="E47" s="68"/>
      <c r="F47" s="68"/>
      <c r="G47" s="68"/>
      <c r="H47" s="68"/>
    </row>
    <row r="48" spans="1:8" x14ac:dyDescent="0.15">
      <c r="A48" s="70"/>
      <c r="B48" s="68"/>
      <c r="C48" s="68"/>
      <c r="D48" s="68"/>
      <c r="E48" s="68"/>
      <c r="F48" s="68"/>
      <c r="G48" s="68"/>
      <c r="H48" s="68"/>
    </row>
    <row r="49" spans="1:8" x14ac:dyDescent="0.15">
      <c r="A49" s="70"/>
      <c r="B49" s="68"/>
      <c r="C49" s="68"/>
      <c r="D49" s="68"/>
      <c r="E49" s="68"/>
      <c r="F49" s="68"/>
      <c r="G49" s="68"/>
      <c r="H49" s="68"/>
    </row>
    <row r="50" spans="1:8" x14ac:dyDescent="0.15">
      <c r="A50" s="70"/>
      <c r="B50" s="68"/>
      <c r="C50" s="68"/>
      <c r="D50" s="68"/>
      <c r="E50" s="68"/>
      <c r="F50" s="68"/>
      <c r="G50" s="68"/>
      <c r="H50" s="68"/>
    </row>
    <row r="51" spans="1:8" x14ac:dyDescent="0.15">
      <c r="A51" s="70"/>
      <c r="B51" s="68"/>
      <c r="C51" s="68"/>
      <c r="D51" s="68"/>
      <c r="E51" s="68"/>
      <c r="F51" s="68"/>
      <c r="G51" s="68"/>
      <c r="H51" s="68"/>
    </row>
    <row r="52" spans="1:8" x14ac:dyDescent="0.15">
      <c r="A52" s="67"/>
      <c r="B52" s="68"/>
      <c r="C52" s="68"/>
      <c r="D52" s="68"/>
      <c r="E52" s="68"/>
      <c r="F52" s="68"/>
      <c r="G52" s="68"/>
      <c r="H52" s="68"/>
    </row>
    <row r="53" spans="1:8" x14ac:dyDescent="0.15">
      <c r="A53" s="67"/>
      <c r="B53" s="68"/>
      <c r="C53" s="68"/>
      <c r="D53" s="68"/>
      <c r="E53" s="68"/>
      <c r="F53" s="68"/>
      <c r="G53" s="68"/>
      <c r="H53" s="68"/>
    </row>
    <row r="54" spans="1:8" x14ac:dyDescent="0.15">
      <c r="A54" s="67"/>
      <c r="B54" s="68"/>
      <c r="C54" s="68"/>
      <c r="D54" s="68"/>
      <c r="E54" s="68"/>
      <c r="F54" s="68"/>
      <c r="G54" s="68"/>
      <c r="H54" s="68"/>
    </row>
    <row r="55" spans="1:8" x14ac:dyDescent="0.15">
      <c r="A55" s="67"/>
      <c r="B55" s="68"/>
      <c r="C55" s="68"/>
      <c r="D55" s="68"/>
      <c r="E55" s="68"/>
      <c r="F55" s="68"/>
      <c r="G55" s="68"/>
      <c r="H55" s="68"/>
    </row>
    <row r="56" spans="1:8" x14ac:dyDescent="0.15">
      <c r="A56" s="67"/>
      <c r="B56" s="68"/>
      <c r="C56" s="68"/>
      <c r="D56" s="68"/>
      <c r="E56" s="68"/>
      <c r="F56" s="68"/>
      <c r="G56" s="68"/>
      <c r="H56" s="68"/>
    </row>
    <row r="57" spans="1:8" x14ac:dyDescent="0.15">
      <c r="A57" s="67"/>
      <c r="B57" s="68"/>
      <c r="C57" s="68"/>
      <c r="D57" s="68"/>
      <c r="E57" s="68"/>
      <c r="F57" s="68"/>
      <c r="G57" s="68"/>
      <c r="H57" s="68"/>
    </row>
    <row r="58" spans="1:8" x14ac:dyDescent="0.15">
      <c r="A58" s="67"/>
      <c r="B58" s="68"/>
      <c r="C58" s="68"/>
      <c r="D58" s="68"/>
      <c r="E58" s="68"/>
      <c r="F58" s="68"/>
      <c r="G58" s="68"/>
      <c r="H58" s="68"/>
    </row>
    <row r="59" spans="1:8" x14ac:dyDescent="0.15">
      <c r="A59" s="67"/>
      <c r="B59" s="68"/>
      <c r="C59" s="68"/>
      <c r="D59" s="68"/>
      <c r="E59" s="68"/>
      <c r="F59" s="68"/>
      <c r="G59" s="68"/>
      <c r="H59" s="68"/>
    </row>
    <row r="60" spans="1:8" x14ac:dyDescent="0.15">
      <c r="A60" s="67"/>
      <c r="B60" s="68"/>
      <c r="C60" s="68"/>
      <c r="D60" s="68"/>
      <c r="E60" s="68"/>
      <c r="F60" s="68"/>
      <c r="G60" s="68"/>
      <c r="H60" s="68"/>
    </row>
    <row r="61" spans="1:8" x14ac:dyDescent="0.15">
      <c r="A61" s="67"/>
      <c r="B61" s="68"/>
      <c r="C61" s="68"/>
      <c r="D61" s="68"/>
      <c r="E61" s="68"/>
      <c r="F61" s="68"/>
      <c r="G61" s="68"/>
      <c r="H61" s="68"/>
    </row>
    <row r="62" spans="1:8" x14ac:dyDescent="0.15">
      <c r="A62" s="67"/>
      <c r="B62" s="68"/>
      <c r="C62" s="68"/>
      <c r="D62" s="68"/>
      <c r="E62" s="68"/>
      <c r="F62" s="68"/>
      <c r="G62" s="68"/>
      <c r="H62" s="68"/>
    </row>
    <row r="63" spans="1:8" x14ac:dyDescent="0.15">
      <c r="A63" s="67"/>
      <c r="B63" s="68"/>
      <c r="C63" s="68"/>
      <c r="D63" s="68"/>
      <c r="E63" s="68"/>
      <c r="F63" s="68"/>
      <c r="G63" s="68"/>
      <c r="H63" s="68"/>
    </row>
    <row r="64" spans="1:8" x14ac:dyDescent="0.15">
      <c r="A64" s="67"/>
      <c r="B64" s="68"/>
      <c r="C64" s="68"/>
      <c r="D64" s="68"/>
      <c r="E64" s="68"/>
      <c r="F64" s="68"/>
      <c r="G64" s="68"/>
      <c r="H64" s="68"/>
    </row>
    <row r="65" spans="1:8" x14ac:dyDescent="0.15">
      <c r="A65" s="67"/>
      <c r="B65" s="68"/>
      <c r="C65" s="68"/>
      <c r="D65" s="68"/>
      <c r="E65" s="68"/>
      <c r="F65" s="68"/>
      <c r="G65" s="68"/>
      <c r="H65" s="68"/>
    </row>
    <row r="66" spans="1:8" x14ac:dyDescent="0.15">
      <c r="A66" s="67"/>
      <c r="B66" s="68"/>
      <c r="C66" s="68"/>
      <c r="D66" s="68"/>
      <c r="E66" s="68"/>
      <c r="F66" s="68"/>
      <c r="G66" s="68"/>
      <c r="H66" s="68"/>
    </row>
    <row r="67" spans="1:8" x14ac:dyDescent="0.15">
      <c r="A67" s="67"/>
      <c r="B67" s="68"/>
      <c r="C67" s="68"/>
      <c r="D67" s="68"/>
      <c r="E67" s="68"/>
      <c r="F67" s="68"/>
      <c r="G67" s="68"/>
      <c r="H67" s="68"/>
    </row>
    <row r="68" spans="1:8" x14ac:dyDescent="0.15">
      <c r="A68" s="67"/>
      <c r="B68" s="68"/>
      <c r="C68" s="68"/>
      <c r="D68" s="68"/>
      <c r="E68" s="68"/>
      <c r="F68" s="68"/>
      <c r="G68" s="68"/>
      <c r="H68" s="68"/>
    </row>
    <row r="69" spans="1:8" x14ac:dyDescent="0.15">
      <c r="A69" s="67"/>
      <c r="B69" s="68"/>
      <c r="C69" s="68"/>
      <c r="D69" s="68"/>
      <c r="E69" s="68"/>
      <c r="F69" s="68"/>
      <c r="G69" s="68"/>
      <c r="H69" s="68"/>
    </row>
    <row r="70" spans="1:8" x14ac:dyDescent="0.15">
      <c r="A70" s="67"/>
      <c r="B70" s="68"/>
      <c r="C70" s="68"/>
      <c r="D70" s="68"/>
      <c r="E70" s="68"/>
      <c r="F70" s="68"/>
      <c r="G70" s="68"/>
      <c r="H70" s="68"/>
    </row>
    <row r="71" spans="1:8" x14ac:dyDescent="0.15">
      <c r="A71" s="67"/>
      <c r="B71" s="68"/>
      <c r="C71" s="68"/>
      <c r="D71" s="68"/>
      <c r="E71" s="68"/>
      <c r="F71" s="68"/>
      <c r="G71" s="68"/>
      <c r="H71" s="68"/>
    </row>
    <row r="72" spans="1:8" x14ac:dyDescent="0.15">
      <c r="A72" s="67"/>
      <c r="B72" s="68"/>
      <c r="C72" s="68"/>
      <c r="D72" s="68"/>
      <c r="E72" s="68"/>
      <c r="F72" s="68"/>
      <c r="G72" s="68"/>
      <c r="H72" s="68"/>
    </row>
    <row r="73" spans="1:8" x14ac:dyDescent="0.15">
      <c r="A73" s="67"/>
      <c r="B73" s="68"/>
      <c r="C73" s="68"/>
      <c r="D73" s="68"/>
      <c r="E73" s="68"/>
      <c r="F73" s="68"/>
      <c r="G73" s="68"/>
      <c r="H73" s="68"/>
    </row>
    <row r="74" spans="1:8" x14ac:dyDescent="0.15">
      <c r="A74" s="67"/>
      <c r="B74" s="68"/>
      <c r="C74" s="68"/>
      <c r="D74" s="68"/>
      <c r="E74" s="68"/>
      <c r="F74" s="68"/>
      <c r="G74" s="68"/>
      <c r="H74" s="68"/>
    </row>
    <row r="75" spans="1:8" x14ac:dyDescent="0.15">
      <c r="A75" s="67"/>
      <c r="B75" s="68"/>
      <c r="C75" s="68"/>
      <c r="D75" s="68"/>
      <c r="E75" s="68"/>
      <c r="F75" s="68"/>
      <c r="G75" s="68"/>
      <c r="H75" s="68"/>
    </row>
    <row r="76" spans="1:8" x14ac:dyDescent="0.15">
      <c r="A76" s="67"/>
      <c r="B76" s="68"/>
      <c r="C76" s="68"/>
      <c r="D76" s="68"/>
      <c r="E76" s="68"/>
      <c r="F76" s="68"/>
      <c r="G76" s="68"/>
      <c r="H76" s="68"/>
    </row>
    <row r="77" spans="1:8" x14ac:dyDescent="0.15">
      <c r="A77" s="67"/>
      <c r="B77" s="68"/>
      <c r="C77" s="68"/>
      <c r="D77" s="68"/>
      <c r="E77" s="68"/>
      <c r="F77" s="68"/>
      <c r="G77" s="68"/>
      <c r="H77" s="68"/>
    </row>
    <row r="78" spans="1:8" x14ac:dyDescent="0.15">
      <c r="A78" s="67"/>
      <c r="B78" s="68"/>
      <c r="C78" s="68"/>
      <c r="D78" s="68"/>
      <c r="E78" s="68"/>
      <c r="F78" s="68"/>
      <c r="G78" s="68"/>
      <c r="H78" s="68"/>
    </row>
    <row r="79" spans="1:8" x14ac:dyDescent="0.15">
      <c r="A79" s="67"/>
      <c r="B79" s="68"/>
      <c r="C79" s="68"/>
      <c r="D79" s="68"/>
      <c r="E79" s="68"/>
      <c r="F79" s="68"/>
      <c r="G79" s="68"/>
      <c r="H79" s="68"/>
    </row>
    <row r="80" spans="1:8" x14ac:dyDescent="0.15">
      <c r="A80" s="67"/>
      <c r="B80" s="68"/>
      <c r="C80" s="68"/>
      <c r="D80" s="68"/>
      <c r="E80" s="68"/>
      <c r="F80" s="68"/>
      <c r="G80" s="68"/>
      <c r="H80" s="68"/>
    </row>
    <row r="81" spans="1:8" x14ac:dyDescent="0.15">
      <c r="A81" s="67"/>
      <c r="B81" s="68"/>
      <c r="C81" s="68"/>
      <c r="D81" s="68"/>
      <c r="E81" s="68"/>
      <c r="F81" s="68"/>
      <c r="G81" s="68"/>
      <c r="H81" s="68"/>
    </row>
    <row r="82" spans="1:8" ht="14" customHeight="1" x14ac:dyDescent="0.15">
      <c r="A82" s="67"/>
      <c r="B82" s="68"/>
      <c r="C82" s="68"/>
      <c r="D82" s="68"/>
      <c r="E82" s="68"/>
      <c r="F82" s="68"/>
      <c r="G82" s="68"/>
      <c r="H82" s="68"/>
    </row>
    <row r="83" spans="1:8" x14ac:dyDescent="0.15">
      <c r="A83" s="67"/>
      <c r="B83" s="68"/>
      <c r="C83" s="68"/>
      <c r="D83" s="68"/>
      <c r="E83" s="68"/>
      <c r="F83" s="68"/>
      <c r="G83" s="68"/>
      <c r="H83" s="68"/>
    </row>
    <row r="84" spans="1:8" x14ac:dyDescent="0.15">
      <c r="A84" s="67"/>
      <c r="B84" s="68"/>
      <c r="C84" s="68"/>
      <c r="D84" s="68"/>
      <c r="E84" s="68"/>
      <c r="F84" s="68"/>
      <c r="G84" s="68"/>
      <c r="H84" s="68"/>
    </row>
    <row r="85" spans="1:8" x14ac:dyDescent="0.15">
      <c r="A85" s="67"/>
      <c r="B85" s="68"/>
      <c r="C85" s="68"/>
      <c r="D85" s="68"/>
      <c r="E85" s="68"/>
      <c r="F85" s="68"/>
      <c r="G85" s="68"/>
      <c r="H85" s="68"/>
    </row>
    <row r="86" spans="1:8" ht="14" customHeight="1" x14ac:dyDescent="0.15">
      <c r="A86" s="67"/>
      <c r="B86" s="68"/>
      <c r="C86" s="68"/>
      <c r="D86" s="68"/>
      <c r="E86" s="68"/>
      <c r="F86" s="68"/>
      <c r="G86" s="68"/>
      <c r="H86" s="68"/>
    </row>
    <row r="87" spans="1:8" x14ac:dyDescent="0.15">
      <c r="A87" s="67"/>
      <c r="B87" s="68"/>
      <c r="C87" s="68"/>
      <c r="D87" s="68"/>
      <c r="E87" s="68"/>
      <c r="F87" s="68"/>
      <c r="G87" s="68"/>
      <c r="H87" s="68"/>
    </row>
    <row r="88" spans="1:8" x14ac:dyDescent="0.15">
      <c r="A88" s="67"/>
      <c r="B88" s="68"/>
      <c r="C88" s="68"/>
      <c r="D88" s="68"/>
      <c r="E88" s="68"/>
      <c r="F88" s="68"/>
      <c r="G88" s="68"/>
      <c r="H88" s="68"/>
    </row>
    <row r="89" spans="1:8" x14ac:dyDescent="0.15">
      <c r="A89" s="67"/>
      <c r="B89" s="68"/>
      <c r="C89" s="68"/>
      <c r="D89" s="68"/>
      <c r="E89" s="68"/>
      <c r="F89" s="68"/>
      <c r="G89" s="68"/>
      <c r="H89" s="68"/>
    </row>
    <row r="90" spans="1:8" ht="14" customHeight="1" x14ac:dyDescent="0.15">
      <c r="A90" s="67"/>
      <c r="B90" s="68"/>
      <c r="C90" s="68"/>
      <c r="D90" s="68"/>
      <c r="E90" s="68"/>
      <c r="F90" s="68"/>
      <c r="G90" s="68"/>
      <c r="H90" s="68"/>
    </row>
    <row r="91" spans="1:8" x14ac:dyDescent="0.15">
      <c r="A91" s="67"/>
      <c r="B91" s="68"/>
      <c r="C91" s="68"/>
      <c r="D91" s="68"/>
      <c r="E91" s="68"/>
      <c r="F91" s="68"/>
      <c r="G91" s="68"/>
      <c r="H91" s="68"/>
    </row>
    <row r="92" spans="1:8" x14ac:dyDescent="0.15">
      <c r="A92" s="67"/>
      <c r="B92" s="69"/>
      <c r="C92" s="68"/>
      <c r="D92" s="68"/>
      <c r="E92" s="68"/>
      <c r="F92" s="68"/>
      <c r="G92" s="68"/>
      <c r="H92" s="68"/>
    </row>
    <row r="93" spans="1:8" x14ac:dyDescent="0.15">
      <c r="A93" s="67"/>
      <c r="B93" s="68"/>
      <c r="C93" s="68"/>
      <c r="D93" s="68"/>
      <c r="E93" s="68"/>
      <c r="F93" s="68"/>
      <c r="G93" s="68"/>
      <c r="H93" s="68"/>
    </row>
    <row r="94" spans="1:8" x14ac:dyDescent="0.15">
      <c r="A94" s="67"/>
      <c r="B94" s="68"/>
      <c r="C94" s="68"/>
      <c r="D94" s="68"/>
      <c r="E94" s="68"/>
      <c r="F94" s="68"/>
      <c r="G94" s="68"/>
      <c r="H94" s="68"/>
    </row>
    <row r="95" spans="1:8" ht="14" customHeight="1" x14ac:dyDescent="0.15">
      <c r="A95" s="67"/>
      <c r="B95" s="66"/>
    </row>
    <row r="96" spans="1:8" ht="14" customHeight="1" x14ac:dyDescent="0.15">
      <c r="B96" s="66"/>
      <c r="C96" s="66"/>
      <c r="D96" s="66"/>
      <c r="E96" s="66"/>
      <c r="F96" s="66"/>
      <c r="G96" s="66"/>
      <c r="H96" s="66"/>
    </row>
    <row r="97" spans="1:8" ht="14" customHeight="1" x14ac:dyDescent="0.15">
      <c r="A97" s="67"/>
      <c r="B97" s="66"/>
    </row>
    <row r="98" spans="1:8" x14ac:dyDescent="0.15">
      <c r="A98" s="62"/>
      <c r="B98" s="62"/>
    </row>
    <row r="99" spans="1:8" x14ac:dyDescent="0.15">
      <c r="B99" s="62"/>
    </row>
    <row r="100" spans="1:8" x14ac:dyDescent="0.15">
      <c r="A100" s="65"/>
      <c r="C100" s="62"/>
      <c r="D100" s="62"/>
      <c r="E100" s="73"/>
      <c r="H100" s="74"/>
    </row>
    <row r="101" spans="1:8" x14ac:dyDescent="0.15">
      <c r="A101" s="72"/>
    </row>
    <row r="102" spans="1:8" x14ac:dyDescent="0.15">
      <c r="A102" s="72"/>
    </row>
    <row r="108" spans="1:8" x14ac:dyDescent="0.15">
      <c r="B108" s="74"/>
    </row>
    <row r="109" spans="1:8" x14ac:dyDescent="0.15">
      <c r="B109" s="74"/>
    </row>
  </sheetData>
  <sheetProtection algorithmName="SHA-512" hashValue="lmUGhjfX4MI0RiHp/Qa7sZi2dcMfZt13gPSR7iwS4P1wAGCqVyiKDduKn0btS++WAe31GVPgL2oGx6jn+KlBvQ==" saltValue="+nrd0FU6pCEQyEVEnEbf5Q==" spinCount="100000" sheet="1" objects="1" scenarios="1"/>
  <mergeCells count="1">
    <mergeCell ref="A1:I1"/>
  </mergeCell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955CC8-6EA8-4E72-AEEC-19DC1834DE32}">
  <sheetPr>
    <tabColor rgb="FF00B0F0"/>
  </sheetPr>
  <dimension ref="A1:H53"/>
  <sheetViews>
    <sheetView workbookViewId="0">
      <selection sqref="A1:L1"/>
    </sheetView>
  </sheetViews>
  <sheetFormatPr baseColWidth="10" defaultColWidth="9.1640625" defaultRowHeight="15" x14ac:dyDescent="0.2"/>
  <cols>
    <col min="1" max="1" width="46.83203125" style="508" customWidth="1"/>
    <col min="2" max="3" width="17.5" style="508" customWidth="1"/>
    <col min="4" max="5" width="9.1640625" style="508"/>
    <col min="6" max="6" width="33.33203125" style="508" customWidth="1"/>
    <col min="7" max="7" width="19.1640625" style="508" customWidth="1"/>
    <col min="8" max="8" width="15.33203125" style="508" customWidth="1"/>
    <col min="9" max="16384" width="9.1640625" style="508"/>
  </cols>
  <sheetData>
    <row r="1" spans="1:8" x14ac:dyDescent="0.2">
      <c r="A1" s="505" t="s">
        <v>372</v>
      </c>
      <c r="B1" s="506" t="str">
        <f>HYPERLINK("http://maps.google.com/maps?q="&amp;(RIGHT(A1,LEN(A1)-SEARCH("-",A1))),"Google Map")</f>
        <v>Google Map</v>
      </c>
      <c r="C1" s="507"/>
      <c r="F1" s="875" t="s">
        <v>373</v>
      </c>
      <c r="G1" s="875"/>
    </row>
    <row r="2" spans="1:8" x14ac:dyDescent="0.2">
      <c r="A2" s="509" t="s">
        <v>374</v>
      </c>
      <c r="B2" s="510">
        <v>0</v>
      </c>
      <c r="C2" s="511" t="e">
        <f>B13/B2</f>
        <v>#DIV/0!</v>
      </c>
      <c r="F2" s="508" t="s">
        <v>374</v>
      </c>
      <c r="G2" s="512">
        <v>0</v>
      </c>
    </row>
    <row r="3" spans="1:8" x14ac:dyDescent="0.2">
      <c r="A3" s="508" t="s">
        <v>375</v>
      </c>
      <c r="B3" s="513"/>
      <c r="C3" s="514" t="e">
        <f>B2/B3</f>
        <v>#DIV/0!</v>
      </c>
      <c r="F3" s="508" t="s">
        <v>376</v>
      </c>
      <c r="G3" s="513"/>
      <c r="H3" s="515" t="e">
        <f>G2/G3</f>
        <v>#DIV/0!</v>
      </c>
    </row>
    <row r="4" spans="1:8" x14ac:dyDescent="0.2">
      <c r="A4" s="508" t="s">
        <v>377</v>
      </c>
      <c r="B4" s="513"/>
      <c r="C4" s="516" t="e">
        <f>B2/B4</f>
        <v>#DIV/0!</v>
      </c>
      <c r="F4" s="508" t="s">
        <v>378</v>
      </c>
      <c r="G4" s="513"/>
      <c r="H4" s="516" t="e">
        <f>G2/G4</f>
        <v>#DIV/0!</v>
      </c>
    </row>
    <row r="5" spans="1:8" x14ac:dyDescent="0.2">
      <c r="A5" s="508" t="s">
        <v>379</v>
      </c>
      <c r="B5" s="517">
        <v>400</v>
      </c>
      <c r="C5" s="518" t="e">
        <f>B5/B2*100</f>
        <v>#DIV/0!</v>
      </c>
      <c r="F5" s="508" t="s">
        <v>380</v>
      </c>
      <c r="G5" s="517">
        <v>250</v>
      </c>
    </row>
    <row r="6" spans="1:8" x14ac:dyDescent="0.2">
      <c r="A6" s="519" t="s">
        <v>381</v>
      </c>
      <c r="B6" s="520"/>
      <c r="C6" s="521"/>
      <c r="F6" s="519" t="s">
        <v>381</v>
      </c>
      <c r="G6" s="520"/>
    </row>
    <row r="7" spans="1:8" x14ac:dyDescent="0.2">
      <c r="A7" s="508" t="s">
        <v>382</v>
      </c>
      <c r="B7" s="522">
        <f>-B6*B5*$B$3*12</f>
        <v>0</v>
      </c>
      <c r="C7" s="521"/>
      <c r="F7" s="508" t="s">
        <v>382</v>
      </c>
      <c r="G7" s="523">
        <f>-G6*G5*G4*12</f>
        <v>0</v>
      </c>
    </row>
    <row r="8" spans="1:8" x14ac:dyDescent="0.2">
      <c r="A8" s="508" t="s">
        <v>383</v>
      </c>
      <c r="B8" s="523">
        <v>0</v>
      </c>
      <c r="C8" s="521"/>
      <c r="F8" s="508" t="s">
        <v>384</v>
      </c>
      <c r="G8" s="522">
        <f>G4*G5*12+G7</f>
        <v>0</v>
      </c>
    </row>
    <row r="9" spans="1:8" x14ac:dyDescent="0.2">
      <c r="A9" s="508" t="s">
        <v>384</v>
      </c>
      <c r="B9" s="522">
        <f>$B$3*$B$5*12+$B$7+$B$8</f>
        <v>0</v>
      </c>
      <c r="C9" s="521"/>
    </row>
    <row r="10" spans="1:8" x14ac:dyDescent="0.2">
      <c r="C10" s="521"/>
      <c r="F10" s="508" t="s">
        <v>385</v>
      </c>
      <c r="G10" s="520">
        <v>0.5</v>
      </c>
    </row>
    <row r="11" spans="1:8" ht="16" thickBot="1" x14ac:dyDescent="0.25">
      <c r="A11" s="508" t="s">
        <v>386</v>
      </c>
      <c r="B11" s="520">
        <v>0.4</v>
      </c>
      <c r="C11" s="521"/>
      <c r="F11" s="508" t="s">
        <v>387</v>
      </c>
      <c r="G11" s="524">
        <f>-G10*G8</f>
        <v>0</v>
      </c>
    </row>
    <row r="12" spans="1:8" ht="17" thickTop="1" thickBot="1" x14ac:dyDescent="0.25">
      <c r="A12" s="508" t="s">
        <v>388</v>
      </c>
      <c r="B12" s="524">
        <f>B11*B9</f>
        <v>0</v>
      </c>
      <c r="C12" s="521"/>
      <c r="F12" s="508" t="s">
        <v>389</v>
      </c>
      <c r="G12" s="522">
        <f>G8+G11</f>
        <v>0</v>
      </c>
    </row>
    <row r="13" spans="1:8" ht="16" thickTop="1" x14ac:dyDescent="0.2">
      <c r="A13" s="508" t="s">
        <v>127</v>
      </c>
      <c r="B13" s="522">
        <f>B9-B12</f>
        <v>0</v>
      </c>
      <c r="C13" s="511" t="e">
        <f>B13/B2</f>
        <v>#DIV/0!</v>
      </c>
    </row>
    <row r="14" spans="1:8" x14ac:dyDescent="0.2">
      <c r="C14" s="521"/>
      <c r="F14" s="508" t="s">
        <v>390</v>
      </c>
      <c r="G14" s="525">
        <v>0.14000000000000001</v>
      </c>
    </row>
    <row r="15" spans="1:8" x14ac:dyDescent="0.2">
      <c r="A15" s="508" t="s">
        <v>391</v>
      </c>
      <c r="B15" s="525">
        <v>5.5E-2</v>
      </c>
      <c r="C15" s="521"/>
      <c r="F15" s="508" t="s">
        <v>392</v>
      </c>
      <c r="G15" s="526">
        <f>G12/G14</f>
        <v>0</v>
      </c>
      <c r="H15" s="515" t="e">
        <f>G15/G3</f>
        <v>#DIV/0!</v>
      </c>
    </row>
    <row r="16" spans="1:8" x14ac:dyDescent="0.2">
      <c r="A16" s="508" t="s">
        <v>0</v>
      </c>
      <c r="B16" s="522">
        <f>B13/B15</f>
        <v>0</v>
      </c>
      <c r="C16" s="514" t="e">
        <f>B16/B3</f>
        <v>#DIV/0!</v>
      </c>
    </row>
    <row r="17" spans="1:7" x14ac:dyDescent="0.2">
      <c r="A17" s="876" t="s">
        <v>393</v>
      </c>
      <c r="B17" s="876"/>
      <c r="C17" s="876"/>
      <c r="F17" s="876" t="s">
        <v>394</v>
      </c>
      <c r="G17" s="876"/>
    </row>
    <row r="18" spans="1:7" x14ac:dyDescent="0.2">
      <c r="A18" s="508" t="s">
        <v>395</v>
      </c>
      <c r="B18" s="520">
        <v>0.05</v>
      </c>
      <c r="F18" s="508" t="s">
        <v>396</v>
      </c>
      <c r="G18" s="520">
        <v>1</v>
      </c>
    </row>
    <row r="19" spans="1:7" x14ac:dyDescent="0.2">
      <c r="A19" s="508" t="s">
        <v>386</v>
      </c>
      <c r="B19" s="520">
        <v>0.32</v>
      </c>
      <c r="F19" s="508" t="s">
        <v>397</v>
      </c>
      <c r="G19" s="525">
        <v>0.05</v>
      </c>
    </row>
    <row r="20" spans="1:7" x14ac:dyDescent="0.2">
      <c r="A20" s="508" t="s">
        <v>379</v>
      </c>
      <c r="B20" s="517">
        <v>550</v>
      </c>
      <c r="F20" s="508" t="s">
        <v>398</v>
      </c>
      <c r="G20" s="527">
        <v>9999</v>
      </c>
    </row>
    <row r="21" spans="1:7" x14ac:dyDescent="0.2">
      <c r="A21" s="508" t="s">
        <v>399</v>
      </c>
      <c r="B21" s="522">
        <f>B20*B3*12</f>
        <v>0</v>
      </c>
      <c r="F21" s="508" t="s">
        <v>400</v>
      </c>
      <c r="G21" s="528">
        <f>PMT(G19,G20,G15*G18)</f>
        <v>0</v>
      </c>
    </row>
    <row r="22" spans="1:7" x14ac:dyDescent="0.2">
      <c r="A22" s="508" t="s">
        <v>382</v>
      </c>
      <c r="B22" s="522">
        <f>-$B$18*$B$21</f>
        <v>0</v>
      </c>
      <c r="G22" s="528"/>
    </row>
    <row r="23" spans="1:7" x14ac:dyDescent="0.2">
      <c r="A23" s="604" t="s">
        <v>383</v>
      </c>
      <c r="B23" s="523">
        <v>0</v>
      </c>
      <c r="F23" s="508" t="s">
        <v>401</v>
      </c>
      <c r="G23" s="529">
        <f>B34+(1-G18)*G2</f>
        <v>0</v>
      </c>
    </row>
    <row r="24" spans="1:7" x14ac:dyDescent="0.2">
      <c r="A24" s="508" t="s">
        <v>384</v>
      </c>
      <c r="B24" s="522">
        <f>SUM(B21:B23)</f>
        <v>0</v>
      </c>
      <c r="F24" s="508" t="s">
        <v>402</v>
      </c>
      <c r="G24" s="530" t="e">
        <f>(B36/5+G12+G21)/G23</f>
        <v>#DIV/0!</v>
      </c>
    </row>
    <row r="25" spans="1:7" x14ac:dyDescent="0.2">
      <c r="F25" s="508" t="s">
        <v>403</v>
      </c>
      <c r="G25" s="531">
        <f>B35</f>
        <v>0</v>
      </c>
    </row>
    <row r="26" spans="1:7" ht="16" thickBot="1" x14ac:dyDescent="0.25">
      <c r="A26" s="508" t="s">
        <v>388</v>
      </c>
      <c r="B26" s="524">
        <f>B19*B24</f>
        <v>0</v>
      </c>
      <c r="F26" s="508" t="s">
        <v>404</v>
      </c>
      <c r="G26" s="531" t="e">
        <f>G23*G24*5</f>
        <v>#DIV/0!</v>
      </c>
    </row>
    <row r="27" spans="1:7" ht="16" thickTop="1" x14ac:dyDescent="0.2">
      <c r="A27" s="508" t="s">
        <v>127</v>
      </c>
      <c r="B27" s="522">
        <f>B24-B26</f>
        <v>0</v>
      </c>
      <c r="F27" s="508" t="s">
        <v>405</v>
      </c>
      <c r="G27" s="532" t="e">
        <f>(G25+G26-G23)/G23</f>
        <v>#DIV/0!</v>
      </c>
    </row>
    <row r="29" spans="1:7" x14ac:dyDescent="0.2">
      <c r="A29" s="508" t="s">
        <v>391</v>
      </c>
      <c r="B29" s="525">
        <v>5.5E-2</v>
      </c>
      <c r="F29" s="533" t="s">
        <v>406</v>
      </c>
      <c r="G29" s="526">
        <f>G15+B16</f>
        <v>0</v>
      </c>
    </row>
    <row r="30" spans="1:7" x14ac:dyDescent="0.2">
      <c r="A30" s="508" t="s">
        <v>0</v>
      </c>
      <c r="B30" s="522">
        <f>B27/B29</f>
        <v>0</v>
      </c>
      <c r="C30" s="514" t="e">
        <f>B30/B3</f>
        <v>#DIV/0!</v>
      </c>
    </row>
    <row r="31" spans="1:7" x14ac:dyDescent="0.2">
      <c r="A31" s="877" t="s">
        <v>407</v>
      </c>
      <c r="B31" s="877"/>
      <c r="C31" s="877"/>
    </row>
    <row r="32" spans="1:7" x14ac:dyDescent="0.2">
      <c r="A32" s="508" t="s">
        <v>183</v>
      </c>
      <c r="B32" s="520">
        <v>0.7</v>
      </c>
    </row>
    <row r="33" spans="1:3" x14ac:dyDescent="0.2">
      <c r="A33" s="508" t="s">
        <v>408</v>
      </c>
      <c r="B33" s="520">
        <v>0.08</v>
      </c>
    </row>
    <row r="34" spans="1:3" x14ac:dyDescent="0.2">
      <c r="A34" s="508" t="s">
        <v>409</v>
      </c>
      <c r="B34" s="531">
        <f>(1-B32)*B16</f>
        <v>0</v>
      </c>
    </row>
    <row r="35" spans="1:3" x14ac:dyDescent="0.2">
      <c r="A35" s="508" t="s">
        <v>410</v>
      </c>
      <c r="B35" s="531">
        <f>+B50</f>
        <v>0</v>
      </c>
      <c r="C35" s="522"/>
    </row>
    <row r="36" spans="1:3" x14ac:dyDescent="0.2">
      <c r="A36" s="508" t="s">
        <v>404</v>
      </c>
      <c r="B36" s="531">
        <f>B33*B34*5</f>
        <v>0</v>
      </c>
    </row>
    <row r="37" spans="1:3" x14ac:dyDescent="0.2">
      <c r="A37" s="508" t="s">
        <v>405</v>
      </c>
      <c r="B37" s="603" t="e">
        <f>+B53</f>
        <v>#DIV/0!</v>
      </c>
    </row>
    <row r="39" spans="1:3" x14ac:dyDescent="0.2">
      <c r="A39" s="508" t="s">
        <v>411</v>
      </c>
      <c r="B39" s="522">
        <f>B30-B16</f>
        <v>0</v>
      </c>
      <c r="C39" s="514" t="e">
        <f>B39/B3</f>
        <v>#DIV/0!</v>
      </c>
    </row>
    <row r="48" spans="1:3" x14ac:dyDescent="0.2">
      <c r="A48" s="508" t="s">
        <v>412</v>
      </c>
      <c r="B48" s="601">
        <f>+B32*B16</f>
        <v>0</v>
      </c>
    </row>
    <row r="49" spans="1:2" x14ac:dyDescent="0.2">
      <c r="A49" s="508" t="s">
        <v>413</v>
      </c>
      <c r="B49" s="601">
        <f>+B32*B30</f>
        <v>0</v>
      </c>
    </row>
    <row r="50" spans="1:2" x14ac:dyDescent="0.2">
      <c r="A50" s="508" t="s">
        <v>414</v>
      </c>
      <c r="B50" s="601">
        <f>+B49-B48</f>
        <v>0</v>
      </c>
    </row>
    <row r="51" spans="1:2" x14ac:dyDescent="0.2">
      <c r="A51" s="508" t="s">
        <v>415</v>
      </c>
      <c r="B51" s="522">
        <f>+B36</f>
        <v>0</v>
      </c>
    </row>
    <row r="52" spans="1:2" x14ac:dyDescent="0.2">
      <c r="A52" s="508" t="s">
        <v>416</v>
      </c>
      <c r="B52" s="601">
        <f>+B51+B50</f>
        <v>0</v>
      </c>
    </row>
    <row r="53" spans="1:2" x14ac:dyDescent="0.2">
      <c r="A53" s="508" t="s">
        <v>417</v>
      </c>
      <c r="B53" s="602" t="e">
        <f>+B52/B34</f>
        <v>#DIV/0!</v>
      </c>
    </row>
  </sheetData>
  <sheetProtection algorithmName="SHA-512" hashValue="XzKDUdzRC3GaUEsLA20ihU64sTGivNSdCQiT/miUS9alGaQPMKZKtsSLKepy00hOxXNGkvGqeFatl0c1MGHnfg==" saltValue="8Gf7pxBS4TT24+Z8yPT2Nw==" spinCount="100000" sheet="1" objects="1" scenarios="1"/>
  <mergeCells count="4">
    <mergeCell ref="F1:G1"/>
    <mergeCell ref="A17:C17"/>
    <mergeCell ref="F17:G17"/>
    <mergeCell ref="A31:C31"/>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D096BE-F7C7-4C9E-92F0-129DBF7A0624}">
  <sheetPr codeName="Sheet7">
    <tabColor theme="9"/>
  </sheetPr>
  <dimension ref="A1:V34"/>
  <sheetViews>
    <sheetView workbookViewId="0">
      <selection sqref="A1:L1"/>
    </sheetView>
  </sheetViews>
  <sheetFormatPr baseColWidth="10" defaultColWidth="8.83203125" defaultRowHeight="13" x14ac:dyDescent="0.15"/>
  <cols>
    <col min="1" max="1" width="46.33203125" bestFit="1" customWidth="1"/>
    <col min="2" max="2" width="11.6640625" bestFit="1" customWidth="1"/>
    <col min="3" max="3" width="15.1640625" customWidth="1"/>
    <col min="4" max="4" width="12.33203125" customWidth="1"/>
    <col min="5" max="5" width="13.5" customWidth="1"/>
    <col min="6" max="6" width="19.5" customWidth="1"/>
    <col min="8" max="8" width="18.1640625" customWidth="1"/>
  </cols>
  <sheetData>
    <row r="1" spans="1:4" ht="15" x14ac:dyDescent="0.2">
      <c r="A1" s="881" t="s">
        <v>418</v>
      </c>
      <c r="B1" s="881"/>
      <c r="C1" s="881"/>
      <c r="D1" s="881"/>
    </row>
    <row r="2" spans="1:4" x14ac:dyDescent="0.15">
      <c r="B2" s="262"/>
    </row>
    <row r="3" spans="1:4" x14ac:dyDescent="0.15">
      <c r="A3" t="s">
        <v>419</v>
      </c>
      <c r="B3" s="482"/>
      <c r="C3" s="321" t="s">
        <v>420</v>
      </c>
    </row>
    <row r="4" spans="1:4" x14ac:dyDescent="0.15">
      <c r="B4" s="262"/>
    </row>
    <row r="5" spans="1:4" x14ac:dyDescent="0.15">
      <c r="B5" s="262"/>
    </row>
    <row r="6" spans="1:4" ht="15" x14ac:dyDescent="0.2">
      <c r="A6" s="879" t="s">
        <v>421</v>
      </c>
      <c r="B6" s="880"/>
    </row>
    <row r="7" spans="1:4" x14ac:dyDescent="0.15">
      <c r="A7" t="str">
        <f>+A3</f>
        <v>Funds Due To Escrow To Close</v>
      </c>
      <c r="B7" s="262">
        <f>+B3</f>
        <v>0</v>
      </c>
    </row>
    <row r="8" spans="1:4" x14ac:dyDescent="0.15">
      <c r="B8" s="262"/>
    </row>
    <row r="9" spans="1:4" x14ac:dyDescent="0.15">
      <c r="A9" s="708" t="s">
        <v>422</v>
      </c>
      <c r="B9" s="322"/>
    </row>
    <row r="10" spans="1:4" x14ac:dyDescent="0.15">
      <c r="A10" t="s">
        <v>423</v>
      </c>
      <c r="B10" s="322"/>
    </row>
    <row r="11" spans="1:4" x14ac:dyDescent="0.15">
      <c r="A11" s="708" t="s">
        <v>424</v>
      </c>
      <c r="B11" s="262">
        <f>+Notes!C28</f>
        <v>625000</v>
      </c>
    </row>
    <row r="12" spans="1:4" x14ac:dyDescent="0.15">
      <c r="A12" s="708" t="s">
        <v>425</v>
      </c>
      <c r="B12" s="322">
        <v>0</v>
      </c>
      <c r="C12" s="321" t="s">
        <v>426</v>
      </c>
    </row>
    <row r="13" spans="1:4" x14ac:dyDescent="0.15">
      <c r="B13" s="262"/>
    </row>
    <row r="14" spans="1:4" x14ac:dyDescent="0.15">
      <c r="A14" s="847" t="s">
        <v>427</v>
      </c>
      <c r="B14" s="848">
        <f>SUM(B7:B13)</f>
        <v>625000</v>
      </c>
    </row>
    <row r="15" spans="1:4" x14ac:dyDescent="0.15">
      <c r="B15" s="262"/>
    </row>
    <row r="16" spans="1:4" x14ac:dyDescent="0.15">
      <c r="A16" s="708" t="s">
        <v>428</v>
      </c>
      <c r="B16" s="262">
        <f>+B14-B10-B9-B7</f>
        <v>625000</v>
      </c>
    </row>
    <row r="24" spans="1:8" x14ac:dyDescent="0.15">
      <c r="A24" s="878" t="s">
        <v>429</v>
      </c>
      <c r="B24" s="878"/>
      <c r="C24" s="878"/>
      <c r="D24" s="878"/>
      <c r="E24" s="878"/>
      <c r="F24" s="878"/>
      <c r="G24" s="878"/>
      <c r="H24" s="878"/>
    </row>
    <row r="26" spans="1:8" x14ac:dyDescent="0.15">
      <c r="A26" s="849" t="s">
        <v>430</v>
      </c>
      <c r="B26" s="886" t="s">
        <v>431</v>
      </c>
      <c r="C26" s="884"/>
      <c r="D26" s="869" t="s">
        <v>432</v>
      </c>
      <c r="E26" s="869"/>
      <c r="F26" s="261" t="s">
        <v>433</v>
      </c>
      <c r="G26" s="884" t="s">
        <v>434</v>
      </c>
      <c r="H26" s="884"/>
    </row>
    <row r="27" spans="1:8" x14ac:dyDescent="0.15">
      <c r="A27" s="263"/>
      <c r="B27" s="887">
        <f ca="1">Proforma!F106+Proforma!E85</f>
        <v>180698.2916</v>
      </c>
      <c r="C27" s="888"/>
      <c r="D27" s="889">
        <f>(Proforma!E53*12)/('Closing Funds - POHs'!A27+Proforma!E53*12)</f>
        <v>1</v>
      </c>
      <c r="E27" s="889"/>
      <c r="F27" s="260">
        <f ca="1">A27/B27</f>
        <v>0</v>
      </c>
      <c r="G27" s="885">
        <f ca="1">B27/(Proforma!D6)</f>
        <v>2.8190061092043681E-2</v>
      </c>
      <c r="H27" s="885"/>
    </row>
    <row r="29" spans="1:8" x14ac:dyDescent="0.15">
      <c r="A29" s="882" t="s">
        <v>435</v>
      </c>
      <c r="B29" s="878"/>
      <c r="C29" s="39" t="s">
        <v>436</v>
      </c>
      <c r="D29" s="39" t="s">
        <v>188</v>
      </c>
      <c r="E29" s="261" t="s">
        <v>437</v>
      </c>
      <c r="F29" s="261" t="s">
        <v>438</v>
      </c>
      <c r="G29" s="850" t="s">
        <v>439</v>
      </c>
      <c r="H29" s="851" t="s">
        <v>440</v>
      </c>
    </row>
    <row r="30" spans="1:8" x14ac:dyDescent="0.15">
      <c r="A30" s="883">
        <v>0</v>
      </c>
      <c r="B30" s="883"/>
      <c r="C30" s="264">
        <v>0</v>
      </c>
      <c r="D30" s="265">
        <v>0.05</v>
      </c>
      <c r="E30" s="233">
        <v>60</v>
      </c>
      <c r="F30" s="233">
        <v>60</v>
      </c>
      <c r="G30" s="262">
        <f>PMT(D30/12,F30,A30-C30)</f>
        <v>0</v>
      </c>
      <c r="H30" s="262">
        <f>G30*12</f>
        <v>0</v>
      </c>
    </row>
    <row r="32" spans="1:8" x14ac:dyDescent="0.15">
      <c r="A32" s="266" t="s">
        <v>441</v>
      </c>
      <c r="B32" s="266"/>
      <c r="C32" s="266"/>
      <c r="D32" s="266"/>
      <c r="E32" s="266"/>
      <c r="F32" s="266"/>
      <c r="G32" s="266"/>
      <c r="H32" s="266"/>
    </row>
    <row r="34" spans="1:22" x14ac:dyDescent="0.15">
      <c r="A34" s="878" t="s">
        <v>429</v>
      </c>
      <c r="B34" s="878"/>
      <c r="C34" s="878"/>
      <c r="D34" s="878"/>
      <c r="E34" s="878"/>
      <c r="F34" s="878"/>
      <c r="G34" s="878"/>
      <c r="H34" s="878"/>
      <c r="M34" s="365"/>
      <c r="N34" s="365"/>
      <c r="O34" s="365"/>
      <c r="P34" s="365"/>
      <c r="Q34" s="365"/>
      <c r="R34" s="365"/>
      <c r="S34" s="365"/>
      <c r="T34" s="365"/>
      <c r="U34" s="365"/>
      <c r="V34" s="365"/>
    </row>
  </sheetData>
  <sheetProtection algorithmName="SHA-512" hashValue="4wEORjHxFzHUDV1/enfJdI19t9/p/deDeCJHOJi8HscKtpAPB1uLcyM7d5jT+EzY25SKBH13udjj8Uo9DCokNg==" saltValue="5qZSMn4765ScHB1OJ/eoBQ==" spinCount="100000" sheet="1" objects="1" scenarios="1"/>
  <mergeCells count="12">
    <mergeCell ref="A34:H34"/>
    <mergeCell ref="A6:B6"/>
    <mergeCell ref="A1:D1"/>
    <mergeCell ref="A24:H24"/>
    <mergeCell ref="A29:B29"/>
    <mergeCell ref="A30:B30"/>
    <mergeCell ref="G26:H26"/>
    <mergeCell ref="G27:H27"/>
    <mergeCell ref="B26:C26"/>
    <mergeCell ref="B27:C27"/>
    <mergeCell ref="D26:E26"/>
    <mergeCell ref="D27:E27"/>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A1317AC504AE0142992D80EE5044DF72" ma:contentTypeVersion="17" ma:contentTypeDescription="Create a new document." ma:contentTypeScope="" ma:versionID="6bedb2d8d4700010e0bb71acc7d47277">
  <xsd:schema xmlns:xsd="http://www.w3.org/2001/XMLSchema" xmlns:xs="http://www.w3.org/2001/XMLSchema" xmlns:p="http://schemas.microsoft.com/office/2006/metadata/properties" xmlns:ns2="0765e0a5-7ba2-402d-9946-2e0ed7c63ed3" xmlns:ns3="6e23940f-583b-478a-a4f1-8d38fb5b28cc" targetNamespace="http://schemas.microsoft.com/office/2006/metadata/properties" ma:root="true" ma:fieldsID="c2176a0105882579fd7c0b1f044b380f" ns2:_="" ns3:_="">
    <xsd:import namespace="0765e0a5-7ba2-402d-9946-2e0ed7c63ed3"/>
    <xsd:import namespace="6e23940f-583b-478a-a4f1-8d38fb5b28cc"/>
    <xsd:element name="properties">
      <xsd:complexType>
        <xsd:sequence>
          <xsd:element name="documentManagement">
            <xsd:complexType>
              <xsd:all>
                <xsd:element ref="ns2:_dlc_DocId" minOccurs="0"/>
                <xsd:element ref="ns2:_dlc_DocIdUrl" minOccurs="0"/>
                <xsd:element ref="ns2:_dlc_DocIdPersistId" minOccurs="0"/>
                <xsd:element ref="ns3:MediaServiceMetadata" minOccurs="0"/>
                <xsd:element ref="ns3:MediaServiceFastMetadata" minOccurs="0"/>
                <xsd:element ref="ns3:MediaServiceAutoKeyPoints" minOccurs="0"/>
                <xsd:element ref="ns3:MediaServiceKeyPoints"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Location" minOccurs="0"/>
                <xsd:element ref="ns2:SharedWithUsers" minOccurs="0"/>
                <xsd:element ref="ns2:SharedWithDetails" minOccurs="0"/>
                <xsd:element ref="ns3:MediaLengthInSeconds" minOccurs="0"/>
                <xsd:element ref="ns3:lcf76f155ced4ddcb4097134ff3c332f" minOccurs="0"/>
                <xsd:element ref="ns2:TaxCatchAll" minOccurs="0"/>
                <xsd:element ref="ns3:LotNumb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765e0a5-7ba2-402d-9946-2e0ed7c63ed3"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SharedWithUsers" ma:index="2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2" nillable="true" ma:displayName="Shared With Details" ma:internalName="SharedWithDetails" ma:readOnly="true">
      <xsd:simpleType>
        <xsd:restriction base="dms:Note">
          <xsd:maxLength value="255"/>
        </xsd:restriction>
      </xsd:simpleType>
    </xsd:element>
    <xsd:element name="TaxCatchAll" ma:index="26" nillable="true" ma:displayName="Taxonomy Catch All Column" ma:hidden="true" ma:list="{0bbe2277-244b-4676-a645-2c737af1fdef}" ma:internalName="TaxCatchAll" ma:showField="CatchAllData" ma:web="0765e0a5-7ba2-402d-9946-2e0ed7c63ed3">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6e23940f-583b-478a-a4f1-8d38fb5b28cc"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DateTaken" ma:index="15" nillable="true" ma:displayName="MediaServiceDateTaken" ma:hidden="true" ma:internalName="MediaServiceDateTaken" ma:readOnly="true">
      <xsd:simpleType>
        <xsd:restriction base="dms:Text"/>
      </xsd:simpleType>
    </xsd:element>
    <xsd:element name="MediaServiceAutoTags" ma:index="16" nillable="true" ma:displayName="Tags" ma:internalName="MediaServiceAutoTags"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Location" ma:index="20" nillable="true" ma:displayName="Location" ma:internalName="MediaServiceLocation" ma:readOnly="true">
      <xsd:simpleType>
        <xsd:restriction base="dms:Text"/>
      </xsd:simpleType>
    </xsd:element>
    <xsd:element name="MediaLengthInSeconds" ma:index="23" nillable="true" ma:displayName="Length (seconds)" ma:internalName="MediaLengthInSeconds" ma:readOnly="true">
      <xsd:simpleType>
        <xsd:restriction base="dms:Unknown"/>
      </xsd:simpleType>
    </xsd:element>
    <xsd:element name="lcf76f155ced4ddcb4097134ff3c332f" ma:index="25" nillable="true" ma:taxonomy="true" ma:internalName="lcf76f155ced4ddcb4097134ff3c332f" ma:taxonomyFieldName="MediaServiceImageTags" ma:displayName="Image Tags" ma:readOnly="false" ma:fieldId="{5cf76f15-5ced-4ddc-b409-7134ff3c332f}" ma:taxonomyMulti="true" ma:sspId="33fb32de-e536-4b53-ad92-a645299bf04f" ma:termSetId="09814cd3-568e-fe90-9814-8d621ff8fb84" ma:anchorId="fba54fb3-c3e1-fe81-a776-ca4b69148c4d" ma:open="true" ma:isKeyword="false">
      <xsd:complexType>
        <xsd:sequence>
          <xsd:element ref="pc:Terms" minOccurs="0" maxOccurs="1"/>
        </xsd:sequence>
      </xsd:complexType>
    </xsd:element>
    <xsd:element name="LotNumber" ma:index="27" nillable="true" ma:displayName="Number Order" ma:format="Dropdown" ma:internalName="LotNumber" ma:percentage="FALSE">
      <xsd:simpleType>
        <xsd:restriction base="dms:Number">
          <xsd:maxInclusive value="999"/>
          <xsd:minInclusive value="0"/>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4.xml><?xml version="1.0" encoding="utf-8"?>
<p:properties xmlns:p="http://schemas.microsoft.com/office/2006/metadata/properties" xmlns:xsi="http://www.w3.org/2001/XMLSchema-instance" xmlns:pc="http://schemas.microsoft.com/office/infopath/2007/PartnerControls">
  <documentManagement>
    <_dlc_DocId xmlns="0765e0a5-7ba2-402d-9946-2e0ed7c63ed3">URSRN5MXTWVJ-1845219586-418792</_dlc_DocId>
    <_dlc_DocIdUrl xmlns="0765e0a5-7ba2-402d-9946-2e0ed7c63ed3">
      <Url>https://netorg4686179.sharepoint.com/_layouts/15/DocIdRedir.aspx?ID=URSRN5MXTWVJ-1845219586-418792</Url>
      <Description>URSRN5MXTWVJ-1845219586-418792</Description>
    </_dlc_DocIdUrl>
    <TaxCatchAll xmlns="0765e0a5-7ba2-402d-9946-2e0ed7c63ed3" xsi:nil="true"/>
    <lcf76f155ced4ddcb4097134ff3c332f xmlns="6e23940f-583b-478a-a4f1-8d38fb5b28cc">
      <Terms xmlns="http://schemas.microsoft.com/office/infopath/2007/PartnerControls"/>
    </lcf76f155ced4ddcb4097134ff3c332f>
    <LotNumber xmlns="6e23940f-583b-478a-a4f1-8d38fb5b28cc" xsi:nil="true"/>
  </documentManagement>
</p:properties>
</file>

<file path=customXml/itemProps1.xml><?xml version="1.0" encoding="utf-8"?>
<ds:datastoreItem xmlns:ds="http://schemas.openxmlformats.org/officeDocument/2006/customXml" ds:itemID="{CF9B9510-84AF-418D-A845-E8019E90857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765e0a5-7ba2-402d-9946-2e0ed7c63ed3"/>
    <ds:schemaRef ds:uri="6e23940f-583b-478a-a4f1-8d38fb5b28c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1FEE7931-965C-4716-AA0A-D6F74EF988F2}">
  <ds:schemaRefs>
    <ds:schemaRef ds:uri="http://schemas.microsoft.com/sharepoint/v3/contenttype/forms"/>
  </ds:schemaRefs>
</ds:datastoreItem>
</file>

<file path=customXml/itemProps3.xml><?xml version="1.0" encoding="utf-8"?>
<ds:datastoreItem xmlns:ds="http://schemas.openxmlformats.org/officeDocument/2006/customXml" ds:itemID="{A8472779-7EEF-4CD4-9B21-6D99EAECB1B0}">
  <ds:schemaRefs>
    <ds:schemaRef ds:uri="http://schemas.microsoft.com/sharepoint/events"/>
  </ds:schemaRefs>
</ds:datastoreItem>
</file>

<file path=customXml/itemProps4.xml><?xml version="1.0" encoding="utf-8"?>
<ds:datastoreItem xmlns:ds="http://schemas.openxmlformats.org/officeDocument/2006/customXml" ds:itemID="{33A34812-8725-4855-807D-D659D4C9EB7D}">
  <ds:schemaRefs>
    <ds:schemaRef ds:uri="http://schemas.microsoft.com/office/2006/metadata/properties"/>
    <ds:schemaRef ds:uri="http://schemas.microsoft.com/office/infopath/2007/PartnerControls"/>
    <ds:schemaRef ds:uri="0765e0a5-7ba2-402d-9946-2e0ed7c63ed3"/>
    <ds:schemaRef ds:uri="6e23940f-583b-478a-a4f1-8d38fb5b28cc"/>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5</vt:i4>
      </vt:variant>
      <vt:variant>
        <vt:lpstr>Named Ranges</vt:lpstr>
      </vt:variant>
      <vt:variant>
        <vt:i4>38</vt:i4>
      </vt:variant>
    </vt:vector>
  </HeadingPairs>
  <TitlesOfParts>
    <vt:vector size="43" baseType="lpstr">
      <vt:lpstr>Executive Summary</vt:lpstr>
      <vt:lpstr>Financial Summary</vt:lpstr>
      <vt:lpstr>Park Images</vt:lpstr>
      <vt:lpstr>Proforma</vt:lpstr>
      <vt:lpstr>Notes</vt:lpstr>
      <vt:lpstr>AcquisitionFee</vt:lpstr>
      <vt:lpstr>AssetMgmtFee</vt:lpstr>
      <vt:lpstr>BVG_Internal</vt:lpstr>
      <vt:lpstr>BVGPromote</vt:lpstr>
      <vt:lpstr>ChartOfAccounts</vt:lpstr>
      <vt:lpstr>CommAssets</vt:lpstr>
      <vt:lpstr>Cost_of_Sale</vt:lpstr>
      <vt:lpstr>WaterFall!CU?</vt:lpstr>
      <vt:lpstr>Current_Year</vt:lpstr>
      <vt:lpstr>DispositionFee</vt:lpstr>
      <vt:lpstr>WaterFall!Equity_Share_LP</vt:lpstr>
      <vt:lpstr>WaterFall!Equity_Share_Sponsor</vt:lpstr>
      <vt:lpstr>GlobalInflation</vt:lpstr>
      <vt:lpstr>GoingInCapToHide</vt:lpstr>
      <vt:lpstr>Income_Account_Codes</vt:lpstr>
      <vt:lpstr>InitialLoan</vt:lpstr>
      <vt:lpstr>InvestorPref</vt:lpstr>
      <vt:lpstr>InvestorPromote</vt:lpstr>
      <vt:lpstr>Maintenance___Capital_Reserve</vt:lpstr>
      <vt:lpstr>MgmtFee</vt:lpstr>
      <vt:lpstr>MgmtFeeLimit</vt:lpstr>
      <vt:lpstr>MoveCount</vt:lpstr>
      <vt:lpstr>NewTaxes</vt:lpstr>
      <vt:lpstr>NoHighlightRange</vt:lpstr>
      <vt:lpstr>NoOfSpaces</vt:lpstr>
      <vt:lpstr>OccPadsNum</vt:lpstr>
      <vt:lpstr>OtherFTE</vt:lpstr>
      <vt:lpstr>Park_Name</vt:lpstr>
      <vt:lpstr>WaterFall!Preferred_Return</vt:lpstr>
      <vt:lpstr>Proforma!Print_Titles</vt:lpstr>
      <vt:lpstr>'Year 1 Proforma'!Print_Titles</vt:lpstr>
      <vt:lpstr>WaterFall!Promote_Structure</vt:lpstr>
      <vt:lpstr>Purchase_Price</vt:lpstr>
      <vt:lpstr>RefiCap</vt:lpstr>
      <vt:lpstr>RefinanceFee</vt:lpstr>
      <vt:lpstr>ResAssets</vt:lpstr>
      <vt:lpstr>SewerInflation</vt:lpstr>
      <vt:lpstr>WaterFall!Total_Equity</vt:lpstr>
    </vt:vector>
  </TitlesOfParts>
  <Manager/>
  <Company>Woodcrest Homes</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The BoaVida Group</dc:creator>
  <cp:keywords/>
  <dc:description/>
  <cp:lastModifiedBy>Microsoft Office User</cp:lastModifiedBy>
  <cp:revision/>
  <cp:lastPrinted>2022-10-26T18:27:55Z</cp:lastPrinted>
  <dcterms:created xsi:type="dcterms:W3CDTF">2002-10-16T22:59:56Z</dcterms:created>
  <dcterms:modified xsi:type="dcterms:W3CDTF">2022-11-02T20:22:14Z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0x010100A1317AC504AE0142992D80EE5044DF72</vt:lpwstr>
  </property>
  <property fmtid="{D5CDD505-2E9C-101B-9397-08002B2CF9AE}" pid="3" name="_dlc_DocIdItemGuid">
    <vt:lpwstr>ce511790-a096-489f-87a1-41d7d8b5df1d</vt:lpwstr>
  </property>
  <property fmtid="{D5CDD505-2E9C-101B-9397-08002B2CF9AE}" pid="4" name="MediaServiceImageTags">
    <vt:lpwstr/>
  </property>
</Properties>
</file>